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75" windowHeight="10455" tabRatio="799" activeTab="25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5)" sheetId="10" r:id="rId10"/>
    <sheet name="II (6)" sheetId="11" r:id="rId11"/>
    <sheet name="III (1)" sheetId="12" r:id="rId12"/>
    <sheet name="III (2)" sheetId="13" r:id="rId13"/>
    <sheet name="III (3)" sheetId="14" r:id="rId14"/>
    <sheet name="III (4)" sheetId="15" r:id="rId15"/>
    <sheet name="III (5)" sheetId="16" r:id="rId16"/>
    <sheet name="III (6)" sheetId="17" r:id="rId17"/>
    <sheet name="III (7)" sheetId="18" r:id="rId18"/>
    <sheet name="III (8)" sheetId="19" r:id="rId19"/>
    <sheet name="III (9)" sheetId="20" r:id="rId20"/>
    <sheet name="III (10)" sheetId="21" r:id="rId21"/>
    <sheet name="IV (1)" sheetId="22" r:id="rId22"/>
    <sheet name="IV (2)" sheetId="23" r:id="rId23"/>
    <sheet name="IV (3)" sheetId="24" r:id="rId24"/>
    <sheet name="рейтинг" sheetId="25" r:id="rId25"/>
    <sheet name="ранг" sheetId="26" r:id="rId26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5">'II (1)'!$A$1:$G$46</definedName>
    <definedName name="_xlnm.Print_Area" localSheetId="6">'II (2)'!$A$1:$I$56</definedName>
    <definedName name="_xlnm.Print_Area" localSheetId="7">'II (3)'!$A$1:$I$56</definedName>
    <definedName name="_xlnm.Print_Area" localSheetId="8">'II (4)'!$A$1:$F$47</definedName>
    <definedName name="_xlnm.Print_Area" localSheetId="10">'II (6)'!$A$1:$F$47</definedName>
    <definedName name="_xlnm.Print_Area" localSheetId="11">'III (1)'!$A$1:$L$48</definedName>
    <definedName name="_xlnm.Print_Area" localSheetId="20">'III (10)'!$A$1:$I$46</definedName>
    <definedName name="_xlnm.Print_Area" localSheetId="12">'III (2)'!$A$1:$I$48</definedName>
    <definedName name="_xlnm.Print_Area" localSheetId="13">'III (3)'!$A$1:$H$46</definedName>
    <definedName name="_xlnm.Print_Area" localSheetId="14">'III (4)'!$A$1:$I$46</definedName>
    <definedName name="_xlnm.Print_Area" localSheetId="15">'III (5)'!$A$1:$L$47</definedName>
    <definedName name="_xlnm.Print_Area" localSheetId="18">'III (8)'!$A$1:$J$48</definedName>
    <definedName name="_xlnm.Print_Area" localSheetId="19">'III (9)'!$A$1:$G$46</definedName>
    <definedName name="_xlnm.Print_Area" localSheetId="22">'IV (2)'!$A$1:$E$45</definedName>
    <definedName name="_xlnm.Print_Area" localSheetId="25">'ранг'!$A$1:$AA$41</definedName>
    <definedName name="_xlnm.Print_Area" localSheetId="24">'рейтинг'!$A$1:$AA$41</definedName>
  </definedNames>
  <calcPr fullCalcOnLoad="1"/>
</workbook>
</file>

<file path=xl/sharedStrings.xml><?xml version="1.0" encoding="utf-8"?>
<sst xmlns="http://schemas.openxmlformats.org/spreadsheetml/2006/main" count="1414" uniqueCount="380">
  <si>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</si>
  <si>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</si>
  <si>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</si>
  <si>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</si>
  <si>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</si>
  <si>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</si>
  <si>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</si>
  <si>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</si>
  <si>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</si>
  <si>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</si>
  <si>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</si>
  <si>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</si>
  <si>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</si>
  <si>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</si>
  <si>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</si>
  <si>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</si>
  <si>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</si>
  <si>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</si>
  <si>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</si>
  <si>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</si>
  <si>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</si>
  <si>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</si>
  <si>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</si>
  <si>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</si>
  <si>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</si>
  <si>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</si>
  <si>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</si>
  <si>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</si>
  <si>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</si>
  <si>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</si>
  <si>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</si>
  <si>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</si>
  <si>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</si>
  <si>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</si>
  <si>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</si>
  <si>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</si>
  <si>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</si>
  <si>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</si>
  <si>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</si>
  <si>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</si>
  <si>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</si>
  <si>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</si>
  <si>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</si>
  <si>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</si>
  <si>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</si>
  <si>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</si>
  <si>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</si>
  <si>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</si>
  <si>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</si>
  <si>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</si>
  <si>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</si>
  <si>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</si>
  <si>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</si>
  <si>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</si>
  <si>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</si>
  <si>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</si>
  <si>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</si>
  <si>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</si>
  <si>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</si>
  <si>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</si>
  <si>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</si>
  <si>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</si>
  <si>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</si>
  <si>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</si>
  <si>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</si>
  <si>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</si>
  <si>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</si>
  <si>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</si>
  <si>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</si>
  <si>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</si>
  <si>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</si>
  <si>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</si>
  <si>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</si>
  <si>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</si>
  <si>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</si>
  <si>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</si>
  <si>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</si>
  <si>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</si>
  <si>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</si>
  <si>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</si>
  <si>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</si>
  <si>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</si>
  <si>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</si>
  <si>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</si>
  <si>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</si>
  <si>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</si>
  <si>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</si>
  <si>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</si>
  <si>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</si>
  <si>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</si>
  <si>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В среднем по МО</t>
  </si>
  <si>
    <t>4=3/2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</si>
  <si>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</si>
  <si>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</si>
  <si>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</si>
  <si>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>6=2+3+4+5</t>
  </si>
  <si>
    <t>9=7-8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</si>
  <si>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</si>
  <si>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</si>
  <si>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</si>
  <si>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</si>
  <si>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</si>
  <si>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</si>
  <si>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</si>
  <si>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</si>
  <si>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</si>
  <si>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</si>
  <si>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</si>
  <si>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</si>
  <si>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</si>
  <si>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</si>
  <si>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</si>
  <si>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</si>
  <si>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</si>
  <si>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</si>
  <si>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</si>
  <si>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</si>
  <si>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</si>
  <si>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</si>
  <si>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</si>
  <si>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</si>
  <si>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</si>
  <si>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</si>
  <si>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</si>
  <si>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</si>
  <si>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</si>
  <si>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П IV (1) макс</t>
  </si>
  <si>
    <t>П IV (1) мин</t>
  </si>
  <si>
    <t>В IV (1)</t>
  </si>
  <si>
    <t>П IV (1)</t>
  </si>
  <si>
    <t>О IV (1)</t>
  </si>
  <si>
    <t>О IV (1) х В IV (1)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</si>
  <si>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</si>
  <si>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</si>
  <si>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</si>
  <si>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Доходы от продажи имущества</t>
  </si>
  <si>
    <t>Процент исполнения годового плана, %</t>
  </si>
  <si>
    <t>I (5) Степень исполнения плана по доходам от продажи имущества*</t>
  </si>
  <si>
    <t>в т.ч. в рамках муниципальных программ</t>
  </si>
  <si>
    <t>5=2+3+4</t>
  </si>
  <si>
    <t>8=6-7</t>
  </si>
  <si>
    <t>4.Новокуйбышевск*</t>
  </si>
  <si>
    <t>1.Самара*</t>
  </si>
  <si>
    <t>4=2-3</t>
  </si>
  <si>
    <t>О II (1) х В II (1)</t>
  </si>
  <si>
    <t>О II (1)</t>
  </si>
  <si>
    <t>П II (1)</t>
  </si>
  <si>
    <t xml:space="preserve">Превышение (-) / соблюдение (+) норматива </t>
  </si>
  <si>
    <t>В II (1)</t>
  </si>
  <si>
    <t>П II (1) мин</t>
  </si>
  <si>
    <t>П II (1) макс</t>
  </si>
  <si>
    <t>II (1) Соблюдение норматива формирования расходов на содержание органов местного самоуправления</t>
  </si>
  <si>
    <t>О II (2) х В II (2)</t>
  </si>
  <si>
    <t>О II (2)</t>
  </si>
  <si>
    <t>П II (2)</t>
  </si>
  <si>
    <t>В II (2)</t>
  </si>
  <si>
    <t>П II (2) мин</t>
  </si>
  <si>
    <t>П II (2) макс</t>
  </si>
  <si>
    <t>4=2/3</t>
  </si>
  <si>
    <t>П III (2) макс</t>
  </si>
  <si>
    <t>П III (2) мин</t>
  </si>
  <si>
    <t>В III (2)</t>
  </si>
  <si>
    <t>П III (2)</t>
  </si>
  <si>
    <t>О III (2)</t>
  </si>
  <si>
    <t>О III (2) х В III (2)</t>
  </si>
  <si>
    <t>5=3-4</t>
  </si>
  <si>
    <t>П III (5) макс</t>
  </si>
  <si>
    <t>П III (5) мин</t>
  </si>
  <si>
    <t>В III (5)</t>
  </si>
  <si>
    <t>Безвозмездные поступления</t>
  </si>
  <si>
    <t>П III (5)</t>
  </si>
  <si>
    <t>О III (5)</t>
  </si>
  <si>
    <t>О III (5) х В III (5)</t>
  </si>
  <si>
    <t>П III (7) макс</t>
  </si>
  <si>
    <t>П III (7) мин</t>
  </si>
  <si>
    <t>В III (7)</t>
  </si>
  <si>
    <t>Положительное значение остатков средств бюджета, 
не имеющих целевого назначения</t>
  </si>
  <si>
    <t>П III (7)</t>
  </si>
  <si>
    <t>О III (7)</t>
  </si>
  <si>
    <t>О III (7) х В III (7)</t>
  </si>
  <si>
    <t>среднее значение</t>
  </si>
  <si>
    <t>Налоговые и неналоговые доходы</t>
  </si>
  <si>
    <t>Дотации</t>
  </si>
  <si>
    <t>8=5/(6+7)</t>
  </si>
  <si>
    <t>* для муниципальных районов и г.о.Самара - консолидированный бюджет</t>
  </si>
  <si>
    <t>Неналоговые  доходы 
(исполнено без учета доходов от продажи активов и невыясненных поступлений)</t>
  </si>
  <si>
    <t>Налоговые и неналоговые доходы 
(без учета доходов от продажи имущества 
и невыясненных поступлений)</t>
  </si>
  <si>
    <t>I (4) Наличие обращения от муниципального образования с просьбой 
о досрочном предоставлении дотаций</t>
  </si>
  <si>
    <t>ГО</t>
  </si>
  <si>
    <t>МР</t>
  </si>
  <si>
    <t>Чmin</t>
  </si>
  <si>
    <t>Чmax</t>
  </si>
  <si>
    <t>Оптимальный (расчетный) объем расходов на содержание ОМСУ</t>
  </si>
  <si>
    <t>Отклонение объема расходов на содержание ОМСУ от оптимального (расчетного) значения</t>
  </si>
  <si>
    <t>Рmin</t>
  </si>
  <si>
    <t>Рmax</t>
  </si>
  <si>
    <t>6=[3]-[5]</t>
  </si>
  <si>
    <t>4=[3]/[2]*1000</t>
  </si>
  <si>
    <t>Нmin</t>
  </si>
  <si>
    <t>Нmax</t>
  </si>
  <si>
    <t>Чmax, Чmin – наибольшая и наименьшая численность населения в соответствующей группе (городские округа или муниципальные районы) муниципальных образований;</t>
  </si>
  <si>
    <t>Нmax, Нmin – максимальный и минимальный расчетный объем расходов на содержание ОМСУ в соответствующей группе (городские округа или муниципальные районы) консолидированных бюджетов муниципальных образований.</t>
  </si>
  <si>
    <t>Hmax = (Pmin*Чmax)/1000</t>
  </si>
  <si>
    <t>Hmin = (Pmax*Чmin)/1000</t>
  </si>
  <si>
    <t>Рmax, Рmin – максимальный и минимальный объем расходов на содержание ОМСУ в расчете на 1000 жителей в соответствующей группе (городские округа или муниципальные районы) консолидированных бюджетов муниципальных образований;</t>
  </si>
  <si>
    <t>II (4) Размер кредиторской задолженности бюджета 
на 1 жителя муниципального образования*</t>
  </si>
  <si>
    <t>II (5) Наличие просроченной кредиторской задолженности бюджета муниципального образования*</t>
  </si>
  <si>
    <t>II (6) Доля расходов местного бюджета, осуществляемых в рамках муниципальных программ</t>
  </si>
  <si>
    <t>II (3) Превышение штатной численности работников органов местного самоуправления над оптимальным (расчетным) значением*</t>
  </si>
  <si>
    <t>П II (5) макс</t>
  </si>
  <si>
    <t>П II (5) мин</t>
  </si>
  <si>
    <t>В II (5)</t>
  </si>
  <si>
    <t>П II (5)</t>
  </si>
  <si>
    <t>О II (5)</t>
  </si>
  <si>
    <t>О II (5) х В II (5)</t>
  </si>
  <si>
    <t>III (1) Соблюдение ограничения размера дефицита бюджета муниципального образования, установленного ст. 92.1 Бюджетного кодекса РФ</t>
  </si>
  <si>
    <t>Снижение остатков средств на счетах по учету средств бюджета</t>
  </si>
  <si>
    <t xml:space="preserve">Средства от продажи акций и иных форм участия в капитале, находящихся в муниципальной собственности </t>
  </si>
  <si>
    <t>9=(-5)/8*100%</t>
  </si>
  <si>
    <t>III (2) Соблюдение ограничения объема муниципального долга, установленного ст. 107 Бюджетного кодекса РФ</t>
  </si>
  <si>
    <t>6=2/5*100%</t>
  </si>
  <si>
    <t>III (4) Соблюдение ограничения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</si>
  <si>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бюджета (без учета расходов за счет субвенций), %</t>
  </si>
  <si>
    <t>III (5) Дефицит местного бюджета</t>
  </si>
  <si>
    <t>Дефицит бюджета, скорректированный на разницу полученных и погашенных бюджетных кредитов для реализации инвестиционных проектов, величину поступлений от продажи акций и снижения остатков</t>
  </si>
  <si>
    <t>10=(-6)/9*100%</t>
  </si>
  <si>
    <t>III (6) Уровень долговой нагрузки местного бюджета</t>
  </si>
  <si>
    <t>в т.ч. по бюджетным кредитам для реализации инвестиционных проектов</t>
  </si>
  <si>
    <t>III (7) Соблюдение сроков возврата бюджетного кредита, 
предоставленного местному бюджету из областного бюджета</t>
  </si>
  <si>
    <t>III (8) Соотношение остатков собственных средств и доходов местного бюджета*</t>
  </si>
  <si>
    <t>П III (8) макс</t>
  </si>
  <si>
    <t>П III (8) мин</t>
  </si>
  <si>
    <t>В III (8)</t>
  </si>
  <si>
    <t>П III (8)</t>
  </si>
  <si>
    <t>О III (8)</t>
  </si>
  <si>
    <t>О III (8) х В III (8)</t>
  </si>
  <si>
    <t>III (9) Качество планирования источников финансирования дефицита местного бюджета за счет снижения остатков средств на счетах по учету средств местного бюджета</t>
  </si>
  <si>
    <t>П III (9) макс</t>
  </si>
  <si>
    <t>П III (9) мин</t>
  </si>
  <si>
    <t>В III (9)</t>
  </si>
  <si>
    <t>П III (9)</t>
  </si>
  <si>
    <t>О III (9)</t>
  </si>
  <si>
    <t>О III (9) х В III (9)</t>
  </si>
  <si>
    <t>7=[6]/[3],
если [6]&gt;0</t>
  </si>
  <si>
    <t>Самара</t>
  </si>
  <si>
    <t>Тольятти</t>
  </si>
  <si>
    <t>Сызрань</t>
  </si>
  <si>
    <t>Новокуйбышевск</t>
  </si>
  <si>
    <t xml:space="preserve">Чапаевск </t>
  </si>
  <si>
    <t>Отрадный</t>
  </si>
  <si>
    <t>Жигулевск</t>
  </si>
  <si>
    <t>Октябрьск</t>
  </si>
  <si>
    <t>Кинель</t>
  </si>
  <si>
    <t>Похвистнево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</si>
  <si>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</si>
  <si>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</si>
  <si>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</si>
  <si>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</si>
  <si>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</si>
  <si>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</si>
  <si>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</si>
  <si>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</si>
  <si>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</si>
  <si>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</si>
  <si>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</si>
  <si>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</si>
  <si>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</si>
  <si>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</si>
  <si>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</si>
  <si>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</si>
  <si>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</si>
  <si>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</si>
  <si>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</si>
  <si>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</si>
  <si>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</si>
  <si>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</si>
  <si>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</si>
  <si>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</si>
  <si>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</si>
  <si>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</si>
  <si>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</si>
  <si>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Расходы на содержание ОМСУ 
в расчете на 1000 жителей</t>
  </si>
  <si>
    <t>Муниципальный долг без учета долга по бюджетным кредитам для реализации инвестиционных проектов</t>
  </si>
  <si>
    <t>7=5-6</t>
  </si>
  <si>
    <t>8=4/7*100%</t>
  </si>
  <si>
    <t>Налоговые  доходы (исполнено 
в сопоставимых условиях)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</si>
  <si>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</si>
  <si>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</si>
  <si>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</si>
  <si>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</si>
  <si>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</si>
  <si>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</si>
  <si>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Превышение привлечения кредитов над погашением кредитов и финансированием дефицита бюджета</t>
  </si>
  <si>
    <t>Бюджетные кредиты для реализации инвестиционных проектов (положительная разница между привлечением и погашением)</t>
  </si>
  <si>
    <t>II (2) Превышение объема расходов на содержание органов местного самоуправления над оптимальным (расчетным) значением*</t>
  </si>
  <si>
    <t>III (3) Соблюдение ограничения предельного объема муниципальных заимствований, установленного п. 2 ст. 106 Бюджетного кодекса РФ</t>
  </si>
  <si>
    <t>IV (1) Среднесрочное планирование местного бюджета</t>
  </si>
  <si>
    <t>7=([6]-среднее[6]*3), если [7]&gt;0</t>
  </si>
  <si>
    <t>6=[4]/[5]</t>
  </si>
  <si>
    <t>4=[2]-[3]</t>
  </si>
  <si>
    <t>Снижение остатков без учета целевых средств и средств дорожного фонда в расчете на 1 жителя</t>
  </si>
  <si>
    <t>Снижение остатков без учета целевых средств и средств дорожного фонда</t>
  </si>
  <si>
    <t>III (10) Использование остатков средств, сформированных на счете бюджета, в расчете на 1 жителя муниципального образования</t>
  </si>
  <si>
    <t>П III (10) макс</t>
  </si>
  <si>
    <t>П III (10) мин</t>
  </si>
  <si>
    <t>В III (10)</t>
  </si>
  <si>
    <t>О III (10)</t>
  </si>
  <si>
    <t>О III (10) х В III (10)</t>
  </si>
  <si>
    <r>
      <t xml:space="preserve">П III (10)
</t>
    </r>
    <r>
      <rPr>
        <sz val="12"/>
        <color indexed="8"/>
        <rFont val="Times New Roman"/>
        <family val="1"/>
      </rPr>
      <t>(превышение трехкратного среднего уровня в расчете на 1 жителя)</t>
    </r>
  </si>
  <si>
    <t>IV (2) Применение бюджетных мер принуждения и мер ответственности в отношении муниципального образования</t>
  </si>
  <si>
    <t>IV (3) Уровень открытости бюджетных данных муниципального образования, определенный в ходе проведения мониторинга и оценки уровня открытости бюджетных данных муниципальных образований Самарской области</t>
  </si>
  <si>
    <t>П IV (3) макс</t>
  </si>
  <si>
    <t>П IV (3) мин</t>
  </si>
  <si>
    <t>В IV (3)</t>
  </si>
  <si>
    <t>П IV (3), 1/Ri</t>
  </si>
  <si>
    <t>О IV (3)</t>
  </si>
  <si>
    <t>О IV (3) х В IV (3)</t>
  </si>
  <si>
    <t>Дефицит бюджета, скорректированный на величину поступлений от продажи акций и снижения остатков</t>
  </si>
  <si>
    <t>Муниципальный долг в % к доходам бюджета без учета безвозмездных поступлений</t>
  </si>
  <si>
    <t>П II (3) макс</t>
  </si>
  <si>
    <t>П II (3) мин</t>
  </si>
  <si>
    <t>В II (3)</t>
  </si>
  <si>
    <t>Шmin</t>
  </si>
  <si>
    <t>Шmax</t>
  </si>
  <si>
    <t>Штатная численность работников ОМСУ 
в расчете на 1000 жителей</t>
  </si>
  <si>
    <t>Оптимальная (расчетная) численность работников ОМСУ</t>
  </si>
  <si>
    <t>Отклонение штатной численности работников ОМСУ от оптимального (расчетного) значения</t>
  </si>
  <si>
    <t>П II (3)</t>
  </si>
  <si>
    <t>О II (3)</t>
  </si>
  <si>
    <t>О II (3) х В II (3)</t>
  </si>
  <si>
    <t>Шmax, Шmin – максимальная и минимальная штатная численность работников ОМСУ в расчете на 1000 жителей в соответствующей группе (городские округа или муниципальные районы) муниципальных образований;</t>
  </si>
  <si>
    <t>Нmax, Нmin – максимальное и минимальное расчетное значение штатной численности работников ОМСУ в соответствующей группе (городские округа или муниципальные районы) муниципальных образований.</t>
  </si>
  <si>
    <t>Hmax = (Шmin*Чmax)/1000</t>
  </si>
  <si>
    <t>Hmin = (Шmax*Чmin)/1000</t>
  </si>
  <si>
    <t>Утверждено 
на 2023 год</t>
  </si>
  <si>
    <t>Нормативное 
значение расходов 
на содержание ОМСУ (постановление Правительства СО 
от 25.11.2022 № 1039)</t>
  </si>
  <si>
    <t xml:space="preserve">* - норматив на 2023 год не установлен (доля дотаций из других бюджетов бюджетной системы РФ в течение двух из трех последних отчетных финансовых лет не превышала 5 процентов собственных доходов местного бюджета)  </t>
  </si>
  <si>
    <t>Численность населения 
на 01.01.2023</t>
  </si>
  <si>
    <t>Численность населения на 01.01.2023</t>
  </si>
  <si>
    <t>Дефицит бюджета (план на 2023 год)</t>
  </si>
  <si>
    <t>Доходы бюджета (план на 2023 год)</t>
  </si>
  <si>
    <t>Расходы бюджета на обслуживание муниципального долга 
(план на 2023 год)</t>
  </si>
  <si>
    <t>Общий объем расходов местного бюджета (план на 2023 год)</t>
  </si>
  <si>
    <t>Расходы за счет субвенций
(план на 2023 год)</t>
  </si>
  <si>
    <t>Общий объем расходов местного бюджета без учета расходов за счет субвенций (план на 2023 год)</t>
  </si>
  <si>
    <t>Снижение остатков средств на счетах по учету средств бюджета (не более остатка средств на счете бюджета на 01.01.2023)</t>
  </si>
  <si>
    <t>Снижение остатков средств на счетах по учету средств бюджета (утверждено на 2023 год)</t>
  </si>
  <si>
    <t>Общий остаток средств местного бюджета на 01.01.2023</t>
  </si>
  <si>
    <t>Превышение планового значения источников финансирования дефицита местного бюджета за счет снижения остатков средств на счетах по учету средств местного бюджета над общей суммой остатка средств местного бюджета на 01.01.2023</t>
  </si>
  <si>
    <t>Доходы бюджета, не имеющие целевого назначения 
(план на 2023 год)</t>
  </si>
  <si>
    <r>
      <t xml:space="preserve">Снижение остатков средств на счетах по учету средств бюджета </t>
    </r>
    <r>
      <rPr>
        <sz val="12"/>
        <color indexed="8"/>
        <rFont val="Times New Roman"/>
        <family val="1"/>
      </rPr>
      <t>(план на 2023 год)</t>
    </r>
  </si>
  <si>
    <t>Остаток целевых средств из других бюджетов, от организаций и средств дорожного фонда на 01.01.2023</t>
  </si>
  <si>
    <t>Бюджет муниципального образования принят на 2023 год и на плановый период 2024 и 2025 годов</t>
  </si>
  <si>
    <t>Утверждено расходов на содержание ОМСУ 
на 2023 год
(консолидир.
на 01.10.2023)</t>
  </si>
  <si>
    <t>Штатная численность работников ОМСУ 
(консолидир. 
на 01.10.2023)</t>
  </si>
  <si>
    <t>за 9 месяцев 2022 года</t>
  </si>
  <si>
    <t>за 9 месяцев 2023 года</t>
  </si>
  <si>
    <t>за 9 месяцев 
2022 года</t>
  </si>
  <si>
    <t>за 9 месяцев 
2023 года</t>
  </si>
  <si>
    <t>Исполнено
 за 9 месяцев 2023 года</t>
  </si>
  <si>
    <t>В 3 квартале 2023 года 
в МУФ СО поступило обращение от МО с просьбой о досрочном предоставлении дотаций</t>
  </si>
  <si>
    <t>Утверждено расходов на содержание ОМСУ 
на 2023 год 
(на 01.10.2023)</t>
  </si>
  <si>
    <t>Кредиторская задолженность по бюджетной деятельности (за исключением расчетов по доходам, по ущербу и иным доходам, по оплате труда с начислениями, по социальным пособиям и компенсациям персоналу в денежной форме, по НДФЛ и страховым взносам,  по возврату неиспользованных остатков целевых межбюджетных трансфертов прошлых лет, по единому страховому тарифу, по удержаниям из выплат по оплате труда) на 01.10.2023</t>
  </si>
  <si>
    <t>Расходы бюджета на 2023 год 
(план неконсолидир. на 01.10.2023)</t>
  </si>
  <si>
    <t>16.Борский*</t>
  </si>
  <si>
    <t>26.Камышлинский*</t>
  </si>
  <si>
    <t>36.Шенталинский*</t>
  </si>
  <si>
    <t>* в 2023 году в отношении м.р.Борский, Камышлинский и Шенталинский осуществляются меры, предусмотренные п.4 ст.136 Бюджетного кодекса РФ, в связи с чем ограничение ст.92.1 Бюджетного кодекса РФ для них равно не 10%, а 5%.</t>
  </si>
  <si>
    <t>Муниципальный долг на 01.10.2023</t>
  </si>
  <si>
    <t>* в 2023 году в отношении м.р.Борский, Камышлинский и Шенталинский осуществляются меры, предусмотренные п.4 ст.136 Бюджетного кодекса РФ, в связи с чем ограничение ст.107 Бюджетного кодекса РФ для них равно не 100%, а 50%.</t>
  </si>
  <si>
    <t>Привлечение кредитов в 2023 году (план на 01.10.2023)</t>
  </si>
  <si>
    <t>Погашение кредитов в 2023 году (план на 01.10.2023)</t>
  </si>
  <si>
    <t>Дефицит местного бюджета на 2023 год (план на 01.10.2023)</t>
  </si>
  <si>
    <t>В 3 квартале 2023 года не соблюдены сроки возврата бюджетного кредита, предоставленного из областного бюджета</t>
  </si>
  <si>
    <t>на 01.08.2023</t>
  </si>
  <si>
    <t>на 01.09.2023</t>
  </si>
  <si>
    <t>на 01.10.2023</t>
  </si>
  <si>
    <t xml:space="preserve">В 3 квартале 2023 года принят:
- приказ МУФ СО о применении бюджетных мер принуждения в отношении участников бюджетного процесса МО;
- приказ МУФ СО о применении мер ответственности за нарушение порядка и сроков заключения соглашения о мерах по социально-экономическому развитию и оздоровлению муниципальных финансов или невыполнение органами местного самоуправления обязательств, возникающих из таких соглашений
</t>
  </si>
  <si>
    <r>
      <t>Рейтинг открытости бюджетных данных, определенный в ходе мониторинга и оценки уровня открытости бюджетных данных муниципальных образований Самарской области на 01.10.2023, (R</t>
    </r>
    <r>
      <rPr>
        <b/>
        <i/>
        <sz val="12"/>
        <color indexed="8"/>
        <rFont val="Times New Roman"/>
        <family val="1"/>
      </rPr>
      <t>i)</t>
    </r>
    <r>
      <rPr>
        <b/>
        <sz val="12"/>
        <color indexed="8"/>
        <rFont val="Times New Roman"/>
        <family val="1"/>
      </rPr>
      <t xml:space="preserve">
</t>
    </r>
  </si>
  <si>
    <t>Расчет рейтинга муниципальных образований Самарской области по итогам 3 квартала 2023 года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</si>
</sst>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00"/>
    <numFmt numFmtId="175" formatCode="#,##0_ ;\-#,##0\ "/>
    <numFmt numFmtId="176" formatCode="#,##0.0_ ;\-#,##0.0\ "/>
    <numFmt numFmtId="177" formatCode="#,##0.00_ ;\-#,##0.00\ "/>
    <numFmt numFmtId="178" formatCode="#,##0.0000"/>
    <numFmt numFmtId="179" formatCode="#,##0.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_ ;[Red]\-#,##0\ "/>
    <numFmt numFmtId="194" formatCode="#,##0.00_ ;[Red]\-#,##0.00\ "/>
    <numFmt numFmtId="195" formatCode="#,##0.0_ ;[Red]\-#,##0.0\ "/>
    <numFmt numFmtId="196" formatCode="#,##0.0000000000000"/>
    <numFmt numFmtId="197" formatCode="#,##0.00000000000000"/>
    <numFmt numFmtId="198" formatCode="#,##0.000000000000000"/>
    <numFmt numFmtId="199" formatCode="mmm/yyyy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_);_(* \(#,##0\);_(* &quot;-&quot;_);_(@_)"/>
    <numFmt numFmtId="206" formatCode="_(&quot;$&quot;* #,##0_);_(&quot;$&quot;* \(#,##0\);_(&quot;$&quot;* &quot;-&quot;_);_(@_)"/>
    <numFmt numFmtId="207" formatCode="_(* #,##0.00_);_(* \(#,##0.00\);_(* &quot;-&quot;??_);_(@_)"/>
    <numFmt numFmtId="208" formatCode="_(&quot;$&quot;* #,##0.00_);_(&quot;$&quot;* \(#,##0.00\);_(&quot;$&quot;* &quot;-&quot;??_);_(@_)"/>
    <numFmt numFmtId="209" formatCode="[$-10419]###\ ##0.00"/>
    <numFmt numFmtId="210" formatCode="#,##0.000_ ;[Red]\-#,##0.000\ "/>
    <numFmt numFmtId="211" formatCode="#,##0.0000_ ;[Red]\-#,##0.0000\ "/>
    <numFmt numFmtId="212" formatCode="#,##0.00000_ ;[Red]\-#,##0.00000\ "/>
    <numFmt numFmtId="213" formatCode="0_ ;[Red]\-0\ "/>
    <numFmt numFmtId="214" formatCode="0&quot;   &quot;"/>
    <numFmt numFmtId="215" formatCode="#,##0.000_ ;\-#,##0.000\ "/>
    <numFmt numFmtId="216" formatCode="#,##0.0000_ ;\-#,##0.0000\ "/>
    <numFmt numFmtId="217" formatCode="#,##0.00000_ ;\-#,##0.00000\ "/>
    <numFmt numFmtId="218" formatCode="#,##0.000000_ ;\-#,##0.000000\ "/>
    <numFmt numFmtId="219" formatCode="#,##0.000000_ ;[Red]\-#,##0.000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19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9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9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177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right"/>
    </xf>
    <xf numFmtId="19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9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Alignment="1">
      <alignment/>
    </xf>
    <xf numFmtId="194" fontId="3" fillId="0" borderId="1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3" fontId="3" fillId="0" borderId="10" xfId="0" applyNumberFormat="1" applyFont="1" applyBorder="1" applyAlignment="1">
      <alignment horizontal="center"/>
    </xf>
    <xf numFmtId="213" fontId="3" fillId="0" borderId="10" xfId="0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177" fontId="3" fillId="34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/>
    </xf>
    <xf numFmtId="0" fontId="51" fillId="35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/>
    </xf>
    <xf numFmtId="174" fontId="3" fillId="0" borderId="10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/>
    </xf>
    <xf numFmtId="211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 vertical="center" wrapText="1"/>
    </xf>
    <xf numFmtId="210" fontId="3" fillId="0" borderId="10" xfId="0" applyNumberFormat="1" applyFont="1" applyBorder="1" applyAlignment="1">
      <alignment horizontal="right"/>
    </xf>
    <xf numFmtId="4" fontId="52" fillId="0" borderId="10" xfId="0" applyNumberFormat="1" applyFont="1" applyFill="1" applyBorder="1" applyAlignment="1">
      <alignment horizontal="right"/>
    </xf>
    <xf numFmtId="0" fontId="51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dxfs count="1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421875" style="1" customWidth="1"/>
    <col min="2" max="2" width="19.00390625" style="1" customWidth="1"/>
    <col min="3" max="3" width="19.140625" style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.75">
      <c r="A1" s="106" t="s">
        <v>98</v>
      </c>
      <c r="B1" s="106"/>
      <c r="C1" s="106"/>
      <c r="D1" s="106"/>
      <c r="E1" s="106"/>
      <c r="F1" s="106"/>
    </row>
    <row r="3" spans="1:2" ht="15.75">
      <c r="A3" s="10" t="s">
        <v>47</v>
      </c>
      <c r="B3" s="26">
        <f>MAX($D$10:$D$46)</f>
        <v>1.2518405512267705</v>
      </c>
    </row>
    <row r="4" spans="1:2" ht="15.75">
      <c r="A4" s="11" t="s">
        <v>48</v>
      </c>
      <c r="B4" s="27">
        <f>MIN($D$10:$D$46)</f>
        <v>0.8456956209784028</v>
      </c>
    </row>
    <row r="5" spans="1:2" ht="15.75">
      <c r="A5" s="12" t="s">
        <v>49</v>
      </c>
      <c r="B5" s="13" t="s">
        <v>39</v>
      </c>
    </row>
    <row r="7" spans="1:6" s="8" customFormat="1" ht="34.5" customHeight="1">
      <c r="A7" s="107" t="s">
        <v>38</v>
      </c>
      <c r="B7" s="107" t="s">
        <v>285</v>
      </c>
      <c r="C7" s="107"/>
      <c r="D7" s="108" t="s">
        <v>74</v>
      </c>
      <c r="E7" s="108" t="s">
        <v>75</v>
      </c>
      <c r="F7" s="108" t="s">
        <v>76</v>
      </c>
    </row>
    <row r="8" spans="1:6" s="8" customFormat="1" ht="50.25" customHeight="1">
      <c r="A8" s="107"/>
      <c r="B8" s="3" t="s">
        <v>357</v>
      </c>
      <c r="C8" s="3" t="s">
        <v>358</v>
      </c>
      <c r="D8" s="108"/>
      <c r="E8" s="108"/>
      <c r="F8" s="108"/>
    </row>
    <row r="9" spans="1:6" s="7" customFormat="1" ht="15.75">
      <c r="A9" s="9">
        <v>1</v>
      </c>
      <c r="B9" s="9">
        <v>2</v>
      </c>
      <c r="C9" s="9">
        <v>3</v>
      </c>
      <c r="D9" s="9" t="s">
        <v>91</v>
      </c>
      <c r="E9" s="9">
        <v>5</v>
      </c>
      <c r="F9" s="9">
        <v>6</v>
      </c>
    </row>
    <row r="10" spans="1:6" ht="15.75">
      <c r="A10" s="5" t="s">
        <v>0</v>
      </c>
      <c r="B10" s="72">
        <v>11713640667.82</v>
      </c>
      <c r="C10" s="72">
        <v>12747276500.260002</v>
      </c>
      <c r="D10" s="58">
        <f>$C10/$B10</f>
        <v>1.0882420642524602</v>
      </c>
      <c r="E10" s="58">
        <f>($D10-$B$4)/($B$3-$B$4)</f>
        <v>0.5971918524890467</v>
      </c>
      <c r="F10" s="58">
        <f>$E10*$B$5</f>
        <v>1.1943837049780934</v>
      </c>
    </row>
    <row r="11" spans="1:6" ht="15.75">
      <c r="A11" s="5" t="s">
        <v>1</v>
      </c>
      <c r="B11" s="72">
        <v>4702369917.410001</v>
      </c>
      <c r="C11" s="72">
        <v>5101699229.34</v>
      </c>
      <c r="D11" s="58">
        <f aca="true" t="shared" si="0" ref="D11:D46">$C11/$B11</f>
        <v>1.0849208630847027</v>
      </c>
      <c r="E11" s="58">
        <f aca="true" t="shared" si="1" ref="E11:E46">($D11-$B$4)/($B$3-$B$4)</f>
        <v>0.5890144731340305</v>
      </c>
      <c r="F11" s="58">
        <f aca="true" t="shared" si="2" ref="F11:F46">$E11*$B$5</f>
        <v>1.178028946268061</v>
      </c>
    </row>
    <row r="12" spans="1:6" ht="15.75">
      <c r="A12" s="5" t="s">
        <v>2</v>
      </c>
      <c r="B12" s="72">
        <v>946528291.3299999</v>
      </c>
      <c r="C12" s="72">
        <v>1155083735.95</v>
      </c>
      <c r="D12" s="58">
        <f t="shared" si="0"/>
        <v>1.220337254079275</v>
      </c>
      <c r="E12" s="58">
        <f t="shared" si="1"/>
        <v>0.9224333610954333</v>
      </c>
      <c r="F12" s="58">
        <f t="shared" si="2"/>
        <v>1.8448667221908666</v>
      </c>
    </row>
    <row r="13" spans="1:6" ht="15.75">
      <c r="A13" s="5" t="s">
        <v>3</v>
      </c>
      <c r="B13" s="72">
        <v>754989539.9100001</v>
      </c>
      <c r="C13" s="72">
        <v>777887636.7</v>
      </c>
      <c r="D13" s="58">
        <f t="shared" si="0"/>
        <v>1.0303290252110375</v>
      </c>
      <c r="E13" s="58">
        <f t="shared" si="1"/>
        <v>0.4545998004203249</v>
      </c>
      <c r="F13" s="58">
        <f t="shared" si="2"/>
        <v>0.9091996008406498</v>
      </c>
    </row>
    <row r="14" spans="1:6" ht="15.75">
      <c r="A14" s="5" t="s">
        <v>4</v>
      </c>
      <c r="B14" s="72">
        <v>283653341.19</v>
      </c>
      <c r="C14" s="72">
        <v>340148286.88</v>
      </c>
      <c r="D14" s="58">
        <f t="shared" si="0"/>
        <v>1.199168976656467</v>
      </c>
      <c r="E14" s="58">
        <f t="shared" si="1"/>
        <v>0.8703133520881488</v>
      </c>
      <c r="F14" s="58">
        <f t="shared" si="2"/>
        <v>1.7406267041762975</v>
      </c>
    </row>
    <row r="15" spans="1:6" ht="15.75">
      <c r="A15" s="5" t="s">
        <v>5</v>
      </c>
      <c r="B15" s="72">
        <v>308677273.04</v>
      </c>
      <c r="C15" s="72">
        <v>333747976.5</v>
      </c>
      <c r="D15" s="58">
        <f t="shared" si="0"/>
        <v>1.0812197905375145</v>
      </c>
      <c r="E15" s="58">
        <f t="shared" si="1"/>
        <v>0.5799017838658796</v>
      </c>
      <c r="F15" s="58">
        <f t="shared" si="2"/>
        <v>1.1598035677317593</v>
      </c>
    </row>
    <row r="16" spans="1:6" ht="15.75">
      <c r="A16" s="5" t="s">
        <v>6</v>
      </c>
      <c r="B16" s="72">
        <v>276333261.81</v>
      </c>
      <c r="C16" s="72">
        <v>284332903.52000004</v>
      </c>
      <c r="D16" s="58">
        <f t="shared" si="0"/>
        <v>1.0289492537293625</v>
      </c>
      <c r="E16" s="58">
        <f t="shared" si="1"/>
        <v>0.45120256121108193</v>
      </c>
      <c r="F16" s="58">
        <f t="shared" si="2"/>
        <v>0.9024051224221639</v>
      </c>
    </row>
    <row r="17" spans="1:6" ht="15.75">
      <c r="A17" s="5" t="s">
        <v>7</v>
      </c>
      <c r="B17" s="72">
        <v>82577654.2</v>
      </c>
      <c r="C17" s="72">
        <v>91110383.06</v>
      </c>
      <c r="D17" s="58">
        <f t="shared" si="0"/>
        <v>1.1033297560055901</v>
      </c>
      <c r="E17" s="58">
        <f t="shared" si="1"/>
        <v>0.6343403938826411</v>
      </c>
      <c r="F17" s="58">
        <f t="shared" si="2"/>
        <v>1.2686807877652821</v>
      </c>
    </row>
    <row r="18" spans="1:6" ht="15.75">
      <c r="A18" s="5" t="s">
        <v>8</v>
      </c>
      <c r="B18" s="72">
        <v>292615736.45</v>
      </c>
      <c r="C18" s="72">
        <v>312454563.82</v>
      </c>
      <c r="D18" s="58">
        <f t="shared" si="0"/>
        <v>1.0677982244245772</v>
      </c>
      <c r="E18" s="58">
        <f t="shared" si="1"/>
        <v>0.54685553580677</v>
      </c>
      <c r="F18" s="58">
        <f t="shared" si="2"/>
        <v>1.09371107161354</v>
      </c>
    </row>
    <row r="19" spans="1:6" ht="15.75">
      <c r="A19" s="5" t="s">
        <v>9</v>
      </c>
      <c r="B19" s="72">
        <v>116632849.91999999</v>
      </c>
      <c r="C19" s="72">
        <v>123761601.77</v>
      </c>
      <c r="D19" s="58">
        <f t="shared" si="0"/>
        <v>1.0611213037741059</v>
      </c>
      <c r="E19" s="58">
        <f t="shared" si="1"/>
        <v>0.53041578695557</v>
      </c>
      <c r="F19" s="58">
        <f t="shared" si="2"/>
        <v>1.06083157391114</v>
      </c>
    </row>
    <row r="20" spans="1:6" ht="15.75">
      <c r="A20" s="5" t="s">
        <v>10</v>
      </c>
      <c r="B20" s="72">
        <v>54323187.36</v>
      </c>
      <c r="C20" s="72">
        <v>60935980.65</v>
      </c>
      <c r="D20" s="58">
        <f t="shared" si="0"/>
        <v>1.1217305834095668</v>
      </c>
      <c r="E20" s="58">
        <f t="shared" si="1"/>
        <v>0.6796464559150394</v>
      </c>
      <c r="F20" s="58">
        <f t="shared" si="2"/>
        <v>1.3592929118300787</v>
      </c>
    </row>
    <row r="21" spans="1:6" ht="15.75">
      <c r="A21" s="5" t="s">
        <v>11</v>
      </c>
      <c r="B21" s="72">
        <v>228216526.25</v>
      </c>
      <c r="C21" s="72">
        <v>245075049.21</v>
      </c>
      <c r="D21" s="58">
        <f t="shared" si="0"/>
        <v>1.0738707368700036</v>
      </c>
      <c r="E21" s="58">
        <f t="shared" si="1"/>
        <v>0.5618071257274245</v>
      </c>
      <c r="F21" s="58">
        <f t="shared" si="2"/>
        <v>1.123614251454849</v>
      </c>
    </row>
    <row r="22" spans="1:6" ht="15.75">
      <c r="A22" s="5" t="s">
        <v>12</v>
      </c>
      <c r="B22" s="72">
        <v>91508348.92</v>
      </c>
      <c r="C22" s="72">
        <v>90948420.90000002</v>
      </c>
      <c r="D22" s="58">
        <f t="shared" si="0"/>
        <v>0.9938811264042203</v>
      </c>
      <c r="E22" s="58">
        <f t="shared" si="1"/>
        <v>0.364858685630271</v>
      </c>
      <c r="F22" s="58">
        <f t="shared" si="2"/>
        <v>0.729717371260542</v>
      </c>
    </row>
    <row r="23" spans="1:6" ht="15.75">
      <c r="A23" s="5" t="s">
        <v>13</v>
      </c>
      <c r="B23" s="72">
        <v>137145466.1</v>
      </c>
      <c r="C23" s="72">
        <v>161051841.31999996</v>
      </c>
      <c r="D23" s="58">
        <f t="shared" si="0"/>
        <v>1.1743140032246386</v>
      </c>
      <c r="E23" s="58">
        <f t="shared" si="1"/>
        <v>0.8091160513693413</v>
      </c>
      <c r="F23" s="58">
        <f t="shared" si="2"/>
        <v>1.6182321027386826</v>
      </c>
    </row>
    <row r="24" spans="1:6" ht="15.75">
      <c r="A24" s="5" t="s">
        <v>14</v>
      </c>
      <c r="B24" s="72">
        <v>124433352.71999998</v>
      </c>
      <c r="C24" s="72">
        <v>155770716.85999995</v>
      </c>
      <c r="D24" s="58">
        <f t="shared" si="0"/>
        <v>1.2518405512267705</v>
      </c>
      <c r="E24" s="58">
        <f t="shared" si="1"/>
        <v>1</v>
      </c>
      <c r="F24" s="58">
        <f t="shared" si="2"/>
        <v>2</v>
      </c>
    </row>
    <row r="25" spans="1:6" ht="15.75">
      <c r="A25" s="5" t="s">
        <v>15</v>
      </c>
      <c r="B25" s="72">
        <v>85712822.36999999</v>
      </c>
      <c r="C25" s="72">
        <v>95696071.76</v>
      </c>
      <c r="D25" s="58">
        <f t="shared" si="0"/>
        <v>1.116473231355105</v>
      </c>
      <c r="E25" s="58">
        <f t="shared" si="1"/>
        <v>0.6667019337434912</v>
      </c>
      <c r="F25" s="58">
        <f t="shared" si="2"/>
        <v>1.3334038674869824</v>
      </c>
    </row>
    <row r="26" spans="1:6" ht="15.75">
      <c r="A26" s="5" t="s">
        <v>16</v>
      </c>
      <c r="B26" s="72">
        <v>1014058376.05</v>
      </c>
      <c r="C26" s="72">
        <v>1195703327.93</v>
      </c>
      <c r="D26" s="58">
        <f t="shared" si="0"/>
        <v>1.1791267210745309</v>
      </c>
      <c r="E26" s="58">
        <f t="shared" si="1"/>
        <v>0.8209658062018075</v>
      </c>
      <c r="F26" s="58">
        <f t="shared" si="2"/>
        <v>1.641931612403615</v>
      </c>
    </row>
    <row r="27" spans="1:6" ht="15.75">
      <c r="A27" s="5" t="s">
        <v>17</v>
      </c>
      <c r="B27" s="72">
        <v>49688379.72</v>
      </c>
      <c r="C27" s="72">
        <v>52368536.17</v>
      </c>
      <c r="D27" s="58">
        <f t="shared" si="0"/>
        <v>1.053939300599114</v>
      </c>
      <c r="E27" s="58">
        <f t="shared" si="1"/>
        <v>0.512732436407282</v>
      </c>
      <c r="F27" s="58">
        <f t="shared" si="2"/>
        <v>1.025464872814564</v>
      </c>
    </row>
    <row r="28" spans="1:6" ht="15.75">
      <c r="A28" s="5" t="s">
        <v>18</v>
      </c>
      <c r="B28" s="72">
        <v>66812271.92</v>
      </c>
      <c r="C28" s="72">
        <v>79120031.76</v>
      </c>
      <c r="D28" s="58">
        <f t="shared" si="0"/>
        <v>1.1842140595778141</v>
      </c>
      <c r="E28" s="58">
        <f t="shared" si="1"/>
        <v>0.8334917252134574</v>
      </c>
      <c r="F28" s="58">
        <f t="shared" si="2"/>
        <v>1.6669834504269148</v>
      </c>
    </row>
    <row r="29" spans="1:6" ht="15.75">
      <c r="A29" s="5" t="s">
        <v>19</v>
      </c>
      <c r="B29" s="72">
        <v>217915115.39</v>
      </c>
      <c r="C29" s="72">
        <v>245687556.46</v>
      </c>
      <c r="D29" s="58">
        <f t="shared" si="0"/>
        <v>1.127446143514625</v>
      </c>
      <c r="E29" s="58">
        <f t="shared" si="1"/>
        <v>0.6937191666135653</v>
      </c>
      <c r="F29" s="58">
        <f t="shared" si="2"/>
        <v>1.3874383332271305</v>
      </c>
    </row>
    <row r="30" spans="1:6" ht="15.75">
      <c r="A30" s="5" t="s">
        <v>20</v>
      </c>
      <c r="B30" s="72">
        <v>254824178.56</v>
      </c>
      <c r="C30" s="72">
        <v>273085727.77000004</v>
      </c>
      <c r="D30" s="58">
        <f t="shared" si="0"/>
        <v>1.0716633300387555</v>
      </c>
      <c r="E30" s="58">
        <f t="shared" si="1"/>
        <v>0.5563721032345961</v>
      </c>
      <c r="F30" s="58">
        <f t="shared" si="2"/>
        <v>1.1127442064691921</v>
      </c>
    </row>
    <row r="31" spans="1:6" ht="15.75">
      <c r="A31" s="5" t="s">
        <v>21</v>
      </c>
      <c r="B31" s="72">
        <v>71869657.15</v>
      </c>
      <c r="C31" s="72">
        <v>76863307.42999999</v>
      </c>
      <c r="D31" s="58">
        <f t="shared" si="0"/>
        <v>1.0694820384293426</v>
      </c>
      <c r="E31" s="58">
        <f t="shared" si="1"/>
        <v>0.5510013809949293</v>
      </c>
      <c r="F31" s="58">
        <f t="shared" si="2"/>
        <v>1.1020027619898587</v>
      </c>
    </row>
    <row r="32" spans="1:6" ht="15.75">
      <c r="A32" s="5" t="s">
        <v>22</v>
      </c>
      <c r="B32" s="72">
        <v>126139427.49</v>
      </c>
      <c r="C32" s="72">
        <v>146416949.04999998</v>
      </c>
      <c r="D32" s="58">
        <f t="shared" si="0"/>
        <v>1.1607548247482535</v>
      </c>
      <c r="E32" s="58">
        <f t="shared" si="1"/>
        <v>0.7757309775532203</v>
      </c>
      <c r="F32" s="58">
        <f t="shared" si="2"/>
        <v>1.5514619551064406</v>
      </c>
    </row>
    <row r="33" spans="1:6" ht="15.75">
      <c r="A33" s="5" t="s">
        <v>23</v>
      </c>
      <c r="B33" s="72">
        <v>130876184.42999999</v>
      </c>
      <c r="C33" s="72">
        <v>129214199.25000001</v>
      </c>
      <c r="D33" s="58">
        <f t="shared" si="0"/>
        <v>0.9873010877629237</v>
      </c>
      <c r="E33" s="58">
        <f t="shared" si="1"/>
        <v>0.34865747726538315</v>
      </c>
      <c r="F33" s="58">
        <f t="shared" si="2"/>
        <v>0.6973149545307663</v>
      </c>
    </row>
    <row r="34" spans="1:6" ht="15.75">
      <c r="A34" s="5" t="s">
        <v>24</v>
      </c>
      <c r="B34" s="72">
        <v>456275145.59000003</v>
      </c>
      <c r="C34" s="72">
        <v>483939978.14000005</v>
      </c>
      <c r="D34" s="58">
        <f t="shared" si="0"/>
        <v>1.060631907780616</v>
      </c>
      <c r="E34" s="58">
        <f t="shared" si="1"/>
        <v>0.5292108082471304</v>
      </c>
      <c r="F34" s="58">
        <f t="shared" si="2"/>
        <v>1.0584216164942608</v>
      </c>
    </row>
    <row r="35" spans="1:6" ht="15.75">
      <c r="A35" s="5" t="s">
        <v>25</v>
      </c>
      <c r="B35" s="72">
        <v>45774027.65</v>
      </c>
      <c r="C35" s="72">
        <v>48096197.830000006</v>
      </c>
      <c r="D35" s="58">
        <f t="shared" si="0"/>
        <v>1.050731174406498</v>
      </c>
      <c r="E35" s="58">
        <f t="shared" si="1"/>
        <v>0.5048334674587982</v>
      </c>
      <c r="F35" s="58">
        <f t="shared" si="2"/>
        <v>1.0096669349175964</v>
      </c>
    </row>
    <row r="36" spans="1:6" ht="15.75">
      <c r="A36" s="5" t="s">
        <v>26</v>
      </c>
      <c r="B36" s="72">
        <v>186959946.58999997</v>
      </c>
      <c r="C36" s="72">
        <v>193787963.21000004</v>
      </c>
      <c r="D36" s="58">
        <f t="shared" si="0"/>
        <v>1.0365212803305608</v>
      </c>
      <c r="E36" s="58">
        <f t="shared" si="1"/>
        <v>0.46984621779093333</v>
      </c>
      <c r="F36" s="58">
        <f t="shared" si="2"/>
        <v>0.9396924355818667</v>
      </c>
    </row>
    <row r="37" spans="1:6" ht="15.75">
      <c r="A37" s="5" t="s">
        <v>27</v>
      </c>
      <c r="B37" s="72">
        <v>245394580.31</v>
      </c>
      <c r="C37" s="72">
        <v>207529121.98</v>
      </c>
      <c r="D37" s="58">
        <f t="shared" si="0"/>
        <v>0.8456956209784028</v>
      </c>
      <c r="E37" s="58">
        <f t="shared" si="1"/>
        <v>0</v>
      </c>
      <c r="F37" s="58">
        <f t="shared" si="2"/>
        <v>0</v>
      </c>
    </row>
    <row r="38" spans="1:6" ht="15.75">
      <c r="A38" s="5" t="s">
        <v>28</v>
      </c>
      <c r="B38" s="72">
        <v>124128818.99999999</v>
      </c>
      <c r="C38" s="72">
        <v>123771856.38</v>
      </c>
      <c r="D38" s="58">
        <f t="shared" si="0"/>
        <v>0.9971242566965856</v>
      </c>
      <c r="E38" s="58">
        <f t="shared" si="1"/>
        <v>0.37284384080722216</v>
      </c>
      <c r="F38" s="58">
        <f t="shared" si="2"/>
        <v>0.7456876816144443</v>
      </c>
    </row>
    <row r="39" spans="1:6" ht="15.75">
      <c r="A39" s="5" t="s">
        <v>29</v>
      </c>
      <c r="B39" s="72">
        <v>123790144.01</v>
      </c>
      <c r="C39" s="72">
        <v>121815283.42</v>
      </c>
      <c r="D39" s="58">
        <f t="shared" si="0"/>
        <v>0.9840467057713377</v>
      </c>
      <c r="E39" s="58">
        <f t="shared" si="1"/>
        <v>0.34064461843295635</v>
      </c>
      <c r="F39" s="58">
        <f t="shared" si="2"/>
        <v>0.6812892368659127</v>
      </c>
    </row>
    <row r="40" spans="1:6" ht="15.75">
      <c r="A40" s="5" t="s">
        <v>30</v>
      </c>
      <c r="B40" s="72">
        <v>293013731.08</v>
      </c>
      <c r="C40" s="72">
        <v>315263847.24000007</v>
      </c>
      <c r="D40" s="58">
        <f t="shared" si="0"/>
        <v>1.075935404385282</v>
      </c>
      <c r="E40" s="58">
        <f t="shared" si="1"/>
        <v>0.5668906990075732</v>
      </c>
      <c r="F40" s="58">
        <f t="shared" si="2"/>
        <v>1.1337813980151463</v>
      </c>
    </row>
    <row r="41" spans="1:6" ht="15.75">
      <c r="A41" s="5" t="s">
        <v>31</v>
      </c>
      <c r="B41" s="72">
        <v>637260101.5899999</v>
      </c>
      <c r="C41" s="72">
        <v>637470698.37</v>
      </c>
      <c r="D41" s="58">
        <f t="shared" si="0"/>
        <v>1.0003304722506159</v>
      </c>
      <c r="E41" s="58">
        <f t="shared" si="1"/>
        <v>0.380738105428646</v>
      </c>
      <c r="F41" s="58">
        <f t="shared" si="2"/>
        <v>0.761476210857292</v>
      </c>
    </row>
    <row r="42" spans="1:6" ht="15.75">
      <c r="A42" s="5" t="s">
        <v>32</v>
      </c>
      <c r="B42" s="72">
        <v>142332400.31</v>
      </c>
      <c r="C42" s="72">
        <v>149118655.69</v>
      </c>
      <c r="D42" s="58">
        <f t="shared" si="0"/>
        <v>1.0476789217719895</v>
      </c>
      <c r="E42" s="58">
        <f t="shared" si="1"/>
        <v>0.4973182865290696</v>
      </c>
      <c r="F42" s="58">
        <f t="shared" si="2"/>
        <v>0.9946365730581392</v>
      </c>
    </row>
    <row r="43" spans="1:6" ht="15.75">
      <c r="A43" s="5" t="s">
        <v>33</v>
      </c>
      <c r="B43" s="72">
        <v>110013744.93</v>
      </c>
      <c r="C43" s="72">
        <v>118589761.47</v>
      </c>
      <c r="D43" s="58">
        <f t="shared" si="0"/>
        <v>1.0779540460644874</v>
      </c>
      <c r="E43" s="58">
        <f t="shared" si="1"/>
        <v>0.571860948612735</v>
      </c>
      <c r="F43" s="58">
        <f t="shared" si="2"/>
        <v>1.14372189722547</v>
      </c>
    </row>
    <row r="44" spans="1:6" ht="15.75">
      <c r="A44" s="5" t="s">
        <v>34</v>
      </c>
      <c r="B44" s="72">
        <v>58675098.75</v>
      </c>
      <c r="C44" s="72">
        <v>62296899.69</v>
      </c>
      <c r="D44" s="58">
        <f t="shared" si="0"/>
        <v>1.0617263714447518</v>
      </c>
      <c r="E44" s="58">
        <f t="shared" si="1"/>
        <v>0.5319055696060045</v>
      </c>
      <c r="F44" s="58">
        <f t="shared" si="2"/>
        <v>1.063811139212009</v>
      </c>
    </row>
    <row r="45" spans="1:6" ht="15.75">
      <c r="A45" s="5" t="s">
        <v>35</v>
      </c>
      <c r="B45" s="72">
        <v>64804313.900000006</v>
      </c>
      <c r="C45" s="72">
        <v>69367429.94</v>
      </c>
      <c r="D45" s="58">
        <f t="shared" si="0"/>
        <v>1.070413769784545</v>
      </c>
      <c r="E45" s="58">
        <f t="shared" si="1"/>
        <v>0.5532954668884369</v>
      </c>
      <c r="F45" s="58">
        <f t="shared" si="2"/>
        <v>1.1065909337768738</v>
      </c>
    </row>
    <row r="46" spans="1:6" ht="15.75">
      <c r="A46" s="5" t="s">
        <v>36</v>
      </c>
      <c r="B46" s="72">
        <v>160691402.65</v>
      </c>
      <c r="C46" s="72">
        <v>141342953.87</v>
      </c>
      <c r="D46" s="58">
        <f t="shared" si="0"/>
        <v>0.8795925079940796</v>
      </c>
      <c r="E46" s="58">
        <f t="shared" si="1"/>
        <v>0.08346007666511569</v>
      </c>
      <c r="F46" s="58">
        <f t="shared" si="2"/>
        <v>0.16692015333023139</v>
      </c>
    </row>
    <row r="47" spans="1:6" s="17" customFormat="1" ht="15.75">
      <c r="A47" s="14" t="s">
        <v>67</v>
      </c>
      <c r="B47" s="60">
        <f>SUM(B$10:B$46)</f>
        <v>24780655283.870007</v>
      </c>
      <c r="C47" s="60">
        <f>SUM(C$10:C$46)</f>
        <v>26947831181.55</v>
      </c>
      <c r="D47" s="60">
        <f>$C47/$B47</f>
        <v>1.0874543418184195</v>
      </c>
      <c r="E47" s="60"/>
      <c r="F47" s="60"/>
    </row>
    <row r="48" ht="15.75">
      <c r="A48" s="6" t="s">
        <v>184</v>
      </c>
    </row>
    <row r="51" ht="15.75">
      <c r="C51" s="20"/>
    </row>
  </sheetData>
  <sheetProtection/>
  <mergeCells count="6">
    <mergeCell ref="A1:F1"/>
    <mergeCell ref="A7:A8"/>
    <mergeCell ref="B7:C7"/>
    <mergeCell ref="D7:D8"/>
    <mergeCell ref="E7:E8"/>
    <mergeCell ref="F7:F8"/>
  </mergeCells>
  <conditionalFormatting sqref="F10:F46">
    <cfRule type="cellIs" priority="1" dxfId="132" operator="equal" stopIfTrue="1">
      <formula>2</formula>
    </cfRule>
    <cfRule type="cellIs" priority="2" dxfId="133" operator="equal" stopIfTrue="1">
      <formula>0</formula>
    </cfRule>
  </conditionalFormatting>
  <printOptions horizontalCentered="1"/>
  <pageMargins left="0.15748031496062992" right="0.15748031496062992" top="0.48" bottom="0.2362204724409449" header="0.17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110" t="s">
        <v>206</v>
      </c>
      <c r="B1" s="110"/>
      <c r="C1" s="110"/>
      <c r="D1" s="110"/>
      <c r="E1" s="110"/>
      <c r="F1" s="114"/>
      <c r="G1" s="114"/>
      <c r="H1" s="114"/>
    </row>
    <row r="3" spans="1:8" ht="15.75">
      <c r="A3" s="10" t="s">
        <v>209</v>
      </c>
      <c r="B3" s="10">
        <v>1</v>
      </c>
      <c r="C3" s="2"/>
      <c r="D3" s="2"/>
      <c r="E3" s="2"/>
      <c r="F3" s="1"/>
      <c r="G3" s="1"/>
      <c r="H3" s="1"/>
    </row>
    <row r="4" spans="1:8" ht="15.75">
      <c r="A4" s="11" t="s">
        <v>210</v>
      </c>
      <c r="B4" s="11">
        <v>0</v>
      </c>
      <c r="C4" s="2"/>
      <c r="D4" s="2"/>
      <c r="E4" s="2"/>
      <c r="F4" s="1"/>
      <c r="G4" s="1"/>
      <c r="H4" s="1"/>
    </row>
    <row r="5" spans="1:8" ht="15.75">
      <c r="A5" s="12" t="s">
        <v>211</v>
      </c>
      <c r="B5" s="13" t="s">
        <v>42</v>
      </c>
      <c r="C5" s="2"/>
      <c r="D5" s="2"/>
      <c r="E5" s="2"/>
      <c r="F5" s="1"/>
      <c r="G5" s="1"/>
      <c r="H5" s="1"/>
    </row>
    <row r="7" spans="1:8" s="8" customFormat="1" ht="40.5" customHeight="1">
      <c r="A7" s="107" t="s">
        <v>38</v>
      </c>
      <c r="B7" s="120" t="s">
        <v>134</v>
      </c>
      <c r="C7" s="120"/>
      <c r="D7" s="120"/>
      <c r="E7" s="120"/>
      <c r="F7" s="108" t="s">
        <v>212</v>
      </c>
      <c r="G7" s="108" t="s">
        <v>213</v>
      </c>
      <c r="H7" s="108" t="s">
        <v>214</v>
      </c>
    </row>
    <row r="8" spans="1:8" s="8" customFormat="1" ht="24" customHeight="1">
      <c r="A8" s="107"/>
      <c r="B8" s="4">
        <v>45108</v>
      </c>
      <c r="C8" s="4">
        <v>45139</v>
      </c>
      <c r="D8" s="4">
        <v>45170</v>
      </c>
      <c r="E8" s="4">
        <v>45200</v>
      </c>
      <c r="F8" s="108"/>
      <c r="G8" s="108"/>
      <c r="H8" s="108"/>
    </row>
    <row r="9" spans="1:8" s="7" customFormat="1" ht="15.7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.75">
      <c r="A10" s="5" t="s">
        <v>0</v>
      </c>
      <c r="B10" s="66"/>
      <c r="C10" s="66"/>
      <c r="D10" s="66"/>
      <c r="E10" s="75"/>
      <c r="F10" s="19">
        <f>IF(OR($B10&gt;0,$C10&gt;0,$D10&gt;0,$E10&gt;0),1,0)</f>
        <v>0</v>
      </c>
      <c r="G10" s="19">
        <f>($F10-$B$4)/($B$3-$B$4)</f>
        <v>0</v>
      </c>
      <c r="H10" s="80">
        <f>$G10*$B$5</f>
        <v>0</v>
      </c>
    </row>
    <row r="11" spans="1:8" ht="15.75">
      <c r="A11" s="5" t="s">
        <v>1</v>
      </c>
      <c r="B11" s="66"/>
      <c r="C11" s="66"/>
      <c r="D11" s="66"/>
      <c r="E11" s="75"/>
      <c r="F11" s="19">
        <f aca="true" t="shared" si="0" ref="F11:F46">IF(OR($B11&gt;0,$C11&gt;0,$D11&gt;0,$E11&gt;0),1,0)</f>
        <v>0</v>
      </c>
      <c r="G11" s="19">
        <f aca="true" t="shared" si="1" ref="G11:G46">($F11-$B$4)/($B$3-$B$4)</f>
        <v>0</v>
      </c>
      <c r="H11" s="80">
        <f aca="true" t="shared" si="2" ref="H11:H46">$G11*$B$5</f>
        <v>0</v>
      </c>
    </row>
    <row r="12" spans="1:8" ht="15.75">
      <c r="A12" s="5" t="s">
        <v>2</v>
      </c>
      <c r="B12" s="66"/>
      <c r="C12" s="66"/>
      <c r="D12" s="66"/>
      <c r="E12" s="75"/>
      <c r="F12" s="19">
        <f t="shared" si="0"/>
        <v>0</v>
      </c>
      <c r="G12" s="19">
        <f t="shared" si="1"/>
        <v>0</v>
      </c>
      <c r="H12" s="80">
        <f t="shared" si="2"/>
        <v>0</v>
      </c>
    </row>
    <row r="13" spans="1:8" ht="15.75">
      <c r="A13" s="5" t="s">
        <v>3</v>
      </c>
      <c r="B13" s="66"/>
      <c r="C13" s="66"/>
      <c r="D13" s="66"/>
      <c r="E13" s="75"/>
      <c r="F13" s="19">
        <f t="shared" si="0"/>
        <v>0</v>
      </c>
      <c r="G13" s="19">
        <f t="shared" si="1"/>
        <v>0</v>
      </c>
      <c r="H13" s="80">
        <f t="shared" si="2"/>
        <v>0</v>
      </c>
    </row>
    <row r="14" spans="1:8" ht="15.75">
      <c r="A14" s="5" t="s">
        <v>4</v>
      </c>
      <c r="B14" s="66"/>
      <c r="C14" s="66"/>
      <c r="D14" s="66"/>
      <c r="E14" s="75"/>
      <c r="F14" s="19">
        <f t="shared" si="0"/>
        <v>0</v>
      </c>
      <c r="G14" s="19">
        <f t="shared" si="1"/>
        <v>0</v>
      </c>
      <c r="H14" s="80">
        <f t="shared" si="2"/>
        <v>0</v>
      </c>
    </row>
    <row r="15" spans="1:8" ht="15.75">
      <c r="A15" s="5" t="s">
        <v>5</v>
      </c>
      <c r="B15" s="66"/>
      <c r="C15" s="66"/>
      <c r="D15" s="66"/>
      <c r="E15" s="75"/>
      <c r="F15" s="19">
        <f t="shared" si="0"/>
        <v>0</v>
      </c>
      <c r="G15" s="19">
        <f t="shared" si="1"/>
        <v>0</v>
      </c>
      <c r="H15" s="80">
        <f t="shared" si="2"/>
        <v>0</v>
      </c>
    </row>
    <row r="16" spans="1:8" ht="15.75">
      <c r="A16" s="5" t="s">
        <v>6</v>
      </c>
      <c r="B16" s="67"/>
      <c r="C16" s="66"/>
      <c r="D16" s="66"/>
      <c r="E16" s="76"/>
      <c r="F16" s="19">
        <f t="shared" si="0"/>
        <v>0</v>
      </c>
      <c r="G16" s="19">
        <f t="shared" si="1"/>
        <v>0</v>
      </c>
      <c r="H16" s="80">
        <f t="shared" si="2"/>
        <v>0</v>
      </c>
    </row>
    <row r="17" spans="1:8" ht="15.75">
      <c r="A17" s="5" t="s">
        <v>7</v>
      </c>
      <c r="B17" s="66"/>
      <c r="C17" s="66"/>
      <c r="D17" s="66"/>
      <c r="E17" s="75"/>
      <c r="F17" s="19">
        <f t="shared" si="0"/>
        <v>0</v>
      </c>
      <c r="G17" s="19">
        <f t="shared" si="1"/>
        <v>0</v>
      </c>
      <c r="H17" s="80">
        <f t="shared" si="2"/>
        <v>0</v>
      </c>
    </row>
    <row r="18" spans="1:8" ht="15.75">
      <c r="A18" s="5" t="s">
        <v>8</v>
      </c>
      <c r="B18" s="66"/>
      <c r="C18" s="66"/>
      <c r="D18" s="66"/>
      <c r="E18" s="75"/>
      <c r="F18" s="19">
        <f t="shared" si="0"/>
        <v>0</v>
      </c>
      <c r="G18" s="19">
        <f t="shared" si="1"/>
        <v>0</v>
      </c>
      <c r="H18" s="80">
        <f t="shared" si="2"/>
        <v>0</v>
      </c>
    </row>
    <row r="19" spans="1:8" ht="15.75">
      <c r="A19" s="5" t="s">
        <v>9</v>
      </c>
      <c r="B19" s="66"/>
      <c r="C19" s="66"/>
      <c r="D19" s="66"/>
      <c r="E19" s="75"/>
      <c r="F19" s="19">
        <f t="shared" si="0"/>
        <v>0</v>
      </c>
      <c r="G19" s="19">
        <f t="shared" si="1"/>
        <v>0</v>
      </c>
      <c r="H19" s="80">
        <f t="shared" si="2"/>
        <v>0</v>
      </c>
    </row>
    <row r="20" spans="1:8" ht="15.75">
      <c r="A20" s="5" t="s">
        <v>10</v>
      </c>
      <c r="B20" s="66"/>
      <c r="C20" s="66"/>
      <c r="D20" s="66"/>
      <c r="E20" s="75"/>
      <c r="F20" s="19">
        <f t="shared" si="0"/>
        <v>0</v>
      </c>
      <c r="G20" s="19">
        <f t="shared" si="1"/>
        <v>0</v>
      </c>
      <c r="H20" s="80">
        <f t="shared" si="2"/>
        <v>0</v>
      </c>
    </row>
    <row r="21" spans="1:8" ht="15.75">
      <c r="A21" s="5" t="s">
        <v>11</v>
      </c>
      <c r="B21" s="66"/>
      <c r="C21" s="66"/>
      <c r="D21" s="66"/>
      <c r="E21" s="75"/>
      <c r="F21" s="19">
        <f t="shared" si="0"/>
        <v>0</v>
      </c>
      <c r="G21" s="19">
        <f t="shared" si="1"/>
        <v>0</v>
      </c>
      <c r="H21" s="80">
        <f t="shared" si="2"/>
        <v>0</v>
      </c>
    </row>
    <row r="22" spans="1:8" ht="15.75">
      <c r="A22" s="5" t="s">
        <v>12</v>
      </c>
      <c r="B22" s="66"/>
      <c r="C22" s="66"/>
      <c r="D22" s="66"/>
      <c r="E22" s="75"/>
      <c r="F22" s="19">
        <f t="shared" si="0"/>
        <v>0</v>
      </c>
      <c r="G22" s="19">
        <f t="shared" si="1"/>
        <v>0</v>
      </c>
      <c r="H22" s="80">
        <f t="shared" si="2"/>
        <v>0</v>
      </c>
    </row>
    <row r="23" spans="1:8" ht="15.75">
      <c r="A23" s="5" t="s">
        <v>13</v>
      </c>
      <c r="B23" s="66"/>
      <c r="C23" s="66"/>
      <c r="D23" s="66"/>
      <c r="E23" s="75"/>
      <c r="F23" s="19">
        <f t="shared" si="0"/>
        <v>0</v>
      </c>
      <c r="G23" s="19">
        <f t="shared" si="1"/>
        <v>0</v>
      </c>
      <c r="H23" s="80">
        <f t="shared" si="2"/>
        <v>0</v>
      </c>
    </row>
    <row r="24" spans="1:8" ht="15.75">
      <c r="A24" s="5" t="s">
        <v>14</v>
      </c>
      <c r="B24" s="66"/>
      <c r="C24" s="66"/>
      <c r="D24" s="66"/>
      <c r="E24" s="75"/>
      <c r="F24" s="19">
        <f t="shared" si="0"/>
        <v>0</v>
      </c>
      <c r="G24" s="19">
        <f t="shared" si="1"/>
        <v>0</v>
      </c>
      <c r="H24" s="80">
        <f t="shared" si="2"/>
        <v>0</v>
      </c>
    </row>
    <row r="25" spans="1:8" ht="15.75">
      <c r="A25" s="5" t="s">
        <v>15</v>
      </c>
      <c r="B25" s="66"/>
      <c r="C25" s="66"/>
      <c r="D25" s="66"/>
      <c r="E25" s="75"/>
      <c r="F25" s="19">
        <f t="shared" si="0"/>
        <v>0</v>
      </c>
      <c r="G25" s="19">
        <f t="shared" si="1"/>
        <v>0</v>
      </c>
      <c r="H25" s="80">
        <f t="shared" si="2"/>
        <v>0</v>
      </c>
    </row>
    <row r="26" spans="1:8" ht="15.75">
      <c r="A26" s="5" t="s">
        <v>16</v>
      </c>
      <c r="B26" s="66"/>
      <c r="C26" s="66"/>
      <c r="D26" s="66"/>
      <c r="E26" s="75"/>
      <c r="F26" s="19">
        <f t="shared" si="0"/>
        <v>0</v>
      </c>
      <c r="G26" s="19">
        <f t="shared" si="1"/>
        <v>0</v>
      </c>
      <c r="H26" s="80">
        <f t="shared" si="2"/>
        <v>0</v>
      </c>
    </row>
    <row r="27" spans="1:8" ht="15.75">
      <c r="A27" s="5" t="s">
        <v>17</v>
      </c>
      <c r="B27" s="66"/>
      <c r="C27" s="66"/>
      <c r="D27" s="66"/>
      <c r="E27" s="75"/>
      <c r="F27" s="19">
        <f t="shared" si="0"/>
        <v>0</v>
      </c>
      <c r="G27" s="19">
        <f t="shared" si="1"/>
        <v>0</v>
      </c>
      <c r="H27" s="80">
        <f t="shared" si="2"/>
        <v>0</v>
      </c>
    </row>
    <row r="28" spans="1:8" ht="15.75">
      <c r="A28" s="5" t="s">
        <v>18</v>
      </c>
      <c r="B28" s="66"/>
      <c r="C28" s="66"/>
      <c r="D28" s="66"/>
      <c r="E28" s="75"/>
      <c r="F28" s="19">
        <f t="shared" si="0"/>
        <v>0</v>
      </c>
      <c r="G28" s="19">
        <f t="shared" si="1"/>
        <v>0</v>
      </c>
      <c r="H28" s="80">
        <f t="shared" si="2"/>
        <v>0</v>
      </c>
    </row>
    <row r="29" spans="1:8" ht="15.75">
      <c r="A29" s="5" t="s">
        <v>19</v>
      </c>
      <c r="B29" s="66"/>
      <c r="C29" s="66"/>
      <c r="D29" s="66"/>
      <c r="E29" s="75"/>
      <c r="F29" s="19">
        <f t="shared" si="0"/>
        <v>0</v>
      </c>
      <c r="G29" s="19">
        <f t="shared" si="1"/>
        <v>0</v>
      </c>
      <c r="H29" s="80">
        <f t="shared" si="2"/>
        <v>0</v>
      </c>
    </row>
    <row r="30" spans="1:8" ht="15.75">
      <c r="A30" s="5" t="s">
        <v>20</v>
      </c>
      <c r="B30" s="66"/>
      <c r="C30" s="66"/>
      <c r="D30" s="66"/>
      <c r="E30" s="75"/>
      <c r="F30" s="19">
        <f t="shared" si="0"/>
        <v>0</v>
      </c>
      <c r="G30" s="19">
        <f t="shared" si="1"/>
        <v>0</v>
      </c>
      <c r="H30" s="80">
        <f t="shared" si="2"/>
        <v>0</v>
      </c>
    </row>
    <row r="31" spans="1:8" ht="15.75">
      <c r="A31" s="5" t="s">
        <v>21</v>
      </c>
      <c r="B31" s="66"/>
      <c r="C31" s="66"/>
      <c r="D31" s="66"/>
      <c r="E31" s="75"/>
      <c r="F31" s="19">
        <f t="shared" si="0"/>
        <v>0</v>
      </c>
      <c r="G31" s="19">
        <f t="shared" si="1"/>
        <v>0</v>
      </c>
      <c r="H31" s="80">
        <f t="shared" si="2"/>
        <v>0</v>
      </c>
    </row>
    <row r="32" spans="1:8" ht="15.75">
      <c r="A32" s="5" t="s">
        <v>22</v>
      </c>
      <c r="B32" s="66"/>
      <c r="C32" s="66"/>
      <c r="D32" s="66"/>
      <c r="E32" s="75"/>
      <c r="F32" s="19">
        <f t="shared" si="0"/>
        <v>0</v>
      </c>
      <c r="G32" s="19">
        <f t="shared" si="1"/>
        <v>0</v>
      </c>
      <c r="H32" s="80">
        <f t="shared" si="2"/>
        <v>0</v>
      </c>
    </row>
    <row r="33" spans="1:8" ht="15.75">
      <c r="A33" s="5" t="s">
        <v>23</v>
      </c>
      <c r="B33" s="66"/>
      <c r="C33" s="66"/>
      <c r="D33" s="66"/>
      <c r="E33" s="75"/>
      <c r="F33" s="19">
        <f t="shared" si="0"/>
        <v>0</v>
      </c>
      <c r="G33" s="19">
        <f t="shared" si="1"/>
        <v>0</v>
      </c>
      <c r="H33" s="80">
        <f t="shared" si="2"/>
        <v>0</v>
      </c>
    </row>
    <row r="34" spans="1:8" ht="15.75">
      <c r="A34" s="5" t="s">
        <v>24</v>
      </c>
      <c r="B34" s="66"/>
      <c r="C34" s="66"/>
      <c r="D34" s="66"/>
      <c r="E34" s="75"/>
      <c r="F34" s="19">
        <f t="shared" si="0"/>
        <v>0</v>
      </c>
      <c r="G34" s="19">
        <f t="shared" si="1"/>
        <v>0</v>
      </c>
      <c r="H34" s="80">
        <f t="shared" si="2"/>
        <v>0</v>
      </c>
    </row>
    <row r="35" spans="1:8" ht="15.75">
      <c r="A35" s="5" t="s">
        <v>25</v>
      </c>
      <c r="B35" s="66"/>
      <c r="C35" s="66"/>
      <c r="D35" s="66"/>
      <c r="E35" s="75"/>
      <c r="F35" s="19">
        <f t="shared" si="0"/>
        <v>0</v>
      </c>
      <c r="G35" s="19">
        <f t="shared" si="1"/>
        <v>0</v>
      </c>
      <c r="H35" s="80">
        <f t="shared" si="2"/>
        <v>0</v>
      </c>
    </row>
    <row r="36" spans="1:8" ht="15.75">
      <c r="A36" s="5" t="s">
        <v>26</v>
      </c>
      <c r="B36" s="66"/>
      <c r="C36" s="66"/>
      <c r="D36" s="66"/>
      <c r="E36" s="75"/>
      <c r="F36" s="19">
        <f t="shared" si="0"/>
        <v>0</v>
      </c>
      <c r="G36" s="19">
        <f t="shared" si="1"/>
        <v>0</v>
      </c>
      <c r="H36" s="80">
        <f t="shared" si="2"/>
        <v>0</v>
      </c>
    </row>
    <row r="37" spans="1:8" ht="15.75">
      <c r="A37" s="5" t="s">
        <v>27</v>
      </c>
      <c r="B37" s="66"/>
      <c r="C37" s="66"/>
      <c r="D37" s="66"/>
      <c r="E37" s="75"/>
      <c r="F37" s="19">
        <f t="shared" si="0"/>
        <v>0</v>
      </c>
      <c r="G37" s="19">
        <f t="shared" si="1"/>
        <v>0</v>
      </c>
      <c r="H37" s="80">
        <f t="shared" si="2"/>
        <v>0</v>
      </c>
    </row>
    <row r="38" spans="1:8" ht="15.75">
      <c r="A38" s="5" t="s">
        <v>28</v>
      </c>
      <c r="B38" s="66"/>
      <c r="C38" s="66"/>
      <c r="D38" s="66"/>
      <c r="E38" s="75"/>
      <c r="F38" s="19">
        <f t="shared" si="0"/>
        <v>0</v>
      </c>
      <c r="G38" s="19">
        <f t="shared" si="1"/>
        <v>0</v>
      </c>
      <c r="H38" s="80">
        <f t="shared" si="2"/>
        <v>0</v>
      </c>
    </row>
    <row r="39" spans="1:8" ht="15.75">
      <c r="A39" s="5" t="s">
        <v>29</v>
      </c>
      <c r="B39" s="66"/>
      <c r="C39" s="66"/>
      <c r="D39" s="66"/>
      <c r="E39" s="75"/>
      <c r="F39" s="19">
        <f t="shared" si="0"/>
        <v>0</v>
      </c>
      <c r="G39" s="19">
        <f t="shared" si="1"/>
        <v>0</v>
      </c>
      <c r="H39" s="80">
        <f t="shared" si="2"/>
        <v>0</v>
      </c>
    </row>
    <row r="40" spans="1:8" ht="15.75">
      <c r="A40" s="5" t="s">
        <v>30</v>
      </c>
      <c r="B40" s="66"/>
      <c r="C40" s="66"/>
      <c r="D40" s="66"/>
      <c r="E40" s="75"/>
      <c r="F40" s="19">
        <f t="shared" si="0"/>
        <v>0</v>
      </c>
      <c r="G40" s="19">
        <f t="shared" si="1"/>
        <v>0</v>
      </c>
      <c r="H40" s="80">
        <f t="shared" si="2"/>
        <v>0</v>
      </c>
    </row>
    <row r="41" spans="1:8" ht="15.75">
      <c r="A41" s="5" t="s">
        <v>31</v>
      </c>
      <c r="B41" s="66"/>
      <c r="C41" s="66"/>
      <c r="D41" s="66"/>
      <c r="E41" s="75"/>
      <c r="F41" s="19">
        <f t="shared" si="0"/>
        <v>0</v>
      </c>
      <c r="G41" s="19">
        <f t="shared" si="1"/>
        <v>0</v>
      </c>
      <c r="H41" s="80">
        <f t="shared" si="2"/>
        <v>0</v>
      </c>
    </row>
    <row r="42" spans="1:8" ht="15.75">
      <c r="A42" s="5" t="s">
        <v>32</v>
      </c>
      <c r="B42" s="66"/>
      <c r="C42" s="66"/>
      <c r="D42" s="66"/>
      <c r="E42" s="75"/>
      <c r="F42" s="19">
        <f t="shared" si="0"/>
        <v>0</v>
      </c>
      <c r="G42" s="19">
        <f t="shared" si="1"/>
        <v>0</v>
      </c>
      <c r="H42" s="80">
        <f t="shared" si="2"/>
        <v>0</v>
      </c>
    </row>
    <row r="43" spans="1:8" ht="15.75">
      <c r="A43" s="5" t="s">
        <v>33</v>
      </c>
      <c r="B43" s="66"/>
      <c r="C43" s="66"/>
      <c r="D43" s="66"/>
      <c r="E43" s="75"/>
      <c r="F43" s="19">
        <f t="shared" si="0"/>
        <v>0</v>
      </c>
      <c r="G43" s="19">
        <f t="shared" si="1"/>
        <v>0</v>
      </c>
      <c r="H43" s="80">
        <f t="shared" si="2"/>
        <v>0</v>
      </c>
    </row>
    <row r="44" spans="1:8" ht="15.75">
      <c r="A44" s="5" t="s">
        <v>34</v>
      </c>
      <c r="B44" s="66"/>
      <c r="C44" s="66"/>
      <c r="D44" s="66"/>
      <c r="E44" s="75"/>
      <c r="F44" s="19">
        <f t="shared" si="0"/>
        <v>0</v>
      </c>
      <c r="G44" s="19">
        <f t="shared" si="1"/>
        <v>0</v>
      </c>
      <c r="H44" s="80">
        <f t="shared" si="2"/>
        <v>0</v>
      </c>
    </row>
    <row r="45" spans="1:8" ht="15.75">
      <c r="A45" s="5" t="s">
        <v>35</v>
      </c>
      <c r="B45" s="66"/>
      <c r="C45" s="66"/>
      <c r="D45" s="66"/>
      <c r="E45" s="75"/>
      <c r="F45" s="19">
        <f t="shared" si="0"/>
        <v>0</v>
      </c>
      <c r="G45" s="19">
        <f t="shared" si="1"/>
        <v>0</v>
      </c>
      <c r="H45" s="80">
        <f t="shared" si="2"/>
        <v>0</v>
      </c>
    </row>
    <row r="46" spans="1:8" ht="15.75">
      <c r="A46" s="5" t="s">
        <v>36</v>
      </c>
      <c r="B46" s="66"/>
      <c r="C46" s="66"/>
      <c r="D46" s="66"/>
      <c r="E46" s="75"/>
      <c r="F46" s="19">
        <f t="shared" si="0"/>
        <v>0</v>
      </c>
      <c r="G46" s="19">
        <f t="shared" si="1"/>
        <v>0</v>
      </c>
      <c r="H46" s="80">
        <f t="shared" si="2"/>
        <v>0</v>
      </c>
    </row>
    <row r="47" spans="1:8" ht="15.75">
      <c r="A47" s="6" t="s">
        <v>184</v>
      </c>
      <c r="F47" s="1"/>
      <c r="G47" s="1"/>
      <c r="H47" s="1"/>
    </row>
    <row r="48" spans="1:5" ht="15.7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conditionalFormatting sqref="H10:H46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421875" style="1" customWidth="1"/>
    <col min="2" max="3" width="19.003906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112" t="s">
        <v>207</v>
      </c>
      <c r="B1" s="112"/>
      <c r="C1" s="112"/>
      <c r="D1" s="112"/>
      <c r="E1" s="112"/>
      <c r="F1" s="112"/>
    </row>
    <row r="3" spans="1:2" ht="15.75">
      <c r="A3" s="10" t="s">
        <v>114</v>
      </c>
      <c r="B3" s="26">
        <f>MAX($D$10:$D$46)</f>
        <v>1</v>
      </c>
    </row>
    <row r="4" spans="1:2" ht="15.75">
      <c r="A4" s="11" t="s">
        <v>115</v>
      </c>
      <c r="B4" s="27">
        <f>MIN($D$10:$D$46)</f>
        <v>0.41935037981034096</v>
      </c>
    </row>
    <row r="5" spans="1:2" ht="15.75">
      <c r="A5" s="12" t="s">
        <v>116</v>
      </c>
      <c r="B5" s="13" t="s">
        <v>39</v>
      </c>
    </row>
    <row r="7" spans="1:6" s="8" customFormat="1" ht="36.75" customHeight="1">
      <c r="A7" s="107" t="s">
        <v>38</v>
      </c>
      <c r="B7" s="121" t="s">
        <v>363</v>
      </c>
      <c r="C7" s="121"/>
      <c r="D7" s="108" t="s">
        <v>117</v>
      </c>
      <c r="E7" s="108" t="s">
        <v>118</v>
      </c>
      <c r="F7" s="108" t="s">
        <v>119</v>
      </c>
    </row>
    <row r="8" spans="1:6" s="8" customFormat="1" ht="49.5" customHeight="1">
      <c r="A8" s="107"/>
      <c r="B8" s="102" t="s">
        <v>67</v>
      </c>
      <c r="C8" s="102" t="s">
        <v>138</v>
      </c>
      <c r="D8" s="108"/>
      <c r="E8" s="108"/>
      <c r="F8" s="108"/>
    </row>
    <row r="9" spans="1:6" s="7" customFormat="1" ht="15.75">
      <c r="A9" s="9">
        <v>1</v>
      </c>
      <c r="B9" s="9">
        <v>2</v>
      </c>
      <c r="C9" s="9">
        <v>3</v>
      </c>
      <c r="D9" s="9" t="s">
        <v>91</v>
      </c>
      <c r="E9" s="9">
        <v>5</v>
      </c>
      <c r="F9" s="9">
        <v>6</v>
      </c>
    </row>
    <row r="10" spans="1:6" ht="15.75">
      <c r="A10" s="5" t="s">
        <v>0</v>
      </c>
      <c r="B10" s="58">
        <v>44565549646.47</v>
      </c>
      <c r="C10" s="58">
        <v>29060852038.67</v>
      </c>
      <c r="D10" s="58">
        <f>$C10/$B10</f>
        <v>0.652092306034688</v>
      </c>
      <c r="E10" s="58">
        <f>($D10-$B$4)/($B$3-$B$4)</f>
        <v>0.4008302393245793</v>
      </c>
      <c r="F10" s="58">
        <f>$E10*$B$5</f>
        <v>0.8016604786491586</v>
      </c>
    </row>
    <row r="11" spans="1:6" ht="15.75">
      <c r="A11" s="5" t="s">
        <v>1</v>
      </c>
      <c r="B11" s="58">
        <v>19026868051.45</v>
      </c>
      <c r="C11" s="58">
        <v>18084059414.2</v>
      </c>
      <c r="D11" s="58">
        <f aca="true" t="shared" si="0" ref="D11:D46">$C11/$B11</f>
        <v>0.9504485638571425</v>
      </c>
      <c r="E11" s="58">
        <f aca="true" t="shared" si="1" ref="E11:E46">($D11-$B$4)/($B$3-$B$4)</f>
        <v>0.9146620708600957</v>
      </c>
      <c r="F11" s="58">
        <f aca="true" t="shared" si="2" ref="F11:F46">$E11*$B$5</f>
        <v>1.8293241417201913</v>
      </c>
    </row>
    <row r="12" spans="1:6" ht="15.75">
      <c r="A12" s="5" t="s">
        <v>2</v>
      </c>
      <c r="B12" s="58">
        <v>6275516520.97</v>
      </c>
      <c r="C12" s="58">
        <v>5539892268.02</v>
      </c>
      <c r="D12" s="58">
        <f t="shared" si="0"/>
        <v>0.882778692320884</v>
      </c>
      <c r="E12" s="58">
        <f t="shared" si="1"/>
        <v>0.7981204092739651</v>
      </c>
      <c r="F12" s="58">
        <f t="shared" si="2"/>
        <v>1.5962408185479302</v>
      </c>
    </row>
    <row r="13" spans="1:6" ht="15.75">
      <c r="A13" s="5" t="s">
        <v>3</v>
      </c>
      <c r="B13" s="58">
        <v>3182073457.5</v>
      </c>
      <c r="C13" s="58">
        <v>2843261176.67</v>
      </c>
      <c r="D13" s="58">
        <f t="shared" si="0"/>
        <v>0.893524682772035</v>
      </c>
      <c r="E13" s="58">
        <f t="shared" si="1"/>
        <v>0.8166272507107011</v>
      </c>
      <c r="F13" s="58">
        <f t="shared" si="2"/>
        <v>1.6332545014214022</v>
      </c>
    </row>
    <row r="14" spans="1:6" ht="15.75">
      <c r="A14" s="5" t="s">
        <v>4</v>
      </c>
      <c r="B14" s="58">
        <v>2798086817.23</v>
      </c>
      <c r="C14" s="58">
        <v>2645924231.73</v>
      </c>
      <c r="D14" s="58">
        <f t="shared" si="0"/>
        <v>0.9456190620809132</v>
      </c>
      <c r="E14" s="58">
        <f t="shared" si="1"/>
        <v>0.9063446594500066</v>
      </c>
      <c r="F14" s="58">
        <f t="shared" si="2"/>
        <v>1.8126893189000133</v>
      </c>
    </row>
    <row r="15" spans="1:6" ht="15.75">
      <c r="A15" s="5" t="s">
        <v>5</v>
      </c>
      <c r="B15" s="58">
        <v>1238274054.85</v>
      </c>
      <c r="C15" s="58">
        <v>1107857990.31</v>
      </c>
      <c r="D15" s="58">
        <f t="shared" si="0"/>
        <v>0.8946791592465384</v>
      </c>
      <c r="E15" s="58">
        <f t="shared" si="1"/>
        <v>0.8186155004819251</v>
      </c>
      <c r="F15" s="58">
        <f t="shared" si="2"/>
        <v>1.6372310009638502</v>
      </c>
    </row>
    <row r="16" spans="1:6" ht="15.75">
      <c r="A16" s="5" t="s">
        <v>6</v>
      </c>
      <c r="B16" s="58">
        <v>1894487856.65</v>
      </c>
      <c r="C16" s="58">
        <v>1582094020.01</v>
      </c>
      <c r="D16" s="58">
        <f t="shared" si="0"/>
        <v>0.8351038062643472</v>
      </c>
      <c r="E16" s="58">
        <f t="shared" si="1"/>
        <v>0.7160142915760587</v>
      </c>
      <c r="F16" s="58">
        <f t="shared" si="2"/>
        <v>1.4320285831521173</v>
      </c>
    </row>
    <row r="17" spans="1:6" ht="15.75">
      <c r="A17" s="5" t="s">
        <v>7</v>
      </c>
      <c r="B17" s="58">
        <v>794505890.02</v>
      </c>
      <c r="C17" s="58">
        <v>791558150.86</v>
      </c>
      <c r="D17" s="95">
        <f t="shared" si="0"/>
        <v>0.9962898460577482</v>
      </c>
      <c r="E17" s="95">
        <f t="shared" si="1"/>
        <v>0.9936103395003686</v>
      </c>
      <c r="F17" s="95">
        <f t="shared" si="2"/>
        <v>1.9872206790007372</v>
      </c>
    </row>
    <row r="18" spans="1:6" ht="15.75">
      <c r="A18" s="5" t="s">
        <v>8</v>
      </c>
      <c r="B18" s="58">
        <v>2304682174.18</v>
      </c>
      <c r="C18" s="58">
        <v>2112452429.71</v>
      </c>
      <c r="D18" s="58">
        <f t="shared" si="0"/>
        <v>0.9165916469422103</v>
      </c>
      <c r="E18" s="58">
        <f t="shared" si="1"/>
        <v>0.8563533839382418</v>
      </c>
      <c r="F18" s="58">
        <f t="shared" si="2"/>
        <v>1.7127067678764836</v>
      </c>
    </row>
    <row r="19" spans="1:6" ht="15.75">
      <c r="A19" s="5" t="s">
        <v>9</v>
      </c>
      <c r="B19" s="58">
        <v>834535903.17</v>
      </c>
      <c r="C19" s="58">
        <v>731250590.44</v>
      </c>
      <c r="D19" s="58">
        <f t="shared" si="0"/>
        <v>0.8762362262214618</v>
      </c>
      <c r="E19" s="58">
        <f t="shared" si="1"/>
        <v>0.7868529152949193</v>
      </c>
      <c r="F19" s="58">
        <f t="shared" si="2"/>
        <v>1.5737058305898386</v>
      </c>
    </row>
    <row r="20" spans="1:6" ht="15.75">
      <c r="A20" s="5" t="s">
        <v>10</v>
      </c>
      <c r="B20" s="58">
        <v>364654404.12</v>
      </c>
      <c r="C20" s="58">
        <v>355064675.63</v>
      </c>
      <c r="D20" s="58">
        <f t="shared" si="0"/>
        <v>0.973701871191869</v>
      </c>
      <c r="E20" s="58">
        <f t="shared" si="1"/>
        <v>0.9547091259621574</v>
      </c>
      <c r="F20" s="58">
        <f t="shared" si="2"/>
        <v>1.9094182519243148</v>
      </c>
    </row>
    <row r="21" spans="1:6" ht="15.75">
      <c r="A21" s="5" t="s">
        <v>11</v>
      </c>
      <c r="B21" s="58">
        <v>1335430767.17</v>
      </c>
      <c r="C21" s="58">
        <v>1334181767.17</v>
      </c>
      <c r="D21" s="95">
        <f t="shared" si="0"/>
        <v>0.9990647212639507</v>
      </c>
      <c r="E21" s="95">
        <f t="shared" si="1"/>
        <v>0.9983892545460655</v>
      </c>
      <c r="F21" s="95">
        <f t="shared" si="2"/>
        <v>1.996778509092131</v>
      </c>
    </row>
    <row r="22" spans="1:6" ht="15.75">
      <c r="A22" s="5" t="s">
        <v>12</v>
      </c>
      <c r="B22" s="58">
        <v>518714522.37</v>
      </c>
      <c r="C22" s="58">
        <v>514756353.59</v>
      </c>
      <c r="D22" s="95">
        <f t="shared" si="0"/>
        <v>0.9923692732528189</v>
      </c>
      <c r="E22" s="95">
        <f t="shared" si="1"/>
        <v>0.9868582937422938</v>
      </c>
      <c r="F22" s="95">
        <f t="shared" si="2"/>
        <v>1.9737165874845877</v>
      </c>
    </row>
    <row r="23" spans="1:6" ht="15.75">
      <c r="A23" s="5" t="s">
        <v>13</v>
      </c>
      <c r="B23" s="58">
        <v>491409824.27</v>
      </c>
      <c r="C23" s="58">
        <v>489418636.2</v>
      </c>
      <c r="D23" s="95">
        <f t="shared" si="0"/>
        <v>0.9959480092345366</v>
      </c>
      <c r="E23" s="95">
        <f t="shared" si="1"/>
        <v>0.993021625047925</v>
      </c>
      <c r="F23" s="95">
        <f t="shared" si="2"/>
        <v>1.98604325009585</v>
      </c>
    </row>
    <row r="24" spans="1:6" ht="15.75">
      <c r="A24" s="5" t="s">
        <v>14</v>
      </c>
      <c r="B24" s="58">
        <v>632717410.76</v>
      </c>
      <c r="C24" s="58">
        <v>629411879.5</v>
      </c>
      <c r="D24" s="95">
        <f t="shared" si="0"/>
        <v>0.9947756593958281</v>
      </c>
      <c r="E24" s="95">
        <f t="shared" si="1"/>
        <v>0.9910025936080602</v>
      </c>
      <c r="F24" s="95">
        <f t="shared" si="2"/>
        <v>1.9820051872161204</v>
      </c>
    </row>
    <row r="25" spans="1:6" ht="15.75">
      <c r="A25" s="5" t="s">
        <v>15</v>
      </c>
      <c r="B25" s="58">
        <v>340609769.74</v>
      </c>
      <c r="C25" s="58">
        <v>310040227.74</v>
      </c>
      <c r="D25" s="58">
        <f t="shared" si="0"/>
        <v>0.9102505426566746</v>
      </c>
      <c r="E25" s="58">
        <f t="shared" si="1"/>
        <v>0.8454326770867252</v>
      </c>
      <c r="F25" s="58">
        <f t="shared" si="2"/>
        <v>1.6908653541734504</v>
      </c>
    </row>
    <row r="26" spans="1:6" ht="15.75">
      <c r="A26" s="5" t="s">
        <v>16</v>
      </c>
      <c r="B26" s="58">
        <v>2724933142.44</v>
      </c>
      <c r="C26" s="58">
        <v>1142701748.24</v>
      </c>
      <c r="D26" s="58">
        <f t="shared" si="0"/>
        <v>0.41935037981034096</v>
      </c>
      <c r="E26" s="58">
        <f t="shared" si="1"/>
        <v>0</v>
      </c>
      <c r="F26" s="58">
        <f t="shared" si="2"/>
        <v>0</v>
      </c>
    </row>
    <row r="27" spans="1:6" ht="15.75">
      <c r="A27" s="5" t="s">
        <v>17</v>
      </c>
      <c r="B27" s="58">
        <v>309966834.29</v>
      </c>
      <c r="C27" s="58">
        <v>275373189.43</v>
      </c>
      <c r="D27" s="58">
        <f t="shared" si="0"/>
        <v>0.8883956571055768</v>
      </c>
      <c r="E27" s="58">
        <f t="shared" si="1"/>
        <v>0.807793996562041</v>
      </c>
      <c r="F27" s="58">
        <f t="shared" si="2"/>
        <v>1.615587993124082</v>
      </c>
    </row>
    <row r="28" spans="1:6" ht="15.75">
      <c r="A28" s="5" t="s">
        <v>18</v>
      </c>
      <c r="B28" s="58">
        <v>306931155.11</v>
      </c>
      <c r="C28" s="58">
        <v>306931155.11</v>
      </c>
      <c r="D28" s="58">
        <f t="shared" si="0"/>
        <v>1</v>
      </c>
      <c r="E28" s="58">
        <f t="shared" si="1"/>
        <v>1</v>
      </c>
      <c r="F28" s="58">
        <f t="shared" si="2"/>
        <v>2</v>
      </c>
    </row>
    <row r="29" spans="1:6" ht="15.75">
      <c r="A29" s="5" t="s">
        <v>19</v>
      </c>
      <c r="B29" s="58">
        <v>627723993.21</v>
      </c>
      <c r="C29" s="58">
        <v>472304424.88</v>
      </c>
      <c r="D29" s="58">
        <f t="shared" si="0"/>
        <v>0.7524077938534275</v>
      </c>
      <c r="E29" s="58">
        <f t="shared" si="1"/>
        <v>0.5735944749852745</v>
      </c>
      <c r="F29" s="58">
        <f t="shared" si="2"/>
        <v>1.147188949970549</v>
      </c>
    </row>
    <row r="30" spans="1:6" ht="15.75">
      <c r="A30" s="5" t="s">
        <v>20</v>
      </c>
      <c r="B30" s="58">
        <v>839705898.81</v>
      </c>
      <c r="C30" s="58">
        <v>838056898.81</v>
      </c>
      <c r="D30" s="95">
        <f t="shared" si="0"/>
        <v>0.9980362172013596</v>
      </c>
      <c r="E30" s="95">
        <f t="shared" si="1"/>
        <v>0.9966179555960116</v>
      </c>
      <c r="F30" s="95">
        <f t="shared" si="2"/>
        <v>1.9932359111920233</v>
      </c>
    </row>
    <row r="31" spans="1:6" ht="15.75">
      <c r="A31" s="5" t="s">
        <v>21</v>
      </c>
      <c r="B31" s="58">
        <v>324083158.94</v>
      </c>
      <c r="C31" s="58">
        <v>324083158.94</v>
      </c>
      <c r="D31" s="58">
        <f t="shared" si="0"/>
        <v>1</v>
      </c>
      <c r="E31" s="58">
        <f t="shared" si="1"/>
        <v>1</v>
      </c>
      <c r="F31" s="58">
        <f t="shared" si="2"/>
        <v>2</v>
      </c>
    </row>
    <row r="32" spans="1:6" ht="15.75">
      <c r="A32" s="5" t="s">
        <v>22</v>
      </c>
      <c r="B32" s="58">
        <v>481936960.57</v>
      </c>
      <c r="C32" s="58">
        <v>477888057.57</v>
      </c>
      <c r="D32" s="95">
        <f t="shared" si="0"/>
        <v>0.9915986875229257</v>
      </c>
      <c r="E32" s="95">
        <f t="shared" si="1"/>
        <v>0.9855311840653057</v>
      </c>
      <c r="F32" s="95">
        <f t="shared" si="2"/>
        <v>1.9710623681306114</v>
      </c>
    </row>
    <row r="33" spans="1:6" ht="15.75">
      <c r="A33" s="5" t="s">
        <v>23</v>
      </c>
      <c r="B33" s="58">
        <v>646466578.39</v>
      </c>
      <c r="C33" s="58">
        <v>645018538.39</v>
      </c>
      <c r="D33" s="95">
        <f t="shared" si="0"/>
        <v>0.9977600698189127</v>
      </c>
      <c r="E33" s="95">
        <f t="shared" si="1"/>
        <v>0.9961423720894614</v>
      </c>
      <c r="F33" s="95">
        <f t="shared" si="2"/>
        <v>1.9922847441789229</v>
      </c>
    </row>
    <row r="34" spans="1:6" ht="15.75">
      <c r="A34" s="5" t="s">
        <v>24</v>
      </c>
      <c r="B34" s="58">
        <v>1558790499.05</v>
      </c>
      <c r="C34" s="58">
        <v>912685491.65</v>
      </c>
      <c r="D34" s="58">
        <f t="shared" si="0"/>
        <v>0.5855087596480947</v>
      </c>
      <c r="E34" s="58">
        <f t="shared" si="1"/>
        <v>0.2861594566848782</v>
      </c>
      <c r="F34" s="58">
        <f t="shared" si="2"/>
        <v>0.5723189133697564</v>
      </c>
    </row>
    <row r="35" spans="1:6" ht="15.75">
      <c r="A35" s="5" t="s">
        <v>25</v>
      </c>
      <c r="B35" s="58">
        <v>303193492.5</v>
      </c>
      <c r="C35" s="58">
        <v>300626411.72</v>
      </c>
      <c r="D35" s="95">
        <f t="shared" si="0"/>
        <v>0.9915331930153483</v>
      </c>
      <c r="E35" s="95">
        <f t="shared" si="1"/>
        <v>0.9854183888351012</v>
      </c>
      <c r="F35" s="95">
        <f t="shared" si="2"/>
        <v>1.9708367776702025</v>
      </c>
    </row>
    <row r="36" spans="1:6" ht="15.75">
      <c r="A36" s="5" t="s">
        <v>26</v>
      </c>
      <c r="B36" s="58">
        <v>1965616518.04</v>
      </c>
      <c r="C36" s="58">
        <v>1956640142.46</v>
      </c>
      <c r="D36" s="95">
        <f t="shared" si="0"/>
        <v>0.9954333027334596</v>
      </c>
      <c r="E36" s="95">
        <f t="shared" si="1"/>
        <v>0.9921351928809516</v>
      </c>
      <c r="F36" s="95">
        <f t="shared" si="2"/>
        <v>1.9842703857619033</v>
      </c>
    </row>
    <row r="37" spans="1:6" ht="15.75">
      <c r="A37" s="5" t="s">
        <v>27</v>
      </c>
      <c r="B37" s="58">
        <v>337549036.54</v>
      </c>
      <c r="C37" s="58">
        <v>183602256.39</v>
      </c>
      <c r="D37" s="58">
        <f t="shared" si="0"/>
        <v>0.5439276564732333</v>
      </c>
      <c r="E37" s="58">
        <f t="shared" si="1"/>
        <v>0.21454810669160745</v>
      </c>
      <c r="F37" s="58">
        <f t="shared" si="2"/>
        <v>0.4290962133832149</v>
      </c>
    </row>
    <row r="38" spans="1:6" ht="15.75">
      <c r="A38" s="5" t="s">
        <v>28</v>
      </c>
      <c r="B38" s="58">
        <v>431810743.33</v>
      </c>
      <c r="C38" s="58">
        <v>431810743.33</v>
      </c>
      <c r="D38" s="58">
        <f t="shared" si="0"/>
        <v>1</v>
      </c>
      <c r="E38" s="58">
        <f t="shared" si="1"/>
        <v>1</v>
      </c>
      <c r="F38" s="58">
        <f t="shared" si="2"/>
        <v>2</v>
      </c>
    </row>
    <row r="39" spans="1:6" ht="15.75">
      <c r="A39" s="5" t="s">
        <v>29</v>
      </c>
      <c r="B39" s="58">
        <v>800393782.14</v>
      </c>
      <c r="C39" s="58">
        <v>345474900.87</v>
      </c>
      <c r="D39" s="58">
        <f t="shared" si="0"/>
        <v>0.43163116528255546</v>
      </c>
      <c r="E39" s="58">
        <f t="shared" si="1"/>
        <v>0.02115007923057489</v>
      </c>
      <c r="F39" s="58">
        <f t="shared" si="2"/>
        <v>0.04230015846114978</v>
      </c>
    </row>
    <row r="40" spans="1:6" ht="15.75">
      <c r="A40" s="5" t="s">
        <v>30</v>
      </c>
      <c r="B40" s="58">
        <v>1685451658.93</v>
      </c>
      <c r="C40" s="58">
        <v>1677434732.36</v>
      </c>
      <c r="D40" s="95">
        <f t="shared" si="0"/>
        <v>0.9952434550540064</v>
      </c>
      <c r="E40" s="95">
        <f t="shared" si="1"/>
        <v>0.991808235499336</v>
      </c>
      <c r="F40" s="95">
        <f t="shared" si="2"/>
        <v>1.983616470998672</v>
      </c>
    </row>
    <row r="41" spans="1:6" ht="15.75">
      <c r="A41" s="5" t="s">
        <v>31</v>
      </c>
      <c r="B41" s="58">
        <v>1990356198.32</v>
      </c>
      <c r="C41" s="58">
        <v>1764333914.13</v>
      </c>
      <c r="D41" s="58">
        <f t="shared" si="0"/>
        <v>0.8864412890613356</v>
      </c>
      <c r="E41" s="58">
        <f t="shared" si="1"/>
        <v>0.8044281663327835</v>
      </c>
      <c r="F41" s="58">
        <f t="shared" si="2"/>
        <v>1.608856332665567</v>
      </c>
    </row>
    <row r="42" spans="1:6" ht="15.75">
      <c r="A42" s="5" t="s">
        <v>32</v>
      </c>
      <c r="B42" s="58">
        <v>487913532.56</v>
      </c>
      <c r="C42" s="58">
        <v>309810311.85</v>
      </c>
      <c r="D42" s="58">
        <f t="shared" si="0"/>
        <v>0.6349697050304746</v>
      </c>
      <c r="E42" s="58">
        <f t="shared" si="1"/>
        <v>0.3713415418229419</v>
      </c>
      <c r="F42" s="58">
        <f t="shared" si="2"/>
        <v>0.7426830836458838</v>
      </c>
    </row>
    <row r="43" spans="1:6" ht="15.75">
      <c r="A43" s="5" t="s">
        <v>33</v>
      </c>
      <c r="B43" s="58">
        <v>390846154.23</v>
      </c>
      <c r="C43" s="58">
        <v>236154231.77</v>
      </c>
      <c r="D43" s="58">
        <f t="shared" si="0"/>
        <v>0.6042127553621292</v>
      </c>
      <c r="E43" s="58">
        <f t="shared" si="1"/>
        <v>0.3183716463835904</v>
      </c>
      <c r="F43" s="58">
        <f t="shared" si="2"/>
        <v>0.6367432927671808</v>
      </c>
    </row>
    <row r="44" spans="1:6" ht="15.75">
      <c r="A44" s="5" t="s">
        <v>34</v>
      </c>
      <c r="B44" s="58">
        <v>322154119.67</v>
      </c>
      <c r="C44" s="58">
        <v>320484784.28</v>
      </c>
      <c r="D44" s="95">
        <f t="shared" si="0"/>
        <v>0.9948182087762527</v>
      </c>
      <c r="E44" s="95">
        <f t="shared" si="1"/>
        <v>0.9910758725338445</v>
      </c>
      <c r="F44" s="95">
        <f t="shared" si="2"/>
        <v>1.982151745067689</v>
      </c>
    </row>
    <row r="45" spans="1:6" ht="15.75">
      <c r="A45" s="5" t="s">
        <v>35</v>
      </c>
      <c r="B45" s="58">
        <v>276527844.79</v>
      </c>
      <c r="C45" s="58">
        <v>275706012.17</v>
      </c>
      <c r="D45" s="95">
        <f t="shared" si="0"/>
        <v>0.9970280294173481</v>
      </c>
      <c r="E45" s="95">
        <f t="shared" si="1"/>
        <v>0.9948816455237134</v>
      </c>
      <c r="F45" s="95">
        <f t="shared" si="2"/>
        <v>1.9897632910474268</v>
      </c>
    </row>
    <row r="46" spans="1:6" ht="15.75">
      <c r="A46" s="5" t="s">
        <v>36</v>
      </c>
      <c r="B46" s="58">
        <v>451212555.71</v>
      </c>
      <c r="C46" s="58">
        <v>333884663.08</v>
      </c>
      <c r="D46" s="58">
        <f t="shared" si="0"/>
        <v>0.739972012867904</v>
      </c>
      <c r="E46" s="58">
        <f t="shared" si="1"/>
        <v>0.552177461087183</v>
      </c>
      <c r="F46" s="58">
        <f t="shared" si="2"/>
        <v>1.104354922174366</v>
      </c>
    </row>
    <row r="47" spans="1:6" s="17" customFormat="1" ht="15.75">
      <c r="A47" s="14" t="s">
        <v>67</v>
      </c>
      <c r="B47" s="60">
        <f>SUM(B$10:B$46)</f>
        <v>103861680928.48997</v>
      </c>
      <c r="C47" s="60">
        <f>SUM(C$10:C$46)</f>
        <v>81663081617.88</v>
      </c>
      <c r="D47" s="60">
        <f>$C47/$B47</f>
        <v>0.786267667611754</v>
      </c>
      <c r="E47" s="68"/>
      <c r="F47" s="68"/>
    </row>
    <row r="48" ht="15.7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conditionalFormatting sqref="F10:F46">
    <cfRule type="cellIs" priority="1" dxfId="132" operator="equal" stopIfTrue="1">
      <formula>2</formula>
    </cfRule>
    <cfRule type="cellIs" priority="2" dxfId="133" operator="equal" stopIfTrue="1">
      <formula>0</formula>
    </cfRule>
  </conditionalFormatting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8.28125" style="1" customWidth="1"/>
    <col min="4" max="4" width="17.28125" style="1" customWidth="1"/>
    <col min="5" max="5" width="21.7109375" style="1" customWidth="1"/>
    <col min="6" max="6" width="19.421875" style="1" customWidth="1"/>
    <col min="7" max="7" width="19.57421875" style="1" customWidth="1"/>
    <col min="8" max="8" width="19.140625" style="1" customWidth="1"/>
    <col min="9" max="9" width="22.8515625" style="1" customWidth="1"/>
    <col min="10" max="10" width="8.421875" style="1" customWidth="1"/>
    <col min="11" max="11" width="8.57421875" style="1" customWidth="1"/>
    <col min="12" max="12" width="19.00390625" style="1" customWidth="1"/>
    <col min="13" max="16384" width="8.7109375" style="1" customWidth="1"/>
  </cols>
  <sheetData>
    <row r="1" spans="1:12" ht="18.75" customHeight="1">
      <c r="A1" s="110" t="s">
        <v>215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3" spans="1:7" ht="15.75">
      <c r="A3" s="10" t="s">
        <v>56</v>
      </c>
      <c r="B3" s="32">
        <v>1</v>
      </c>
      <c r="C3" s="30"/>
      <c r="D3" s="30"/>
      <c r="E3" s="30"/>
      <c r="F3" s="30"/>
      <c r="G3" s="30"/>
    </row>
    <row r="4" spans="1:7" ht="15.75">
      <c r="A4" s="11" t="s">
        <v>57</v>
      </c>
      <c r="B4" s="33">
        <v>0</v>
      </c>
      <c r="C4" s="31"/>
      <c r="D4" s="31"/>
      <c r="E4" s="31"/>
      <c r="F4" s="31"/>
      <c r="G4" s="31"/>
    </row>
    <row r="5" spans="1:7" ht="15.75">
      <c r="A5" s="12" t="s">
        <v>58</v>
      </c>
      <c r="B5" s="13" t="s">
        <v>42</v>
      </c>
      <c r="C5" s="24"/>
      <c r="D5" s="24"/>
      <c r="E5" s="24"/>
      <c r="F5" s="24"/>
      <c r="G5" s="24"/>
    </row>
    <row r="7" spans="1:12" s="8" customFormat="1" ht="24.75" customHeight="1">
      <c r="A7" s="107" t="s">
        <v>38</v>
      </c>
      <c r="B7" s="107" t="s">
        <v>339</v>
      </c>
      <c r="C7" s="107"/>
      <c r="D7" s="107"/>
      <c r="E7" s="107"/>
      <c r="F7" s="107" t="s">
        <v>340</v>
      </c>
      <c r="G7" s="107"/>
      <c r="H7" s="107"/>
      <c r="I7" s="107" t="s">
        <v>97</v>
      </c>
      <c r="J7" s="108" t="s">
        <v>83</v>
      </c>
      <c r="K7" s="108" t="s">
        <v>84</v>
      </c>
      <c r="L7" s="108" t="s">
        <v>85</v>
      </c>
    </row>
    <row r="8" spans="1:12" s="8" customFormat="1" ht="130.5" customHeight="1">
      <c r="A8" s="107"/>
      <c r="B8" s="3" t="s">
        <v>93</v>
      </c>
      <c r="C8" s="3" t="s">
        <v>216</v>
      </c>
      <c r="D8" s="3" t="s">
        <v>217</v>
      </c>
      <c r="E8" s="3" t="s">
        <v>317</v>
      </c>
      <c r="F8" s="3" t="s">
        <v>92</v>
      </c>
      <c r="G8" s="3" t="s">
        <v>169</v>
      </c>
      <c r="H8" s="3" t="s">
        <v>94</v>
      </c>
      <c r="I8" s="107"/>
      <c r="J8" s="108"/>
      <c r="K8" s="108"/>
      <c r="L8" s="108"/>
    </row>
    <row r="9" spans="1:12" s="7" customFormat="1" ht="15.75">
      <c r="A9" s="9">
        <v>1</v>
      </c>
      <c r="B9" s="9">
        <v>2</v>
      </c>
      <c r="C9" s="9">
        <v>3</v>
      </c>
      <c r="D9" s="9">
        <v>4</v>
      </c>
      <c r="E9" s="9" t="s">
        <v>139</v>
      </c>
      <c r="F9" s="9">
        <v>6</v>
      </c>
      <c r="G9" s="9">
        <v>7</v>
      </c>
      <c r="H9" s="9" t="s">
        <v>140</v>
      </c>
      <c r="I9" s="9" t="s">
        <v>218</v>
      </c>
      <c r="J9" s="9">
        <v>10</v>
      </c>
      <c r="K9" s="9">
        <v>11</v>
      </c>
      <c r="L9" s="9">
        <v>12</v>
      </c>
    </row>
    <row r="10" spans="1:12" ht="15.75">
      <c r="A10" s="5" t="s">
        <v>0</v>
      </c>
      <c r="B10" s="57">
        <v>-2668803151.99</v>
      </c>
      <c r="C10" s="57">
        <v>968803151.99</v>
      </c>
      <c r="D10" s="57"/>
      <c r="E10" s="57">
        <f>IF(SUM($B10:$D10)&lt;0,SUM($B10:$D10),0)</f>
        <v>-1699999999.9999998</v>
      </c>
      <c r="F10" s="38">
        <v>41328195060.85</v>
      </c>
      <c r="G10" s="38">
        <v>21485124060.85</v>
      </c>
      <c r="H10" s="38">
        <f>$F10-$G10</f>
        <v>19843071000</v>
      </c>
      <c r="I10" s="29">
        <f>-$E10/$H10*100</f>
        <v>8.56722228126886</v>
      </c>
      <c r="J10" s="28">
        <f>IF($I10&gt;10,1,0)</f>
        <v>0</v>
      </c>
      <c r="K10" s="28">
        <f>($J10-$B$4)/($B$3-$B$4)</f>
        <v>0</v>
      </c>
      <c r="L10" s="80">
        <f>$K10*$B$5</f>
        <v>0</v>
      </c>
    </row>
    <row r="11" spans="1:12" ht="15.75">
      <c r="A11" s="5" t="s">
        <v>1</v>
      </c>
      <c r="B11" s="57">
        <v>-1006096017.61</v>
      </c>
      <c r="C11" s="57">
        <v>1006096017.61</v>
      </c>
      <c r="D11" s="57"/>
      <c r="E11" s="57">
        <f aca="true" t="shared" si="0" ref="E11:E46">IF(SUM($B11:$D11)&lt;0,SUM($B11:$D11),0)</f>
        <v>0</v>
      </c>
      <c r="F11" s="38">
        <v>18020772033.84</v>
      </c>
      <c r="G11" s="38">
        <v>9704277033.84</v>
      </c>
      <c r="H11" s="38">
        <f aca="true" t="shared" si="1" ref="H11:H46">$F11-$G11</f>
        <v>8316495000</v>
      </c>
      <c r="I11" s="29">
        <f aca="true" t="shared" si="2" ref="I11:I46">-$E11/$H11*100</f>
        <v>0</v>
      </c>
      <c r="J11" s="28">
        <f aca="true" t="shared" si="3" ref="J11:J46">IF($I11&gt;10,1,0)</f>
        <v>0</v>
      </c>
      <c r="K11" s="28">
        <f aca="true" t="shared" si="4" ref="K11:K46">($J11-$B$4)/($B$3-$B$4)</f>
        <v>0</v>
      </c>
      <c r="L11" s="80">
        <f aca="true" t="shared" si="5" ref="L11:L46">$K11*$B$5</f>
        <v>0</v>
      </c>
    </row>
    <row r="12" spans="1:12" ht="15.75">
      <c r="A12" s="5" t="s">
        <v>2</v>
      </c>
      <c r="B12" s="57">
        <v>-336961885.87</v>
      </c>
      <c r="C12" s="57">
        <v>351520216.87</v>
      </c>
      <c r="D12" s="57"/>
      <c r="E12" s="57">
        <f t="shared" si="0"/>
        <v>0</v>
      </c>
      <c r="F12" s="38">
        <v>5938554635.1</v>
      </c>
      <c r="G12" s="38">
        <v>4194151018.63</v>
      </c>
      <c r="H12" s="38">
        <f t="shared" si="1"/>
        <v>1744403616.4700003</v>
      </c>
      <c r="I12" s="29">
        <f t="shared" si="2"/>
        <v>0</v>
      </c>
      <c r="J12" s="28">
        <f t="shared" si="3"/>
        <v>0</v>
      </c>
      <c r="K12" s="28">
        <f t="shared" si="4"/>
        <v>0</v>
      </c>
      <c r="L12" s="80">
        <f t="shared" si="5"/>
        <v>0</v>
      </c>
    </row>
    <row r="13" spans="1:12" ht="15.75">
      <c r="A13" s="5" t="s">
        <v>3</v>
      </c>
      <c r="B13" s="57">
        <v>-342905000</v>
      </c>
      <c r="C13" s="57">
        <v>195318000</v>
      </c>
      <c r="D13" s="57">
        <v>6600000</v>
      </c>
      <c r="E13" s="57">
        <f t="shared" si="0"/>
        <v>-140987000</v>
      </c>
      <c r="F13" s="38">
        <v>2839168457.5</v>
      </c>
      <c r="G13" s="38">
        <v>1339564457.5</v>
      </c>
      <c r="H13" s="38">
        <f t="shared" si="1"/>
        <v>1499604000</v>
      </c>
      <c r="I13" s="29">
        <f t="shared" si="2"/>
        <v>9.401615359788318</v>
      </c>
      <c r="J13" s="28">
        <f t="shared" si="3"/>
        <v>0</v>
      </c>
      <c r="K13" s="28">
        <f t="shared" si="4"/>
        <v>0</v>
      </c>
      <c r="L13" s="80">
        <f t="shared" si="5"/>
        <v>0</v>
      </c>
    </row>
    <row r="14" spans="1:12" ht="15.75">
      <c r="A14" s="5" t="s">
        <v>4</v>
      </c>
      <c r="B14" s="57">
        <v>-94330870.55</v>
      </c>
      <c r="C14" s="57">
        <v>94330870.55</v>
      </c>
      <c r="D14" s="57"/>
      <c r="E14" s="57">
        <f t="shared" si="0"/>
        <v>0</v>
      </c>
      <c r="F14" s="38">
        <v>2703755946.68</v>
      </c>
      <c r="G14" s="38">
        <v>2114755946.68</v>
      </c>
      <c r="H14" s="38">
        <f t="shared" si="1"/>
        <v>588999999.9999998</v>
      </c>
      <c r="I14" s="29">
        <f t="shared" si="2"/>
        <v>0</v>
      </c>
      <c r="J14" s="28">
        <f t="shared" si="3"/>
        <v>0</v>
      </c>
      <c r="K14" s="28">
        <f t="shared" si="4"/>
        <v>0</v>
      </c>
      <c r="L14" s="80">
        <f t="shared" si="5"/>
        <v>0</v>
      </c>
    </row>
    <row r="15" spans="1:12" ht="15.75">
      <c r="A15" s="5" t="s">
        <v>5</v>
      </c>
      <c r="B15" s="57">
        <v>-63606170.27</v>
      </c>
      <c r="C15" s="57">
        <v>77746170.27</v>
      </c>
      <c r="D15" s="57"/>
      <c r="E15" s="57">
        <f t="shared" si="0"/>
        <v>0</v>
      </c>
      <c r="F15" s="38">
        <v>1174667884.58</v>
      </c>
      <c r="G15" s="38">
        <v>659981584.58</v>
      </c>
      <c r="H15" s="38">
        <f t="shared" si="1"/>
        <v>514686299.9999999</v>
      </c>
      <c r="I15" s="29">
        <f t="shared" si="2"/>
        <v>0</v>
      </c>
      <c r="J15" s="28">
        <f t="shared" si="3"/>
        <v>0</v>
      </c>
      <c r="K15" s="28">
        <f t="shared" si="4"/>
        <v>0</v>
      </c>
      <c r="L15" s="80">
        <f t="shared" si="5"/>
        <v>0</v>
      </c>
    </row>
    <row r="16" spans="1:12" ht="15.75">
      <c r="A16" s="5" t="s">
        <v>6</v>
      </c>
      <c r="B16" s="57">
        <v>-89394519.35</v>
      </c>
      <c r="C16" s="57">
        <v>52295169.35</v>
      </c>
      <c r="D16" s="57"/>
      <c r="E16" s="57">
        <f t="shared" si="0"/>
        <v>-37099349.99999999</v>
      </c>
      <c r="F16" s="38">
        <v>1805093337.3</v>
      </c>
      <c r="G16" s="38">
        <v>1294863760.38</v>
      </c>
      <c r="H16" s="38">
        <f t="shared" si="1"/>
        <v>510229576.91999984</v>
      </c>
      <c r="I16" s="29">
        <f t="shared" si="2"/>
        <v>7.271109257121113</v>
      </c>
      <c r="J16" s="28">
        <f t="shared" si="3"/>
        <v>0</v>
      </c>
      <c r="K16" s="28">
        <f t="shared" si="4"/>
        <v>0</v>
      </c>
      <c r="L16" s="80">
        <f t="shared" si="5"/>
        <v>0</v>
      </c>
    </row>
    <row r="17" spans="1:12" ht="15.75">
      <c r="A17" s="5" t="s">
        <v>7</v>
      </c>
      <c r="B17" s="57">
        <v>-53910595.73</v>
      </c>
      <c r="C17" s="57">
        <v>40030995.73</v>
      </c>
      <c r="D17" s="57"/>
      <c r="E17" s="57">
        <f t="shared" si="0"/>
        <v>-13879600</v>
      </c>
      <c r="F17" s="38">
        <v>740595294.29</v>
      </c>
      <c r="G17" s="38">
        <v>591063394.29</v>
      </c>
      <c r="H17" s="38">
        <f t="shared" si="1"/>
        <v>149531900</v>
      </c>
      <c r="I17" s="29">
        <f t="shared" si="2"/>
        <v>9.28203279701522</v>
      </c>
      <c r="J17" s="28">
        <f t="shared" si="3"/>
        <v>0</v>
      </c>
      <c r="K17" s="28">
        <f t="shared" si="4"/>
        <v>0</v>
      </c>
      <c r="L17" s="80">
        <f t="shared" si="5"/>
        <v>0</v>
      </c>
    </row>
    <row r="18" spans="1:12" ht="15.75">
      <c r="A18" s="5" t="s">
        <v>8</v>
      </c>
      <c r="B18" s="57">
        <v>-107770142.51</v>
      </c>
      <c r="C18" s="57">
        <v>76331342.51</v>
      </c>
      <c r="D18" s="57"/>
      <c r="E18" s="57">
        <f t="shared" si="0"/>
        <v>-31438800</v>
      </c>
      <c r="F18" s="38">
        <v>2196912031.67</v>
      </c>
      <c r="G18" s="38">
        <v>1656394224.67</v>
      </c>
      <c r="H18" s="38">
        <f t="shared" si="1"/>
        <v>540517807</v>
      </c>
      <c r="I18" s="29">
        <f t="shared" si="2"/>
        <v>5.816422621577017</v>
      </c>
      <c r="J18" s="28">
        <f t="shared" si="3"/>
        <v>0</v>
      </c>
      <c r="K18" s="28">
        <f t="shared" si="4"/>
        <v>0</v>
      </c>
      <c r="L18" s="80">
        <f t="shared" si="5"/>
        <v>0</v>
      </c>
    </row>
    <row r="19" spans="1:12" ht="15.75">
      <c r="A19" s="5" t="s">
        <v>9</v>
      </c>
      <c r="B19" s="57">
        <v>-28277569.66</v>
      </c>
      <c r="C19" s="57">
        <v>8277569.66</v>
      </c>
      <c r="D19" s="57"/>
      <c r="E19" s="57">
        <f t="shared" si="0"/>
        <v>-20000000</v>
      </c>
      <c r="F19" s="38">
        <v>806258333.51</v>
      </c>
      <c r="G19" s="38">
        <v>523681390.49</v>
      </c>
      <c r="H19" s="38">
        <f t="shared" si="1"/>
        <v>282576943.02</v>
      </c>
      <c r="I19" s="29">
        <f t="shared" si="2"/>
        <v>7.077718297272561</v>
      </c>
      <c r="J19" s="28">
        <f t="shared" si="3"/>
        <v>0</v>
      </c>
      <c r="K19" s="28">
        <f t="shared" si="4"/>
        <v>0</v>
      </c>
      <c r="L19" s="80">
        <f t="shared" si="5"/>
        <v>0</v>
      </c>
    </row>
    <row r="20" spans="1:12" ht="15.75">
      <c r="A20" s="5" t="s">
        <v>10</v>
      </c>
      <c r="B20" s="57">
        <v>-42506892.26</v>
      </c>
      <c r="C20" s="57">
        <v>42506892.26</v>
      </c>
      <c r="D20" s="57"/>
      <c r="E20" s="57">
        <f t="shared" si="0"/>
        <v>0</v>
      </c>
      <c r="F20" s="38">
        <v>322147511.86</v>
      </c>
      <c r="G20" s="38">
        <v>237655316.82</v>
      </c>
      <c r="H20" s="38">
        <f t="shared" si="1"/>
        <v>84492195.04000002</v>
      </c>
      <c r="I20" s="29">
        <f t="shared" si="2"/>
        <v>0</v>
      </c>
      <c r="J20" s="28">
        <f t="shared" si="3"/>
        <v>0</v>
      </c>
      <c r="K20" s="28">
        <f t="shared" si="4"/>
        <v>0</v>
      </c>
      <c r="L20" s="80">
        <f t="shared" si="5"/>
        <v>0</v>
      </c>
    </row>
    <row r="21" spans="1:12" ht="15.75">
      <c r="A21" s="5" t="s">
        <v>11</v>
      </c>
      <c r="B21" s="57">
        <v>-51906006.46</v>
      </c>
      <c r="C21" s="57">
        <v>53981006.46</v>
      </c>
      <c r="D21" s="57"/>
      <c r="E21" s="57">
        <f t="shared" si="0"/>
        <v>0</v>
      </c>
      <c r="F21" s="38">
        <v>1283524760.71</v>
      </c>
      <c r="G21" s="38">
        <v>1016474313.36</v>
      </c>
      <c r="H21" s="38">
        <f t="shared" si="1"/>
        <v>267050447.35000002</v>
      </c>
      <c r="I21" s="29">
        <f t="shared" si="2"/>
        <v>0</v>
      </c>
      <c r="J21" s="28">
        <f t="shared" si="3"/>
        <v>0</v>
      </c>
      <c r="K21" s="28">
        <f t="shared" si="4"/>
        <v>0</v>
      </c>
      <c r="L21" s="80">
        <f t="shared" si="5"/>
        <v>0</v>
      </c>
    </row>
    <row r="22" spans="1:12" ht="15.75">
      <c r="A22" s="5" t="s">
        <v>12</v>
      </c>
      <c r="B22" s="57">
        <v>-11200173.23</v>
      </c>
      <c r="C22" s="57">
        <v>11048729.82</v>
      </c>
      <c r="D22" s="57"/>
      <c r="E22" s="57">
        <f t="shared" si="0"/>
        <v>-151443.41000000015</v>
      </c>
      <c r="F22" s="38">
        <v>507514349.14</v>
      </c>
      <c r="G22" s="38">
        <v>419261781.14</v>
      </c>
      <c r="H22" s="38">
        <f t="shared" si="1"/>
        <v>88252568</v>
      </c>
      <c r="I22" s="29">
        <f t="shared" si="2"/>
        <v>0.17160226997587213</v>
      </c>
      <c r="J22" s="28">
        <f t="shared" si="3"/>
        <v>0</v>
      </c>
      <c r="K22" s="28">
        <f t="shared" si="4"/>
        <v>0</v>
      </c>
      <c r="L22" s="80">
        <f t="shared" si="5"/>
        <v>0</v>
      </c>
    </row>
    <row r="23" spans="1:12" ht="15.75">
      <c r="A23" s="5" t="s">
        <v>13</v>
      </c>
      <c r="B23" s="57">
        <v>-57744938.08</v>
      </c>
      <c r="C23" s="57">
        <v>42538688.08</v>
      </c>
      <c r="D23" s="57"/>
      <c r="E23" s="57">
        <f t="shared" si="0"/>
        <v>-15206250</v>
      </c>
      <c r="F23" s="38">
        <v>433664886.19</v>
      </c>
      <c r="G23" s="38">
        <v>273390886.19</v>
      </c>
      <c r="H23" s="38">
        <f t="shared" si="1"/>
        <v>160274000</v>
      </c>
      <c r="I23" s="29">
        <f t="shared" si="2"/>
        <v>9.487658634588268</v>
      </c>
      <c r="J23" s="28">
        <f t="shared" si="3"/>
        <v>0</v>
      </c>
      <c r="K23" s="28">
        <f t="shared" si="4"/>
        <v>0</v>
      </c>
      <c r="L23" s="80">
        <f t="shared" si="5"/>
        <v>0</v>
      </c>
    </row>
    <row r="24" spans="1:12" ht="15.75">
      <c r="A24" s="5" t="s">
        <v>14</v>
      </c>
      <c r="B24" s="57">
        <v>-14746269.23</v>
      </c>
      <c r="C24" s="57">
        <v>14746269.23</v>
      </c>
      <c r="D24" s="57"/>
      <c r="E24" s="57">
        <f t="shared" si="0"/>
        <v>0</v>
      </c>
      <c r="F24" s="38">
        <v>617971141.53</v>
      </c>
      <c r="G24" s="38">
        <v>474628277.19</v>
      </c>
      <c r="H24" s="38">
        <f t="shared" si="1"/>
        <v>143342864.33999997</v>
      </c>
      <c r="I24" s="29">
        <f t="shared" si="2"/>
        <v>0</v>
      </c>
      <c r="J24" s="28">
        <f t="shared" si="3"/>
        <v>0</v>
      </c>
      <c r="K24" s="28">
        <f t="shared" si="4"/>
        <v>0</v>
      </c>
      <c r="L24" s="80">
        <f t="shared" si="5"/>
        <v>0</v>
      </c>
    </row>
    <row r="25" spans="1:12" ht="15.75">
      <c r="A25" s="5" t="s">
        <v>364</v>
      </c>
      <c r="B25" s="57">
        <v>-23378275.06</v>
      </c>
      <c r="C25" s="57">
        <v>23378275.06</v>
      </c>
      <c r="D25" s="57"/>
      <c r="E25" s="57">
        <f t="shared" si="0"/>
        <v>0</v>
      </c>
      <c r="F25" s="38">
        <v>317231494.68</v>
      </c>
      <c r="G25" s="38">
        <v>221251204.42</v>
      </c>
      <c r="H25" s="38">
        <f t="shared" si="1"/>
        <v>95980290.26000002</v>
      </c>
      <c r="I25" s="29">
        <f t="shared" si="2"/>
        <v>0</v>
      </c>
      <c r="J25" s="28">
        <f>IF($I25&gt;5,1,0)</f>
        <v>0</v>
      </c>
      <c r="K25" s="28">
        <f t="shared" si="4"/>
        <v>0</v>
      </c>
      <c r="L25" s="80">
        <f t="shared" si="5"/>
        <v>0</v>
      </c>
    </row>
    <row r="26" spans="1:12" ht="15.75">
      <c r="A26" s="5" t="s">
        <v>16</v>
      </c>
      <c r="B26" s="57">
        <v>-25089970</v>
      </c>
      <c r="C26" s="57">
        <v>24689970</v>
      </c>
      <c r="D26" s="57"/>
      <c r="E26" s="57">
        <f t="shared" si="0"/>
        <v>-400000</v>
      </c>
      <c r="F26" s="38">
        <v>2699843172.44</v>
      </c>
      <c r="G26" s="38">
        <v>1626003850.38</v>
      </c>
      <c r="H26" s="38">
        <f t="shared" si="1"/>
        <v>1073839322.06</v>
      </c>
      <c r="I26" s="29">
        <f t="shared" si="2"/>
        <v>0.03724952064827165</v>
      </c>
      <c r="J26" s="28">
        <f t="shared" si="3"/>
        <v>0</v>
      </c>
      <c r="K26" s="28">
        <f t="shared" si="4"/>
        <v>0</v>
      </c>
      <c r="L26" s="80">
        <f t="shared" si="5"/>
        <v>0</v>
      </c>
    </row>
    <row r="27" spans="1:12" ht="15.75">
      <c r="A27" s="5" t="s">
        <v>17</v>
      </c>
      <c r="B27" s="57">
        <v>-11181035.31</v>
      </c>
      <c r="C27" s="57">
        <v>5621035.31</v>
      </c>
      <c r="D27" s="57"/>
      <c r="E27" s="57">
        <f t="shared" si="0"/>
        <v>-5560000.000000001</v>
      </c>
      <c r="F27" s="38">
        <v>298785798.98</v>
      </c>
      <c r="G27" s="38">
        <v>235946677.26</v>
      </c>
      <c r="H27" s="38">
        <f t="shared" si="1"/>
        <v>62839121.72000003</v>
      </c>
      <c r="I27" s="29">
        <f t="shared" si="2"/>
        <v>8.847991263745495</v>
      </c>
      <c r="J27" s="28">
        <f t="shared" si="3"/>
        <v>0</v>
      </c>
      <c r="K27" s="28">
        <f t="shared" si="4"/>
        <v>0</v>
      </c>
      <c r="L27" s="80">
        <f t="shared" si="5"/>
        <v>0</v>
      </c>
    </row>
    <row r="28" spans="1:12" ht="15.75">
      <c r="A28" s="5" t="s">
        <v>18</v>
      </c>
      <c r="B28" s="57">
        <v>-17723974.18</v>
      </c>
      <c r="C28" s="57">
        <v>17723974.18</v>
      </c>
      <c r="D28" s="57"/>
      <c r="E28" s="57">
        <f t="shared" si="0"/>
        <v>0</v>
      </c>
      <c r="F28" s="38">
        <v>289207180.93</v>
      </c>
      <c r="G28" s="38">
        <v>213294180.93</v>
      </c>
      <c r="H28" s="38">
        <f t="shared" si="1"/>
        <v>75913000</v>
      </c>
      <c r="I28" s="29">
        <f t="shared" si="2"/>
        <v>0</v>
      </c>
      <c r="J28" s="28">
        <f t="shared" si="3"/>
        <v>0</v>
      </c>
      <c r="K28" s="28">
        <f t="shared" si="4"/>
        <v>0</v>
      </c>
      <c r="L28" s="80">
        <f t="shared" si="5"/>
        <v>0</v>
      </c>
    </row>
    <row r="29" spans="1:12" ht="15.75">
      <c r="A29" s="5" t="s">
        <v>19</v>
      </c>
      <c r="B29" s="57">
        <v>-80114691.91</v>
      </c>
      <c r="C29" s="57">
        <v>68614691.91</v>
      </c>
      <c r="D29" s="57"/>
      <c r="E29" s="57">
        <f t="shared" si="0"/>
        <v>-11500000</v>
      </c>
      <c r="F29" s="38">
        <v>547609301.3</v>
      </c>
      <c r="G29" s="38">
        <v>284025038.23</v>
      </c>
      <c r="H29" s="38">
        <f t="shared" si="1"/>
        <v>263584263.06999993</v>
      </c>
      <c r="I29" s="29">
        <f t="shared" si="2"/>
        <v>4.362931180358802</v>
      </c>
      <c r="J29" s="28">
        <f t="shared" si="3"/>
        <v>0</v>
      </c>
      <c r="K29" s="28">
        <f t="shared" si="4"/>
        <v>0</v>
      </c>
      <c r="L29" s="80">
        <f t="shared" si="5"/>
        <v>0</v>
      </c>
    </row>
    <row r="30" spans="1:12" ht="15.75">
      <c r="A30" s="5" t="s">
        <v>20</v>
      </c>
      <c r="B30" s="57">
        <v>-148989481.37</v>
      </c>
      <c r="C30" s="57">
        <v>144662881.37</v>
      </c>
      <c r="D30" s="57"/>
      <c r="E30" s="57">
        <f t="shared" si="0"/>
        <v>-4326600</v>
      </c>
      <c r="F30" s="38">
        <v>690716417.44</v>
      </c>
      <c r="G30" s="38">
        <v>414113877.54</v>
      </c>
      <c r="H30" s="38">
        <f t="shared" si="1"/>
        <v>276602539.90000004</v>
      </c>
      <c r="I30" s="29">
        <f t="shared" si="2"/>
        <v>1.5641938796238795</v>
      </c>
      <c r="J30" s="28">
        <f t="shared" si="3"/>
        <v>0</v>
      </c>
      <c r="K30" s="28">
        <f t="shared" si="4"/>
        <v>0</v>
      </c>
      <c r="L30" s="80">
        <f t="shared" si="5"/>
        <v>0</v>
      </c>
    </row>
    <row r="31" spans="1:12" ht="15.75">
      <c r="A31" s="5" t="s">
        <v>21</v>
      </c>
      <c r="B31" s="57">
        <v>-38808407.91</v>
      </c>
      <c r="C31" s="57">
        <v>26408407.91</v>
      </c>
      <c r="D31" s="57"/>
      <c r="E31" s="57">
        <f t="shared" si="0"/>
        <v>-12399999.999999996</v>
      </c>
      <c r="F31" s="38">
        <v>285274751.03</v>
      </c>
      <c r="G31" s="38">
        <v>160434711.03</v>
      </c>
      <c r="H31" s="38">
        <f t="shared" si="1"/>
        <v>124840039.99999997</v>
      </c>
      <c r="I31" s="29">
        <f t="shared" si="2"/>
        <v>9.932710691217336</v>
      </c>
      <c r="J31" s="28">
        <f t="shared" si="3"/>
        <v>0</v>
      </c>
      <c r="K31" s="28">
        <f t="shared" si="4"/>
        <v>0</v>
      </c>
      <c r="L31" s="80">
        <f t="shared" si="5"/>
        <v>0</v>
      </c>
    </row>
    <row r="32" spans="1:12" ht="15.75">
      <c r="A32" s="5" t="s">
        <v>22</v>
      </c>
      <c r="B32" s="57">
        <v>-23007877.09</v>
      </c>
      <c r="C32" s="57">
        <v>23007877.09</v>
      </c>
      <c r="D32" s="57"/>
      <c r="E32" s="57">
        <f t="shared" si="0"/>
        <v>0</v>
      </c>
      <c r="F32" s="38">
        <v>458929083.48</v>
      </c>
      <c r="G32" s="38">
        <v>331846280.48</v>
      </c>
      <c r="H32" s="38">
        <f t="shared" si="1"/>
        <v>127082803</v>
      </c>
      <c r="I32" s="29">
        <f t="shared" si="2"/>
        <v>0</v>
      </c>
      <c r="J32" s="28">
        <f t="shared" si="3"/>
        <v>0</v>
      </c>
      <c r="K32" s="28">
        <f t="shared" si="4"/>
        <v>0</v>
      </c>
      <c r="L32" s="80">
        <f t="shared" si="5"/>
        <v>0</v>
      </c>
    </row>
    <row r="33" spans="1:12" ht="15.75">
      <c r="A33" s="5" t="s">
        <v>23</v>
      </c>
      <c r="B33" s="57">
        <v>-19931871.75</v>
      </c>
      <c r="C33" s="57">
        <v>37015508.75</v>
      </c>
      <c r="D33" s="57"/>
      <c r="E33" s="57">
        <f t="shared" si="0"/>
        <v>0</v>
      </c>
      <c r="F33" s="38">
        <v>626534706.64</v>
      </c>
      <c r="G33" s="38">
        <v>445758706.64</v>
      </c>
      <c r="H33" s="38">
        <f t="shared" si="1"/>
        <v>180776000</v>
      </c>
      <c r="I33" s="29">
        <f t="shared" si="2"/>
        <v>0</v>
      </c>
      <c r="J33" s="28">
        <f t="shared" si="3"/>
        <v>0</v>
      </c>
      <c r="K33" s="28">
        <f t="shared" si="4"/>
        <v>0</v>
      </c>
      <c r="L33" s="80">
        <f t="shared" si="5"/>
        <v>0</v>
      </c>
    </row>
    <row r="34" spans="1:12" ht="15.75">
      <c r="A34" s="5" t="s">
        <v>24</v>
      </c>
      <c r="B34" s="57">
        <v>-116605389.3</v>
      </c>
      <c r="C34" s="57">
        <v>88605389.3</v>
      </c>
      <c r="D34" s="57"/>
      <c r="E34" s="57">
        <f t="shared" si="0"/>
        <v>-28000000</v>
      </c>
      <c r="F34" s="38">
        <v>1442185109.75</v>
      </c>
      <c r="G34" s="38">
        <v>914396081.78</v>
      </c>
      <c r="H34" s="38">
        <f t="shared" si="1"/>
        <v>527789027.97</v>
      </c>
      <c r="I34" s="29">
        <f t="shared" si="2"/>
        <v>5.305150072500473</v>
      </c>
      <c r="J34" s="28">
        <f t="shared" si="3"/>
        <v>0</v>
      </c>
      <c r="K34" s="28">
        <f t="shared" si="4"/>
        <v>0</v>
      </c>
      <c r="L34" s="80">
        <f t="shared" si="5"/>
        <v>0</v>
      </c>
    </row>
    <row r="35" spans="1:12" ht="15.75">
      <c r="A35" s="5" t="s">
        <v>365</v>
      </c>
      <c r="B35" s="57">
        <v>-15736150.99</v>
      </c>
      <c r="C35" s="57">
        <v>16050650.99</v>
      </c>
      <c r="D35" s="57"/>
      <c r="E35" s="57">
        <f t="shared" si="0"/>
        <v>0</v>
      </c>
      <c r="F35" s="38">
        <v>287457341.51</v>
      </c>
      <c r="G35" s="38">
        <v>247447267.51</v>
      </c>
      <c r="H35" s="38">
        <f t="shared" si="1"/>
        <v>40010074</v>
      </c>
      <c r="I35" s="29">
        <f t="shared" si="2"/>
        <v>0</v>
      </c>
      <c r="J35" s="28">
        <f>IF($I35&gt;5,1,0)</f>
        <v>0</v>
      </c>
      <c r="K35" s="28">
        <f t="shared" si="4"/>
        <v>0</v>
      </c>
      <c r="L35" s="80">
        <f t="shared" si="5"/>
        <v>0</v>
      </c>
    </row>
    <row r="36" spans="1:12" ht="15.75">
      <c r="A36" s="5" t="s">
        <v>26</v>
      </c>
      <c r="B36" s="57">
        <v>-50964201.7</v>
      </c>
      <c r="C36" s="57">
        <v>46832501.7</v>
      </c>
      <c r="D36" s="57"/>
      <c r="E36" s="57">
        <f t="shared" si="0"/>
        <v>-4131700</v>
      </c>
      <c r="F36" s="38">
        <v>1914652316.34</v>
      </c>
      <c r="G36" s="38">
        <v>1687591017.89</v>
      </c>
      <c r="H36" s="38">
        <f t="shared" si="1"/>
        <v>227061298.4499998</v>
      </c>
      <c r="I36" s="29">
        <f t="shared" si="2"/>
        <v>1.8196407878420653</v>
      </c>
      <c r="J36" s="28">
        <f t="shared" si="3"/>
        <v>0</v>
      </c>
      <c r="K36" s="28">
        <f t="shared" si="4"/>
        <v>0</v>
      </c>
      <c r="L36" s="80">
        <f t="shared" si="5"/>
        <v>0</v>
      </c>
    </row>
    <row r="37" spans="1:12" ht="15.75">
      <c r="A37" s="5" t="s">
        <v>27</v>
      </c>
      <c r="B37" s="57">
        <v>-22015721.98</v>
      </c>
      <c r="C37" s="57">
        <v>22015721.98</v>
      </c>
      <c r="D37" s="57"/>
      <c r="E37" s="57">
        <f t="shared" si="0"/>
        <v>0</v>
      </c>
      <c r="F37" s="38">
        <v>315533314.56</v>
      </c>
      <c r="G37" s="38">
        <v>132928314.56</v>
      </c>
      <c r="H37" s="38">
        <f t="shared" si="1"/>
        <v>182605000</v>
      </c>
      <c r="I37" s="29">
        <f t="shared" si="2"/>
        <v>0</v>
      </c>
      <c r="J37" s="28">
        <f t="shared" si="3"/>
        <v>0</v>
      </c>
      <c r="K37" s="28">
        <f t="shared" si="4"/>
        <v>0</v>
      </c>
      <c r="L37" s="80">
        <f t="shared" si="5"/>
        <v>0</v>
      </c>
    </row>
    <row r="38" spans="1:12" ht="15.75">
      <c r="A38" s="5" t="s">
        <v>28</v>
      </c>
      <c r="B38" s="57">
        <v>-40911882</v>
      </c>
      <c r="C38" s="57">
        <v>40911882</v>
      </c>
      <c r="D38" s="57"/>
      <c r="E38" s="57">
        <f t="shared" si="0"/>
        <v>0</v>
      </c>
      <c r="F38" s="38">
        <v>390898861.33</v>
      </c>
      <c r="G38" s="38">
        <v>283496861.33</v>
      </c>
      <c r="H38" s="38">
        <f t="shared" si="1"/>
        <v>107402000</v>
      </c>
      <c r="I38" s="29">
        <f t="shared" si="2"/>
        <v>0</v>
      </c>
      <c r="J38" s="28">
        <f t="shared" si="3"/>
        <v>0</v>
      </c>
      <c r="K38" s="28">
        <f t="shared" si="4"/>
        <v>0</v>
      </c>
      <c r="L38" s="80">
        <f t="shared" si="5"/>
        <v>0</v>
      </c>
    </row>
    <row r="39" spans="1:12" ht="15.75">
      <c r="A39" s="5" t="s">
        <v>29</v>
      </c>
      <c r="B39" s="57">
        <v>-12184360.33</v>
      </c>
      <c r="C39" s="57">
        <v>10526610.33</v>
      </c>
      <c r="D39" s="57"/>
      <c r="E39" s="57">
        <f t="shared" si="0"/>
        <v>-1657750</v>
      </c>
      <c r="F39" s="38">
        <v>788209421.81</v>
      </c>
      <c r="G39" s="38">
        <v>661213192.13</v>
      </c>
      <c r="H39" s="38">
        <f t="shared" si="1"/>
        <v>126996229.67999995</v>
      </c>
      <c r="I39" s="29">
        <f t="shared" si="2"/>
        <v>1.305353713395376</v>
      </c>
      <c r="J39" s="28">
        <f t="shared" si="3"/>
        <v>0</v>
      </c>
      <c r="K39" s="28">
        <f t="shared" si="4"/>
        <v>0</v>
      </c>
      <c r="L39" s="80">
        <f t="shared" si="5"/>
        <v>0</v>
      </c>
    </row>
    <row r="40" spans="1:12" ht="15.75">
      <c r="A40" s="5" t="s">
        <v>30</v>
      </c>
      <c r="B40" s="57">
        <v>-79824284.66</v>
      </c>
      <c r="C40" s="57">
        <v>65874184.66</v>
      </c>
      <c r="D40" s="57"/>
      <c r="E40" s="57">
        <f t="shared" si="0"/>
        <v>-13950100</v>
      </c>
      <c r="F40" s="38">
        <v>1605627374.27</v>
      </c>
      <c r="G40" s="38">
        <v>1178672520.16</v>
      </c>
      <c r="H40" s="38">
        <f t="shared" si="1"/>
        <v>426954854.1099999</v>
      </c>
      <c r="I40" s="29">
        <f t="shared" si="2"/>
        <v>3.2673477923279264</v>
      </c>
      <c r="J40" s="28">
        <f t="shared" si="3"/>
        <v>0</v>
      </c>
      <c r="K40" s="28">
        <f t="shared" si="4"/>
        <v>0</v>
      </c>
      <c r="L40" s="80">
        <f t="shared" si="5"/>
        <v>0</v>
      </c>
    </row>
    <row r="41" spans="1:12" ht="15.75">
      <c r="A41" s="5" t="s">
        <v>31</v>
      </c>
      <c r="B41" s="57">
        <v>-134957169.43</v>
      </c>
      <c r="C41" s="57">
        <v>124059729.43</v>
      </c>
      <c r="D41" s="57"/>
      <c r="E41" s="57">
        <f t="shared" si="0"/>
        <v>-10897440</v>
      </c>
      <c r="F41" s="38">
        <v>1855399028.89</v>
      </c>
      <c r="G41" s="38">
        <v>1280122847.78</v>
      </c>
      <c r="H41" s="38">
        <f t="shared" si="1"/>
        <v>575276181.1100001</v>
      </c>
      <c r="I41" s="29">
        <f t="shared" si="2"/>
        <v>1.8942970972608844</v>
      </c>
      <c r="J41" s="28">
        <f t="shared" si="3"/>
        <v>0</v>
      </c>
      <c r="K41" s="28">
        <f t="shared" si="4"/>
        <v>0</v>
      </c>
      <c r="L41" s="80">
        <f t="shared" si="5"/>
        <v>0</v>
      </c>
    </row>
    <row r="42" spans="1:12" ht="15.75">
      <c r="A42" s="5" t="s">
        <v>32</v>
      </c>
      <c r="B42" s="57">
        <v>-29233519.66</v>
      </c>
      <c r="C42" s="57">
        <v>11233519.66</v>
      </c>
      <c r="D42" s="57"/>
      <c r="E42" s="57">
        <f t="shared" si="0"/>
        <v>-18000000</v>
      </c>
      <c r="F42" s="38">
        <v>458680012.9</v>
      </c>
      <c r="G42" s="38">
        <v>277978086.32</v>
      </c>
      <c r="H42" s="38">
        <f t="shared" si="1"/>
        <v>180701926.57999998</v>
      </c>
      <c r="I42" s="29">
        <f t="shared" si="2"/>
        <v>9.96115555637481</v>
      </c>
      <c r="J42" s="28">
        <f t="shared" si="3"/>
        <v>0</v>
      </c>
      <c r="K42" s="28">
        <f t="shared" si="4"/>
        <v>0</v>
      </c>
      <c r="L42" s="80">
        <f t="shared" si="5"/>
        <v>0</v>
      </c>
    </row>
    <row r="43" spans="1:12" ht="15.75">
      <c r="A43" s="5" t="s">
        <v>33</v>
      </c>
      <c r="B43" s="57">
        <v>-13485899.46</v>
      </c>
      <c r="C43" s="57">
        <v>13076899.46</v>
      </c>
      <c r="D43" s="57"/>
      <c r="E43" s="57">
        <f t="shared" si="0"/>
        <v>-409000</v>
      </c>
      <c r="F43" s="38">
        <v>377360254.77</v>
      </c>
      <c r="G43" s="38">
        <v>284388883.03</v>
      </c>
      <c r="H43" s="38">
        <f t="shared" si="1"/>
        <v>92971371.74000001</v>
      </c>
      <c r="I43" s="29">
        <f t="shared" si="2"/>
        <v>0.43992036725433387</v>
      </c>
      <c r="J43" s="28">
        <f t="shared" si="3"/>
        <v>0</v>
      </c>
      <c r="K43" s="28">
        <f t="shared" si="4"/>
        <v>0</v>
      </c>
      <c r="L43" s="80">
        <f t="shared" si="5"/>
        <v>0</v>
      </c>
    </row>
    <row r="44" spans="1:12" ht="15.75">
      <c r="A44" s="5" t="s">
        <v>34</v>
      </c>
      <c r="B44" s="57">
        <v>-10366095.71</v>
      </c>
      <c r="C44" s="57">
        <v>10366095.71</v>
      </c>
      <c r="D44" s="57"/>
      <c r="E44" s="57">
        <f t="shared" si="0"/>
        <v>0</v>
      </c>
      <c r="F44" s="38">
        <v>311788023.96</v>
      </c>
      <c r="G44" s="38">
        <v>236488023.96</v>
      </c>
      <c r="H44" s="38">
        <f t="shared" si="1"/>
        <v>75299999.99999997</v>
      </c>
      <c r="I44" s="29">
        <f t="shared" si="2"/>
        <v>0</v>
      </c>
      <c r="J44" s="28">
        <f t="shared" si="3"/>
        <v>0</v>
      </c>
      <c r="K44" s="28">
        <f t="shared" si="4"/>
        <v>0</v>
      </c>
      <c r="L44" s="80">
        <f t="shared" si="5"/>
        <v>0</v>
      </c>
    </row>
    <row r="45" spans="1:12" ht="15.75">
      <c r="A45" s="5" t="s">
        <v>366</v>
      </c>
      <c r="B45" s="57">
        <v>-2888000</v>
      </c>
      <c r="C45" s="57">
        <v>2888000</v>
      </c>
      <c r="D45" s="57"/>
      <c r="E45" s="57">
        <f t="shared" si="0"/>
        <v>0</v>
      </c>
      <c r="F45" s="38">
        <v>273639844.79</v>
      </c>
      <c r="G45" s="38">
        <v>201641453.53</v>
      </c>
      <c r="H45" s="38">
        <f t="shared" si="1"/>
        <v>71998391.26000002</v>
      </c>
      <c r="I45" s="29">
        <f t="shared" si="2"/>
        <v>0</v>
      </c>
      <c r="J45" s="28">
        <f>IF($I45&gt;5,1,0)</f>
        <v>0</v>
      </c>
      <c r="K45" s="28">
        <f t="shared" si="4"/>
        <v>0</v>
      </c>
      <c r="L45" s="80">
        <f t="shared" si="5"/>
        <v>0</v>
      </c>
    </row>
    <row r="46" spans="1:12" ht="15.75">
      <c r="A46" s="5" t="s">
        <v>36</v>
      </c>
      <c r="B46" s="57">
        <v>-53508403.55</v>
      </c>
      <c r="C46" s="57">
        <v>53508403.55</v>
      </c>
      <c r="D46" s="57"/>
      <c r="E46" s="57">
        <f t="shared" si="0"/>
        <v>0</v>
      </c>
      <c r="F46" s="38">
        <v>397704152.16</v>
      </c>
      <c r="G46" s="38">
        <v>272511434.16</v>
      </c>
      <c r="H46" s="38">
        <f t="shared" si="1"/>
        <v>125192718</v>
      </c>
      <c r="I46" s="29">
        <f t="shared" si="2"/>
        <v>0</v>
      </c>
      <c r="J46" s="28">
        <f t="shared" si="3"/>
        <v>0</v>
      </c>
      <c r="K46" s="28">
        <f t="shared" si="4"/>
        <v>0</v>
      </c>
      <c r="L46" s="80">
        <f t="shared" si="5"/>
        <v>0</v>
      </c>
    </row>
    <row r="47" spans="1:12" s="17" customFormat="1" ht="15.75">
      <c r="A47" s="14" t="s">
        <v>67</v>
      </c>
      <c r="B47" s="35">
        <f>SUM(B$10:B$46)</f>
        <v>-5941066866.15</v>
      </c>
      <c r="C47" s="35">
        <f aca="true" t="shared" si="6" ref="C47:H47">SUM(C$10:C$46)</f>
        <v>3912643300.7399993</v>
      </c>
      <c r="D47" s="35">
        <f t="shared" si="6"/>
        <v>6600000</v>
      </c>
      <c r="E47" s="35">
        <f t="shared" si="6"/>
        <v>-2069995033.4099998</v>
      </c>
      <c r="F47" s="35">
        <f t="shared" si="6"/>
        <v>97352062628.70998</v>
      </c>
      <c r="G47" s="35">
        <f t="shared" si="6"/>
        <v>57576817957.66</v>
      </c>
      <c r="H47" s="35">
        <f t="shared" si="6"/>
        <v>39775244671.05</v>
      </c>
      <c r="I47" s="15"/>
      <c r="J47" s="15"/>
      <c r="K47" s="16"/>
      <c r="L47" s="16"/>
    </row>
    <row r="48" spans="1:12" ht="35.25" customHeight="1">
      <c r="A48" s="122" t="s">
        <v>367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5:8" ht="15.75">
      <c r="E49" s="20"/>
      <c r="H49" s="20">
        <f>$F$47-$G$47-$H$47</f>
        <v>0</v>
      </c>
    </row>
  </sheetData>
  <sheetProtection/>
  <mergeCells count="9">
    <mergeCell ref="A48:L48"/>
    <mergeCell ref="A1:L1"/>
    <mergeCell ref="A7:A8"/>
    <mergeCell ref="J7:J8"/>
    <mergeCell ref="K7:K8"/>
    <mergeCell ref="L7:L8"/>
    <mergeCell ref="B7:E7"/>
    <mergeCell ref="F7:H7"/>
    <mergeCell ref="I7:I8"/>
  </mergeCells>
  <conditionalFormatting sqref="L10:L46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5" r:id="rId1"/>
  <ignoredErrors>
    <ignoredError sqref="J25 J35 J4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9.140625" defaultRowHeight="15"/>
  <cols>
    <col min="1" max="1" width="24.8515625" style="0" customWidth="1"/>
    <col min="2" max="2" width="19.421875" style="0" customWidth="1"/>
    <col min="3" max="3" width="19.00390625" style="0" customWidth="1"/>
    <col min="4" max="4" width="18.8515625" style="0" customWidth="1"/>
    <col min="5" max="5" width="19.140625" style="0" customWidth="1"/>
    <col min="6" max="6" width="23.8515625" style="0" customWidth="1"/>
    <col min="7" max="8" width="9.00390625" style="0" bestFit="1" customWidth="1"/>
    <col min="9" max="9" width="19.28125" style="0" customWidth="1"/>
  </cols>
  <sheetData>
    <row r="1" spans="1:9" ht="15.75">
      <c r="A1" s="110" t="s">
        <v>219</v>
      </c>
      <c r="B1" s="110"/>
      <c r="C1" s="110"/>
      <c r="D1" s="110"/>
      <c r="E1" s="110"/>
      <c r="F1" s="110"/>
      <c r="G1" s="110"/>
      <c r="H1" s="110"/>
      <c r="I1" s="110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0" t="s">
        <v>159</v>
      </c>
      <c r="B3" s="32">
        <v>1</v>
      </c>
      <c r="C3" s="30"/>
      <c r="D3" s="30"/>
      <c r="E3" s="39"/>
      <c r="F3" s="39"/>
      <c r="G3" s="39"/>
      <c r="H3" s="39"/>
      <c r="I3" s="39"/>
    </row>
    <row r="4" spans="1:9" ht="15.75">
      <c r="A4" s="11" t="s">
        <v>160</v>
      </c>
      <c r="B4" s="33">
        <v>0</v>
      </c>
      <c r="C4" s="31"/>
      <c r="D4" s="31"/>
      <c r="E4" s="39"/>
      <c r="F4" s="39"/>
      <c r="G4" s="39"/>
      <c r="H4" s="39"/>
      <c r="I4" s="39"/>
    </row>
    <row r="5" spans="1:9" ht="15.75">
      <c r="A5" s="12" t="s">
        <v>161</v>
      </c>
      <c r="B5" s="13" t="s">
        <v>42</v>
      </c>
      <c r="C5" s="24"/>
      <c r="D5" s="24"/>
      <c r="E5" s="39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107" t="s">
        <v>38</v>
      </c>
      <c r="B7" s="107" t="s">
        <v>368</v>
      </c>
      <c r="C7" s="107" t="s">
        <v>340</v>
      </c>
      <c r="D7" s="107"/>
      <c r="E7" s="107"/>
      <c r="F7" s="107" t="s">
        <v>318</v>
      </c>
      <c r="G7" s="108" t="s">
        <v>162</v>
      </c>
      <c r="H7" s="108" t="s">
        <v>163</v>
      </c>
      <c r="I7" s="108" t="s">
        <v>164</v>
      </c>
    </row>
    <row r="8" spans="1:9" ht="63">
      <c r="A8" s="107"/>
      <c r="B8" s="107"/>
      <c r="C8" s="3" t="s">
        <v>92</v>
      </c>
      <c r="D8" s="3" t="s">
        <v>169</v>
      </c>
      <c r="E8" s="3" t="s">
        <v>94</v>
      </c>
      <c r="F8" s="107"/>
      <c r="G8" s="108"/>
      <c r="H8" s="108"/>
      <c r="I8" s="108"/>
    </row>
    <row r="9" spans="1:9" ht="15.75">
      <c r="A9" s="9">
        <v>1</v>
      </c>
      <c r="B9" s="9">
        <v>2</v>
      </c>
      <c r="C9" s="9">
        <v>3</v>
      </c>
      <c r="D9" s="9">
        <v>4</v>
      </c>
      <c r="E9" s="9" t="s">
        <v>165</v>
      </c>
      <c r="F9" s="9" t="s">
        <v>220</v>
      </c>
      <c r="G9" s="9">
        <v>7</v>
      </c>
      <c r="H9" s="9">
        <v>8</v>
      </c>
      <c r="I9" s="9">
        <v>9</v>
      </c>
    </row>
    <row r="10" spans="1:9" ht="15.75">
      <c r="A10" s="5" t="s">
        <v>0</v>
      </c>
      <c r="B10" s="47">
        <v>9899589000</v>
      </c>
      <c r="C10" s="47">
        <v>41328195060.85</v>
      </c>
      <c r="D10" s="47">
        <v>21485124060.85</v>
      </c>
      <c r="E10" s="47">
        <f>$C10-$D10</f>
        <v>19843071000</v>
      </c>
      <c r="F10" s="47">
        <f>$B10/$E10*100</f>
        <v>49.88939968012008</v>
      </c>
      <c r="G10" s="48">
        <f>IF($F10&gt;100,1,0)</f>
        <v>0</v>
      </c>
      <c r="H10" s="48">
        <f>($G10-$B$4)/($B$3-$B$4)</f>
        <v>0</v>
      </c>
      <c r="I10" s="82">
        <f>$H10*$B$5</f>
        <v>0</v>
      </c>
    </row>
    <row r="11" spans="1:9" ht="15.75">
      <c r="A11" s="5" t="s">
        <v>1</v>
      </c>
      <c r="B11" s="47">
        <v>4272171000</v>
      </c>
      <c r="C11" s="47">
        <v>18020772033.84</v>
      </c>
      <c r="D11" s="47">
        <v>9704277033.84</v>
      </c>
      <c r="E11" s="47">
        <f aca="true" t="shared" si="0" ref="E11:E46">$C11-$D11</f>
        <v>8316495000</v>
      </c>
      <c r="F11" s="47">
        <f aca="true" t="shared" si="1" ref="F11:F46">$B11/$E11*100</f>
        <v>51.369849918745814</v>
      </c>
      <c r="G11" s="48">
        <f aca="true" t="shared" si="2" ref="G11:G46">IF($F11&gt;100,1,0)</f>
        <v>0</v>
      </c>
      <c r="H11" s="48">
        <f aca="true" t="shared" si="3" ref="H11:H46">($G11-$B$4)/($B$3-$B$4)</f>
        <v>0</v>
      </c>
      <c r="I11" s="82">
        <f aca="true" t="shared" si="4" ref="I11:I46">$H11*$B$5</f>
        <v>0</v>
      </c>
    </row>
    <row r="12" spans="1:9" ht="15.75">
      <c r="A12" s="5" t="s">
        <v>2</v>
      </c>
      <c r="B12" s="47">
        <v>425360425</v>
      </c>
      <c r="C12" s="47">
        <v>5938554635.1</v>
      </c>
      <c r="D12" s="47">
        <v>4194151018.63</v>
      </c>
      <c r="E12" s="47">
        <f t="shared" si="0"/>
        <v>1744403616.4700003</v>
      </c>
      <c r="F12" s="47">
        <f t="shared" si="1"/>
        <v>24.384289334412486</v>
      </c>
      <c r="G12" s="48">
        <f t="shared" si="2"/>
        <v>0</v>
      </c>
      <c r="H12" s="48">
        <f t="shared" si="3"/>
        <v>0</v>
      </c>
      <c r="I12" s="82">
        <f t="shared" si="4"/>
        <v>0</v>
      </c>
    </row>
    <row r="13" spans="1:9" ht="15.75">
      <c r="A13" s="5" t="s">
        <v>3</v>
      </c>
      <c r="B13" s="47">
        <v>762501000</v>
      </c>
      <c r="C13" s="47">
        <v>2839168457.5</v>
      </c>
      <c r="D13" s="47">
        <v>1339564457.5</v>
      </c>
      <c r="E13" s="47">
        <f t="shared" si="0"/>
        <v>1499604000</v>
      </c>
      <c r="F13" s="47">
        <f t="shared" si="1"/>
        <v>50.846823561420216</v>
      </c>
      <c r="G13" s="48">
        <f t="shared" si="2"/>
        <v>0</v>
      </c>
      <c r="H13" s="48">
        <f t="shared" si="3"/>
        <v>0</v>
      </c>
      <c r="I13" s="82">
        <f t="shared" si="4"/>
        <v>0</v>
      </c>
    </row>
    <row r="14" spans="1:9" ht="15.75">
      <c r="A14" s="5" t="s">
        <v>4</v>
      </c>
      <c r="B14" s="47">
        <v>12000000</v>
      </c>
      <c r="C14" s="47">
        <v>2703755946.68</v>
      </c>
      <c r="D14" s="47">
        <v>2114755946.68</v>
      </c>
      <c r="E14" s="47">
        <f t="shared" si="0"/>
        <v>588999999.9999998</v>
      </c>
      <c r="F14" s="47">
        <f t="shared" si="1"/>
        <v>2.03735144312394</v>
      </c>
      <c r="G14" s="48">
        <f t="shared" si="2"/>
        <v>0</v>
      </c>
      <c r="H14" s="48">
        <f t="shared" si="3"/>
        <v>0</v>
      </c>
      <c r="I14" s="82">
        <f t="shared" si="4"/>
        <v>0</v>
      </c>
    </row>
    <row r="15" spans="1:9" ht="15.75">
      <c r="A15" s="5" t="s">
        <v>5</v>
      </c>
      <c r="B15" s="47">
        <v>21868000</v>
      </c>
      <c r="C15" s="47">
        <v>1174667884.58</v>
      </c>
      <c r="D15" s="47">
        <v>659981584.58</v>
      </c>
      <c r="E15" s="47">
        <f t="shared" si="0"/>
        <v>514686299.9999999</v>
      </c>
      <c r="F15" s="47">
        <f t="shared" si="1"/>
        <v>4.248801648693584</v>
      </c>
      <c r="G15" s="48">
        <f t="shared" si="2"/>
        <v>0</v>
      </c>
      <c r="H15" s="48">
        <f t="shared" si="3"/>
        <v>0</v>
      </c>
      <c r="I15" s="82">
        <f t="shared" si="4"/>
        <v>0</v>
      </c>
    </row>
    <row r="16" spans="1:9" ht="15.75">
      <c r="A16" s="5" t="s">
        <v>6</v>
      </c>
      <c r="B16" s="47">
        <v>155553600</v>
      </c>
      <c r="C16" s="47">
        <v>1805093337.3</v>
      </c>
      <c r="D16" s="47">
        <v>1294863760.38</v>
      </c>
      <c r="E16" s="47">
        <f t="shared" si="0"/>
        <v>510229576.91999984</v>
      </c>
      <c r="F16" s="47">
        <f t="shared" si="1"/>
        <v>30.486982142234698</v>
      </c>
      <c r="G16" s="48">
        <f t="shared" si="2"/>
        <v>0</v>
      </c>
      <c r="H16" s="48">
        <f t="shared" si="3"/>
        <v>0</v>
      </c>
      <c r="I16" s="82">
        <f t="shared" si="4"/>
        <v>0</v>
      </c>
    </row>
    <row r="17" spans="1:9" ht="15.75">
      <c r="A17" s="5" t="s">
        <v>7</v>
      </c>
      <c r="B17" s="47">
        <v>89718800</v>
      </c>
      <c r="C17" s="47">
        <v>740595294.29</v>
      </c>
      <c r="D17" s="47">
        <v>591063394.29</v>
      </c>
      <c r="E17" s="47">
        <f t="shared" si="0"/>
        <v>149531900</v>
      </c>
      <c r="F17" s="47">
        <f t="shared" si="1"/>
        <v>59.999772623767896</v>
      </c>
      <c r="G17" s="48">
        <f t="shared" si="2"/>
        <v>0</v>
      </c>
      <c r="H17" s="48">
        <f t="shared" si="3"/>
        <v>0</v>
      </c>
      <c r="I17" s="82">
        <f t="shared" si="4"/>
        <v>0</v>
      </c>
    </row>
    <row r="18" spans="1:9" ht="15.75">
      <c r="A18" s="5" t="s">
        <v>8</v>
      </c>
      <c r="B18" s="47">
        <v>128954800</v>
      </c>
      <c r="C18" s="47">
        <v>2196912031.67</v>
      </c>
      <c r="D18" s="47">
        <v>1656394224.67</v>
      </c>
      <c r="E18" s="47">
        <f t="shared" si="0"/>
        <v>540517807</v>
      </c>
      <c r="F18" s="47">
        <f t="shared" si="1"/>
        <v>23.857641382016485</v>
      </c>
      <c r="G18" s="48">
        <f t="shared" si="2"/>
        <v>0</v>
      </c>
      <c r="H18" s="48">
        <f t="shared" si="3"/>
        <v>0</v>
      </c>
      <c r="I18" s="82">
        <f t="shared" si="4"/>
        <v>0</v>
      </c>
    </row>
    <row r="19" spans="1:9" ht="15.75">
      <c r="A19" s="5" t="s">
        <v>9</v>
      </c>
      <c r="B19" s="47">
        <v>109016000</v>
      </c>
      <c r="C19" s="47">
        <v>806258333.51</v>
      </c>
      <c r="D19" s="47">
        <v>523681390.49</v>
      </c>
      <c r="E19" s="47">
        <f t="shared" si="0"/>
        <v>282576943.02</v>
      </c>
      <c r="F19" s="47">
        <f t="shared" si="1"/>
        <v>38.57922689477328</v>
      </c>
      <c r="G19" s="48">
        <f t="shared" si="2"/>
        <v>0</v>
      </c>
      <c r="H19" s="48">
        <f t="shared" si="3"/>
        <v>0</v>
      </c>
      <c r="I19" s="82">
        <f t="shared" si="4"/>
        <v>0</v>
      </c>
    </row>
    <row r="20" spans="1:9" ht="15.75">
      <c r="A20" s="5" t="s">
        <v>10</v>
      </c>
      <c r="B20" s="47">
        <v>0</v>
      </c>
      <c r="C20" s="47">
        <v>322147511.86</v>
      </c>
      <c r="D20" s="47">
        <v>237655316.82</v>
      </c>
      <c r="E20" s="47">
        <f t="shared" si="0"/>
        <v>84492195.04000002</v>
      </c>
      <c r="F20" s="47">
        <f t="shared" si="1"/>
        <v>0</v>
      </c>
      <c r="G20" s="48">
        <f t="shared" si="2"/>
        <v>0</v>
      </c>
      <c r="H20" s="48">
        <f t="shared" si="3"/>
        <v>0</v>
      </c>
      <c r="I20" s="82">
        <f t="shared" si="4"/>
        <v>0</v>
      </c>
    </row>
    <row r="21" spans="1:9" ht="15.75">
      <c r="A21" s="5" t="s">
        <v>11</v>
      </c>
      <c r="B21" s="47">
        <v>0</v>
      </c>
      <c r="C21" s="47">
        <v>1283524760.71</v>
      </c>
      <c r="D21" s="47">
        <v>1016474313.36</v>
      </c>
      <c r="E21" s="47">
        <f t="shared" si="0"/>
        <v>267050447.35000002</v>
      </c>
      <c r="F21" s="47">
        <f t="shared" si="1"/>
        <v>0</v>
      </c>
      <c r="G21" s="48">
        <f t="shared" si="2"/>
        <v>0</v>
      </c>
      <c r="H21" s="48">
        <f t="shared" si="3"/>
        <v>0</v>
      </c>
      <c r="I21" s="82">
        <f t="shared" si="4"/>
        <v>0</v>
      </c>
    </row>
    <row r="22" spans="1:9" ht="15.75">
      <c r="A22" s="5" t="s">
        <v>12</v>
      </c>
      <c r="B22" s="47">
        <v>0</v>
      </c>
      <c r="C22" s="47">
        <v>507514349.14</v>
      </c>
      <c r="D22" s="47">
        <v>419261781.14</v>
      </c>
      <c r="E22" s="47">
        <f t="shared" si="0"/>
        <v>88252568</v>
      </c>
      <c r="F22" s="47">
        <f t="shared" si="1"/>
        <v>0</v>
      </c>
      <c r="G22" s="48">
        <f t="shared" si="2"/>
        <v>0</v>
      </c>
      <c r="H22" s="48">
        <f t="shared" si="3"/>
        <v>0</v>
      </c>
      <c r="I22" s="82">
        <f t="shared" si="4"/>
        <v>0</v>
      </c>
    </row>
    <row r="23" spans="1:9" ht="15.75">
      <c r="A23" s="5" t="s">
        <v>13</v>
      </c>
      <c r="B23" s="47">
        <v>8777750</v>
      </c>
      <c r="C23" s="47">
        <v>433664886.19</v>
      </c>
      <c r="D23" s="47">
        <v>273390886.19</v>
      </c>
      <c r="E23" s="47">
        <f t="shared" si="0"/>
        <v>160274000</v>
      </c>
      <c r="F23" s="47">
        <f t="shared" si="1"/>
        <v>5.476714875775235</v>
      </c>
      <c r="G23" s="48">
        <f t="shared" si="2"/>
        <v>0</v>
      </c>
      <c r="H23" s="48">
        <f t="shared" si="3"/>
        <v>0</v>
      </c>
      <c r="I23" s="82">
        <f t="shared" si="4"/>
        <v>0</v>
      </c>
    </row>
    <row r="24" spans="1:9" ht="15.75">
      <c r="A24" s="5" t="s">
        <v>14</v>
      </c>
      <c r="B24" s="47">
        <v>0</v>
      </c>
      <c r="C24" s="47">
        <v>617971141.53</v>
      </c>
      <c r="D24" s="47">
        <v>474628277.19</v>
      </c>
      <c r="E24" s="47">
        <f t="shared" si="0"/>
        <v>143342864.33999997</v>
      </c>
      <c r="F24" s="47">
        <f t="shared" si="1"/>
        <v>0</v>
      </c>
      <c r="G24" s="48">
        <f t="shared" si="2"/>
        <v>0</v>
      </c>
      <c r="H24" s="48">
        <f t="shared" si="3"/>
        <v>0</v>
      </c>
      <c r="I24" s="82">
        <f t="shared" si="4"/>
        <v>0</v>
      </c>
    </row>
    <row r="25" spans="1:9" ht="15.75">
      <c r="A25" s="5" t="s">
        <v>364</v>
      </c>
      <c r="B25" s="47">
        <v>0</v>
      </c>
      <c r="C25" s="47">
        <v>317231494.68</v>
      </c>
      <c r="D25" s="47">
        <v>221251204.42</v>
      </c>
      <c r="E25" s="47">
        <f t="shared" si="0"/>
        <v>95980290.26000002</v>
      </c>
      <c r="F25" s="47">
        <f t="shared" si="1"/>
        <v>0</v>
      </c>
      <c r="G25" s="48">
        <f>IF($F25&gt;50,1,0)</f>
        <v>0</v>
      </c>
      <c r="H25" s="48">
        <f t="shared" si="3"/>
        <v>0</v>
      </c>
      <c r="I25" s="82">
        <f t="shared" si="4"/>
        <v>0</v>
      </c>
    </row>
    <row r="26" spans="1:9" ht="15.75">
      <c r="A26" s="5" t="s">
        <v>16</v>
      </c>
      <c r="B26" s="47">
        <v>0</v>
      </c>
      <c r="C26" s="47">
        <v>2699843172.44</v>
      </c>
      <c r="D26" s="47">
        <v>1626003850.38</v>
      </c>
      <c r="E26" s="47">
        <f t="shared" si="0"/>
        <v>1073839322.06</v>
      </c>
      <c r="F26" s="47">
        <f t="shared" si="1"/>
        <v>0</v>
      </c>
      <c r="G26" s="48">
        <f t="shared" si="2"/>
        <v>0</v>
      </c>
      <c r="H26" s="48">
        <f t="shared" si="3"/>
        <v>0</v>
      </c>
      <c r="I26" s="82">
        <f t="shared" si="4"/>
        <v>0</v>
      </c>
    </row>
    <row r="27" spans="1:9" ht="15.75">
      <c r="A27" s="5" t="s">
        <v>17</v>
      </c>
      <c r="B27" s="47">
        <v>0</v>
      </c>
      <c r="C27" s="47">
        <v>298785798.98</v>
      </c>
      <c r="D27" s="47">
        <v>235946677.26</v>
      </c>
      <c r="E27" s="47">
        <f t="shared" si="0"/>
        <v>62839121.72000003</v>
      </c>
      <c r="F27" s="47">
        <f t="shared" si="1"/>
        <v>0</v>
      </c>
      <c r="G27" s="48">
        <f t="shared" si="2"/>
        <v>0</v>
      </c>
      <c r="H27" s="48">
        <f t="shared" si="3"/>
        <v>0</v>
      </c>
      <c r="I27" s="82">
        <f t="shared" si="4"/>
        <v>0</v>
      </c>
    </row>
    <row r="28" spans="1:9" ht="15.75">
      <c r="A28" s="5" t="s">
        <v>18</v>
      </c>
      <c r="B28" s="47">
        <v>0</v>
      </c>
      <c r="C28" s="47">
        <v>289207180.93</v>
      </c>
      <c r="D28" s="47">
        <v>213294180.93</v>
      </c>
      <c r="E28" s="47">
        <f t="shared" si="0"/>
        <v>75913000</v>
      </c>
      <c r="F28" s="47">
        <f t="shared" si="1"/>
        <v>0</v>
      </c>
      <c r="G28" s="48">
        <f t="shared" si="2"/>
        <v>0</v>
      </c>
      <c r="H28" s="48">
        <f t="shared" si="3"/>
        <v>0</v>
      </c>
      <c r="I28" s="82">
        <f t="shared" si="4"/>
        <v>0</v>
      </c>
    </row>
    <row r="29" spans="1:9" ht="15.75">
      <c r="A29" s="5" t="s">
        <v>19</v>
      </c>
      <c r="B29" s="47">
        <v>0</v>
      </c>
      <c r="C29" s="47">
        <v>547609301.3</v>
      </c>
      <c r="D29" s="47">
        <v>284025038.23</v>
      </c>
      <c r="E29" s="47">
        <f t="shared" si="0"/>
        <v>263584263.06999993</v>
      </c>
      <c r="F29" s="47">
        <f t="shared" si="1"/>
        <v>0</v>
      </c>
      <c r="G29" s="48">
        <f t="shared" si="2"/>
        <v>0</v>
      </c>
      <c r="H29" s="48">
        <f t="shared" si="3"/>
        <v>0</v>
      </c>
      <c r="I29" s="82">
        <f t="shared" si="4"/>
        <v>0</v>
      </c>
    </row>
    <row r="30" spans="1:9" ht="15.75">
      <c r="A30" s="5" t="s">
        <v>20</v>
      </c>
      <c r="B30" s="47">
        <v>18000000</v>
      </c>
      <c r="C30" s="47">
        <v>690716417.44</v>
      </c>
      <c r="D30" s="47">
        <v>414113877.54</v>
      </c>
      <c r="E30" s="47">
        <f t="shared" si="0"/>
        <v>276602539.90000004</v>
      </c>
      <c r="F30" s="47">
        <f t="shared" si="1"/>
        <v>6.507532434990485</v>
      </c>
      <c r="G30" s="48">
        <f t="shared" si="2"/>
        <v>0</v>
      </c>
      <c r="H30" s="48">
        <f t="shared" si="3"/>
        <v>0</v>
      </c>
      <c r="I30" s="82">
        <f t="shared" si="4"/>
        <v>0</v>
      </c>
    </row>
    <row r="31" spans="1:9" ht="15.75">
      <c r="A31" s="5" t="s">
        <v>21</v>
      </c>
      <c r="B31" s="47">
        <v>86332000</v>
      </c>
      <c r="C31" s="47">
        <v>285274751.03</v>
      </c>
      <c r="D31" s="47">
        <v>160434711.03</v>
      </c>
      <c r="E31" s="47">
        <f t="shared" si="0"/>
        <v>124840039.99999997</v>
      </c>
      <c r="F31" s="47">
        <f t="shared" si="1"/>
        <v>69.1540951124335</v>
      </c>
      <c r="G31" s="48">
        <f t="shared" si="2"/>
        <v>0</v>
      </c>
      <c r="H31" s="48">
        <f t="shared" si="3"/>
        <v>0</v>
      </c>
      <c r="I31" s="82">
        <f t="shared" si="4"/>
        <v>0</v>
      </c>
    </row>
    <row r="32" spans="1:9" ht="15.75">
      <c r="A32" s="5" t="s">
        <v>22</v>
      </c>
      <c r="B32" s="47">
        <v>0</v>
      </c>
      <c r="C32" s="47">
        <v>458929083.48</v>
      </c>
      <c r="D32" s="47">
        <v>331846280.48</v>
      </c>
      <c r="E32" s="47">
        <f t="shared" si="0"/>
        <v>127082803</v>
      </c>
      <c r="F32" s="47">
        <f t="shared" si="1"/>
        <v>0</v>
      </c>
      <c r="G32" s="48">
        <f t="shared" si="2"/>
        <v>0</v>
      </c>
      <c r="H32" s="48">
        <f t="shared" si="3"/>
        <v>0</v>
      </c>
      <c r="I32" s="82">
        <f t="shared" si="4"/>
        <v>0</v>
      </c>
    </row>
    <row r="33" spans="1:9" ht="15.75">
      <c r="A33" s="5" t="s">
        <v>23</v>
      </c>
      <c r="B33" s="47">
        <v>39301000</v>
      </c>
      <c r="C33" s="47">
        <v>626534706.64</v>
      </c>
      <c r="D33" s="47">
        <v>445758706.64</v>
      </c>
      <c r="E33" s="47">
        <f t="shared" si="0"/>
        <v>180776000</v>
      </c>
      <c r="F33" s="47">
        <f t="shared" si="1"/>
        <v>21.740164623622604</v>
      </c>
      <c r="G33" s="48">
        <f t="shared" si="2"/>
        <v>0</v>
      </c>
      <c r="H33" s="48">
        <f t="shared" si="3"/>
        <v>0</v>
      </c>
      <c r="I33" s="82">
        <f t="shared" si="4"/>
        <v>0</v>
      </c>
    </row>
    <row r="34" spans="1:9" ht="15.75">
      <c r="A34" s="5" t="s">
        <v>24</v>
      </c>
      <c r="B34" s="47">
        <v>0</v>
      </c>
      <c r="C34" s="47">
        <v>1442185109.75</v>
      </c>
      <c r="D34" s="47">
        <v>914396081.78</v>
      </c>
      <c r="E34" s="47">
        <f t="shared" si="0"/>
        <v>527789027.97</v>
      </c>
      <c r="F34" s="47">
        <f t="shared" si="1"/>
        <v>0</v>
      </c>
      <c r="G34" s="48">
        <f t="shared" si="2"/>
        <v>0</v>
      </c>
      <c r="H34" s="48">
        <f t="shared" si="3"/>
        <v>0</v>
      </c>
      <c r="I34" s="82">
        <f t="shared" si="4"/>
        <v>0</v>
      </c>
    </row>
    <row r="35" spans="1:9" ht="15.75">
      <c r="A35" s="5" t="s">
        <v>365</v>
      </c>
      <c r="B35" s="47">
        <v>15737000</v>
      </c>
      <c r="C35" s="47">
        <v>287457341.51</v>
      </c>
      <c r="D35" s="47">
        <v>247447267.51</v>
      </c>
      <c r="E35" s="47">
        <f t="shared" si="0"/>
        <v>40010074</v>
      </c>
      <c r="F35" s="47">
        <f t="shared" si="1"/>
        <v>39.3325940861794</v>
      </c>
      <c r="G35" s="48">
        <f>IF($F35&gt;50,1,0)</f>
        <v>0</v>
      </c>
      <c r="H35" s="48">
        <f t="shared" si="3"/>
        <v>0</v>
      </c>
      <c r="I35" s="82">
        <f t="shared" si="4"/>
        <v>0</v>
      </c>
    </row>
    <row r="36" spans="1:9" ht="15.75">
      <c r="A36" s="5" t="s">
        <v>26</v>
      </c>
      <c r="B36" s="47">
        <v>56983510</v>
      </c>
      <c r="C36" s="47">
        <v>1914652316.34</v>
      </c>
      <c r="D36" s="47">
        <v>1687591017.89</v>
      </c>
      <c r="E36" s="47">
        <f t="shared" si="0"/>
        <v>227061298.4499998</v>
      </c>
      <c r="F36" s="47">
        <f t="shared" si="1"/>
        <v>25.096090962656103</v>
      </c>
      <c r="G36" s="48">
        <f t="shared" si="2"/>
        <v>0</v>
      </c>
      <c r="H36" s="48">
        <f t="shared" si="3"/>
        <v>0</v>
      </c>
      <c r="I36" s="82">
        <f t="shared" si="4"/>
        <v>0</v>
      </c>
    </row>
    <row r="37" spans="1:9" ht="15.75">
      <c r="A37" s="5" t="s">
        <v>27</v>
      </c>
      <c r="B37" s="47">
        <v>0</v>
      </c>
      <c r="C37" s="47">
        <v>315533314.56</v>
      </c>
      <c r="D37" s="47">
        <v>132928314.56</v>
      </c>
      <c r="E37" s="47">
        <f t="shared" si="0"/>
        <v>182605000</v>
      </c>
      <c r="F37" s="47">
        <f t="shared" si="1"/>
        <v>0</v>
      </c>
      <c r="G37" s="48">
        <f t="shared" si="2"/>
        <v>0</v>
      </c>
      <c r="H37" s="48">
        <f t="shared" si="3"/>
        <v>0</v>
      </c>
      <c r="I37" s="82">
        <f t="shared" si="4"/>
        <v>0</v>
      </c>
    </row>
    <row r="38" spans="1:9" ht="15.75">
      <c r="A38" s="5" t="s">
        <v>28</v>
      </c>
      <c r="B38" s="47">
        <v>0</v>
      </c>
      <c r="C38" s="47">
        <v>390898861.33</v>
      </c>
      <c r="D38" s="47">
        <v>283496861.33</v>
      </c>
      <c r="E38" s="47">
        <f t="shared" si="0"/>
        <v>107402000</v>
      </c>
      <c r="F38" s="47">
        <f t="shared" si="1"/>
        <v>0</v>
      </c>
      <c r="G38" s="48">
        <f t="shared" si="2"/>
        <v>0</v>
      </c>
      <c r="H38" s="48">
        <f t="shared" si="3"/>
        <v>0</v>
      </c>
      <c r="I38" s="82">
        <f t="shared" si="4"/>
        <v>0</v>
      </c>
    </row>
    <row r="39" spans="1:9" ht="15.75">
      <c r="A39" s="5" t="s">
        <v>29</v>
      </c>
      <c r="B39" s="47">
        <v>20678000</v>
      </c>
      <c r="C39" s="47">
        <v>788209421.81</v>
      </c>
      <c r="D39" s="47">
        <v>661213192.13</v>
      </c>
      <c r="E39" s="47">
        <f t="shared" si="0"/>
        <v>126996229.67999995</v>
      </c>
      <c r="F39" s="47">
        <f t="shared" si="1"/>
        <v>16.282373147693914</v>
      </c>
      <c r="G39" s="48">
        <f t="shared" si="2"/>
        <v>0</v>
      </c>
      <c r="H39" s="48">
        <f t="shared" si="3"/>
        <v>0</v>
      </c>
      <c r="I39" s="82">
        <f t="shared" si="4"/>
        <v>0</v>
      </c>
    </row>
    <row r="40" spans="1:9" ht="15.75">
      <c r="A40" s="5" t="s">
        <v>30</v>
      </c>
      <c r="B40" s="47">
        <v>86288400</v>
      </c>
      <c r="C40" s="47">
        <v>1605627374.27</v>
      </c>
      <c r="D40" s="47">
        <v>1178672520.16</v>
      </c>
      <c r="E40" s="47">
        <f t="shared" si="0"/>
        <v>426954854.1099999</v>
      </c>
      <c r="F40" s="47">
        <f t="shared" si="1"/>
        <v>20.210192990982794</v>
      </c>
      <c r="G40" s="48">
        <f t="shared" si="2"/>
        <v>0</v>
      </c>
      <c r="H40" s="48">
        <f t="shared" si="3"/>
        <v>0</v>
      </c>
      <c r="I40" s="82">
        <f t="shared" si="4"/>
        <v>0</v>
      </c>
    </row>
    <row r="41" spans="1:9" ht="15.75">
      <c r="A41" s="5" t="s">
        <v>31</v>
      </c>
      <c r="B41" s="47">
        <v>26211400</v>
      </c>
      <c r="C41" s="47">
        <v>1855399028.89</v>
      </c>
      <c r="D41" s="47">
        <v>1280122847.78</v>
      </c>
      <c r="E41" s="47">
        <f t="shared" si="0"/>
        <v>575276181.1100001</v>
      </c>
      <c r="F41" s="47">
        <f t="shared" si="1"/>
        <v>4.556315881082524</v>
      </c>
      <c r="G41" s="48">
        <f t="shared" si="2"/>
        <v>0</v>
      </c>
      <c r="H41" s="48">
        <f t="shared" si="3"/>
        <v>0</v>
      </c>
      <c r="I41" s="82">
        <f t="shared" si="4"/>
        <v>0</v>
      </c>
    </row>
    <row r="42" spans="1:9" ht="15.75">
      <c r="A42" s="5" t="s">
        <v>32</v>
      </c>
      <c r="B42" s="47">
        <v>14000000</v>
      </c>
      <c r="C42" s="47">
        <v>458680012.9</v>
      </c>
      <c r="D42" s="47">
        <v>277978086.32</v>
      </c>
      <c r="E42" s="47">
        <f t="shared" si="0"/>
        <v>180701926.57999998</v>
      </c>
      <c r="F42" s="47">
        <f t="shared" si="1"/>
        <v>7.747565432735964</v>
      </c>
      <c r="G42" s="48">
        <f t="shared" si="2"/>
        <v>0</v>
      </c>
      <c r="H42" s="48">
        <f t="shared" si="3"/>
        <v>0</v>
      </c>
      <c r="I42" s="82">
        <f t="shared" si="4"/>
        <v>0</v>
      </c>
    </row>
    <row r="43" spans="1:9" ht="15.75">
      <c r="A43" s="5" t="s">
        <v>33</v>
      </c>
      <c r="B43" s="47">
        <v>24543750</v>
      </c>
      <c r="C43" s="47">
        <v>377360254.77</v>
      </c>
      <c r="D43" s="47">
        <v>284388883.03</v>
      </c>
      <c r="E43" s="47">
        <f t="shared" si="0"/>
        <v>92971371.74000001</v>
      </c>
      <c r="F43" s="47">
        <f t="shared" si="1"/>
        <v>26.3992555349598</v>
      </c>
      <c r="G43" s="48">
        <f t="shared" si="2"/>
        <v>0</v>
      </c>
      <c r="H43" s="48">
        <f t="shared" si="3"/>
        <v>0</v>
      </c>
      <c r="I43" s="82">
        <f t="shared" si="4"/>
        <v>0</v>
      </c>
    </row>
    <row r="44" spans="1:9" ht="15.75">
      <c r="A44" s="5" t="s">
        <v>34</v>
      </c>
      <c r="B44" s="47">
        <v>0</v>
      </c>
      <c r="C44" s="47">
        <v>311788023.96</v>
      </c>
      <c r="D44" s="47">
        <v>236488023.96</v>
      </c>
      <c r="E44" s="47">
        <f t="shared" si="0"/>
        <v>75299999.99999997</v>
      </c>
      <c r="F44" s="47">
        <f t="shared" si="1"/>
        <v>0</v>
      </c>
      <c r="G44" s="48">
        <f t="shared" si="2"/>
        <v>0</v>
      </c>
      <c r="H44" s="48">
        <f t="shared" si="3"/>
        <v>0</v>
      </c>
      <c r="I44" s="82">
        <f t="shared" si="4"/>
        <v>0</v>
      </c>
    </row>
    <row r="45" spans="1:9" ht="15.75">
      <c r="A45" s="5" t="s">
        <v>366</v>
      </c>
      <c r="B45" s="47">
        <v>0</v>
      </c>
      <c r="C45" s="47">
        <v>273639844.79</v>
      </c>
      <c r="D45" s="47">
        <v>201641453.53</v>
      </c>
      <c r="E45" s="47">
        <f t="shared" si="0"/>
        <v>71998391.26000002</v>
      </c>
      <c r="F45" s="47">
        <f t="shared" si="1"/>
        <v>0</v>
      </c>
      <c r="G45" s="48">
        <f>IF($F45&gt;50,1,0)</f>
        <v>0</v>
      </c>
      <c r="H45" s="48">
        <f t="shared" si="3"/>
        <v>0</v>
      </c>
      <c r="I45" s="82">
        <f t="shared" si="4"/>
        <v>0</v>
      </c>
    </row>
    <row r="46" spans="1:9" ht="15.75">
      <c r="A46" s="5" t="s">
        <v>36</v>
      </c>
      <c r="B46" s="47">
        <v>0</v>
      </c>
      <c r="C46" s="47">
        <v>397704152.16</v>
      </c>
      <c r="D46" s="47">
        <v>272511434.16</v>
      </c>
      <c r="E46" s="47">
        <f t="shared" si="0"/>
        <v>125192718</v>
      </c>
      <c r="F46" s="47">
        <f t="shared" si="1"/>
        <v>0</v>
      </c>
      <c r="G46" s="48">
        <f t="shared" si="2"/>
        <v>0</v>
      </c>
      <c r="H46" s="48">
        <f t="shared" si="3"/>
        <v>0</v>
      </c>
      <c r="I46" s="82">
        <f t="shared" si="4"/>
        <v>0</v>
      </c>
    </row>
    <row r="47" spans="1:9" ht="15.75">
      <c r="A47" s="14" t="s">
        <v>67</v>
      </c>
      <c r="B47" s="15">
        <f>SUM(B$10:B$46)</f>
        <v>16273585435</v>
      </c>
      <c r="C47" s="15">
        <f>SUM(C$10:C$46)</f>
        <v>97352062628.70998</v>
      </c>
      <c r="D47" s="15">
        <f>SUM(D$10:D$46)</f>
        <v>57576817957.66</v>
      </c>
      <c r="E47" s="15">
        <f>SUM(E$10:E$46)</f>
        <v>39775244671.05</v>
      </c>
      <c r="F47" s="49">
        <f>$B47/$E47*100</f>
        <v>40.91385375397718</v>
      </c>
      <c r="G47" s="15"/>
      <c r="H47" s="16"/>
      <c r="I47" s="16"/>
    </row>
    <row r="48" spans="1:9" ht="33.75" customHeight="1">
      <c r="A48" s="122" t="s">
        <v>369</v>
      </c>
      <c r="B48" s="122"/>
      <c r="C48" s="122"/>
      <c r="D48" s="122"/>
      <c r="E48" s="122"/>
      <c r="F48" s="122"/>
      <c r="G48" s="122"/>
      <c r="H48" s="122"/>
      <c r="I48" s="122"/>
    </row>
    <row r="49" spans="1:9" ht="15.75">
      <c r="A49" s="39"/>
      <c r="B49" s="39"/>
      <c r="C49" s="39"/>
      <c r="D49" s="39"/>
      <c r="E49" s="50">
        <f>$C$47-$D$47-$E$47</f>
        <v>0</v>
      </c>
      <c r="F49" s="39"/>
      <c r="G49" s="39"/>
      <c r="H49" s="39"/>
      <c r="I49" s="39"/>
    </row>
  </sheetData>
  <sheetProtection/>
  <mergeCells count="9">
    <mergeCell ref="A48:I48"/>
    <mergeCell ref="B7:B8"/>
    <mergeCell ref="A1:I1"/>
    <mergeCell ref="A7:A8"/>
    <mergeCell ref="C7:E7"/>
    <mergeCell ref="F7:F8"/>
    <mergeCell ref="G7:G8"/>
    <mergeCell ref="H7:H8"/>
    <mergeCell ref="I7:I8"/>
  </mergeCells>
  <conditionalFormatting sqref="I10:I46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71" r:id="rId1"/>
  <ignoredErrors>
    <ignoredError sqref="G25 G35 G4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19.140625" style="0" customWidth="1"/>
    <col min="3" max="3" width="19.7109375" style="0" customWidth="1"/>
    <col min="4" max="4" width="18.7109375" style="0" customWidth="1"/>
    <col min="5" max="5" width="29.57421875" style="0" customWidth="1"/>
    <col min="6" max="7" width="9.00390625" style="0" bestFit="1" customWidth="1"/>
    <col min="8" max="8" width="19.28125" style="0" customWidth="1"/>
  </cols>
  <sheetData>
    <row r="1" spans="1:8" ht="15.75">
      <c r="A1" s="110" t="s">
        <v>295</v>
      </c>
      <c r="B1" s="110"/>
      <c r="C1" s="110"/>
      <c r="D1" s="110"/>
      <c r="E1" s="110"/>
      <c r="F1" s="110"/>
      <c r="G1" s="110"/>
      <c r="H1" s="110"/>
    </row>
    <row r="2" spans="1:8" ht="15.75">
      <c r="A2" s="39"/>
      <c r="B2" s="39"/>
      <c r="C2" s="39"/>
      <c r="D2" s="39"/>
      <c r="E2" s="39"/>
      <c r="F2" s="39"/>
      <c r="G2" s="39"/>
      <c r="H2" s="39"/>
    </row>
    <row r="3" spans="1:8" ht="15.75">
      <c r="A3" s="10" t="s">
        <v>286</v>
      </c>
      <c r="B3" s="32">
        <v>1</v>
      </c>
      <c r="C3" s="79"/>
      <c r="D3" s="79"/>
      <c r="E3" s="39"/>
      <c r="F3" s="39"/>
      <c r="G3" s="39"/>
      <c r="H3" s="39"/>
    </row>
    <row r="4" spans="1:8" ht="15.75">
      <c r="A4" s="11" t="s">
        <v>287</v>
      </c>
      <c r="B4" s="33">
        <v>0</v>
      </c>
      <c r="C4" s="52"/>
      <c r="D4" s="52"/>
      <c r="E4" s="39"/>
      <c r="F4" s="39"/>
      <c r="G4" s="39"/>
      <c r="H4" s="39"/>
    </row>
    <row r="5" spans="1:8" ht="15.75">
      <c r="A5" s="12" t="s">
        <v>288</v>
      </c>
      <c r="B5" s="13" t="s">
        <v>42</v>
      </c>
      <c r="C5" s="24"/>
      <c r="D5" s="24"/>
      <c r="E5" s="39"/>
      <c r="F5" s="39"/>
      <c r="G5" s="39"/>
      <c r="H5" s="39"/>
    </row>
    <row r="6" spans="1:8" ht="15.75">
      <c r="A6" s="39"/>
      <c r="B6" s="39"/>
      <c r="C6" s="39"/>
      <c r="D6" s="39"/>
      <c r="E6" s="39"/>
      <c r="F6" s="39"/>
      <c r="G6" s="39"/>
      <c r="H6" s="39"/>
    </row>
    <row r="7" spans="1:8" ht="87.75" customHeight="1">
      <c r="A7" s="3" t="s">
        <v>38</v>
      </c>
      <c r="B7" s="3" t="s">
        <v>370</v>
      </c>
      <c r="C7" s="3" t="s">
        <v>371</v>
      </c>
      <c r="D7" s="3" t="s">
        <v>372</v>
      </c>
      <c r="E7" s="3" t="s">
        <v>292</v>
      </c>
      <c r="F7" s="9" t="s">
        <v>289</v>
      </c>
      <c r="G7" s="9" t="s">
        <v>290</v>
      </c>
      <c r="H7" s="9" t="s">
        <v>291</v>
      </c>
    </row>
    <row r="8" spans="1:8" ht="15.75">
      <c r="A8" s="9">
        <v>1</v>
      </c>
      <c r="B8" s="9">
        <v>2</v>
      </c>
      <c r="C8" s="9">
        <v>3</v>
      </c>
      <c r="D8" s="9">
        <v>4</v>
      </c>
      <c r="E8" s="9" t="s">
        <v>139</v>
      </c>
      <c r="F8" s="9">
        <v>6</v>
      </c>
      <c r="G8" s="9">
        <v>7</v>
      </c>
      <c r="H8" s="9">
        <v>8</v>
      </c>
    </row>
    <row r="9" spans="1:8" ht="15.75">
      <c r="A9" s="5" t="s">
        <v>0</v>
      </c>
      <c r="B9" s="45">
        <v>10163589000</v>
      </c>
      <c r="C9" s="45">
        <v>-8463589000</v>
      </c>
      <c r="D9" s="45">
        <v>-2668803151.99</v>
      </c>
      <c r="E9" s="47">
        <f>IF(D9&gt;=0,IF(B9&gt;-C9,B9+C9,0),IF(B9&gt;-C9-D9,B9+C9+D9,0))</f>
        <v>0</v>
      </c>
      <c r="F9" s="48">
        <f>IF($E9&gt;0,1,0)</f>
        <v>0</v>
      </c>
      <c r="G9" s="48">
        <f>($F9-$B$4)/($B$3-$B$4)</f>
        <v>0</v>
      </c>
      <c r="H9" s="82">
        <f>$G9*$B$5</f>
        <v>0</v>
      </c>
    </row>
    <row r="10" spans="1:8" ht="15.75">
      <c r="A10" s="5" t="s">
        <v>1</v>
      </c>
      <c r="B10" s="45">
        <v>10698129000</v>
      </c>
      <c r="C10" s="45">
        <v>-10698129000</v>
      </c>
      <c r="D10" s="45">
        <v>-1006096017.61</v>
      </c>
      <c r="E10" s="47">
        <f aca="true" t="shared" si="0" ref="E10:E45">IF(D10&gt;=0,IF(B10&gt;-C10,B10+C10,0),IF(B10&gt;-C10-D10,B10+C10+D10,0))</f>
        <v>0</v>
      </c>
      <c r="F10" s="48">
        <f aca="true" t="shared" si="1" ref="F10:F45">IF($E10&gt;0,1,0)</f>
        <v>0</v>
      </c>
      <c r="G10" s="48">
        <f aca="true" t="shared" si="2" ref="G10:G45">($F10-$B$4)/($B$3-$B$4)</f>
        <v>0</v>
      </c>
      <c r="H10" s="82">
        <f aca="true" t="shared" si="3" ref="H10:H45">$G10*$B$5</f>
        <v>0</v>
      </c>
    </row>
    <row r="11" spans="1:8" ht="15.75">
      <c r="A11" s="5" t="s">
        <v>2</v>
      </c>
      <c r="B11" s="45">
        <v>347007200</v>
      </c>
      <c r="C11" s="45">
        <v>-361595400</v>
      </c>
      <c r="D11" s="45">
        <v>-336961885.87</v>
      </c>
      <c r="E11" s="47">
        <f t="shared" si="0"/>
        <v>0</v>
      </c>
      <c r="F11" s="48">
        <f t="shared" si="1"/>
        <v>0</v>
      </c>
      <c r="G11" s="48">
        <f t="shared" si="2"/>
        <v>0</v>
      </c>
      <c r="H11" s="82">
        <f t="shared" si="3"/>
        <v>0</v>
      </c>
    </row>
    <row r="12" spans="1:8" ht="15.75">
      <c r="A12" s="5" t="s">
        <v>3</v>
      </c>
      <c r="B12" s="45">
        <v>617420000</v>
      </c>
      <c r="C12" s="45">
        <v>-476433000</v>
      </c>
      <c r="D12" s="45">
        <v>-342905000</v>
      </c>
      <c r="E12" s="47">
        <f t="shared" si="0"/>
        <v>0</v>
      </c>
      <c r="F12" s="48">
        <f t="shared" si="1"/>
        <v>0</v>
      </c>
      <c r="G12" s="48">
        <f t="shared" si="2"/>
        <v>0</v>
      </c>
      <c r="H12" s="82">
        <f t="shared" si="3"/>
        <v>0</v>
      </c>
    </row>
    <row r="13" spans="1:8" ht="15.75">
      <c r="A13" s="5" t="s">
        <v>4</v>
      </c>
      <c r="B13" s="45">
        <v>0</v>
      </c>
      <c r="C13" s="45">
        <v>0</v>
      </c>
      <c r="D13" s="45">
        <v>-94330870.55</v>
      </c>
      <c r="E13" s="47">
        <f t="shared" si="0"/>
        <v>0</v>
      </c>
      <c r="F13" s="48">
        <f t="shared" si="1"/>
        <v>0</v>
      </c>
      <c r="G13" s="48">
        <f t="shared" si="2"/>
        <v>0</v>
      </c>
      <c r="H13" s="82">
        <f t="shared" si="3"/>
        <v>0</v>
      </c>
    </row>
    <row r="14" spans="1:8" ht="15.75">
      <c r="A14" s="5" t="s">
        <v>5</v>
      </c>
      <c r="B14" s="45">
        <v>23442000</v>
      </c>
      <c r="C14" s="45">
        <v>-37582000</v>
      </c>
      <c r="D14" s="45">
        <v>-63606170.27</v>
      </c>
      <c r="E14" s="47">
        <f t="shared" si="0"/>
        <v>0</v>
      </c>
      <c r="F14" s="48">
        <f t="shared" si="1"/>
        <v>0</v>
      </c>
      <c r="G14" s="48">
        <f t="shared" si="2"/>
        <v>0</v>
      </c>
      <c r="H14" s="82">
        <f t="shared" si="3"/>
        <v>0</v>
      </c>
    </row>
    <row r="15" spans="1:8" ht="15.75">
      <c r="A15" s="5" t="s">
        <v>6</v>
      </c>
      <c r="B15" s="45">
        <v>81133000</v>
      </c>
      <c r="C15" s="45">
        <v>-44033650</v>
      </c>
      <c r="D15" s="45">
        <v>-89394519.35</v>
      </c>
      <c r="E15" s="47">
        <f t="shared" si="0"/>
        <v>0</v>
      </c>
      <c r="F15" s="48">
        <f t="shared" si="1"/>
        <v>0</v>
      </c>
      <c r="G15" s="48">
        <f t="shared" si="2"/>
        <v>0</v>
      </c>
      <c r="H15" s="82">
        <f t="shared" si="3"/>
        <v>0</v>
      </c>
    </row>
    <row r="16" spans="1:8" ht="15.75">
      <c r="A16" s="5" t="s">
        <v>7</v>
      </c>
      <c r="B16" s="45">
        <v>52089800</v>
      </c>
      <c r="C16" s="45">
        <v>-38210200</v>
      </c>
      <c r="D16" s="45">
        <v>-53910595.73</v>
      </c>
      <c r="E16" s="47">
        <f t="shared" si="0"/>
        <v>0</v>
      </c>
      <c r="F16" s="48">
        <f t="shared" si="1"/>
        <v>0</v>
      </c>
      <c r="G16" s="48">
        <f t="shared" si="2"/>
        <v>0</v>
      </c>
      <c r="H16" s="82">
        <f t="shared" si="3"/>
        <v>0</v>
      </c>
    </row>
    <row r="17" spans="1:8" ht="15.75">
      <c r="A17" s="5" t="s">
        <v>8</v>
      </c>
      <c r="B17" s="45">
        <v>92438800</v>
      </c>
      <c r="C17" s="45">
        <v>-61000000</v>
      </c>
      <c r="D17" s="45">
        <v>-107770142.51</v>
      </c>
      <c r="E17" s="47">
        <f t="shared" si="0"/>
        <v>0</v>
      </c>
      <c r="F17" s="48">
        <f t="shared" si="1"/>
        <v>0</v>
      </c>
      <c r="G17" s="48">
        <f t="shared" si="2"/>
        <v>0</v>
      </c>
      <c r="H17" s="82">
        <f t="shared" si="3"/>
        <v>0</v>
      </c>
    </row>
    <row r="18" spans="1:8" ht="15.75">
      <c r="A18" s="5" t="s">
        <v>9</v>
      </c>
      <c r="B18" s="45">
        <v>90000000</v>
      </c>
      <c r="C18" s="45">
        <v>-70000000</v>
      </c>
      <c r="D18" s="45">
        <v>-28277569.66</v>
      </c>
      <c r="E18" s="47">
        <f t="shared" si="0"/>
        <v>0</v>
      </c>
      <c r="F18" s="48">
        <f t="shared" si="1"/>
        <v>0</v>
      </c>
      <c r="G18" s="48">
        <f t="shared" si="2"/>
        <v>0</v>
      </c>
      <c r="H18" s="82">
        <f t="shared" si="3"/>
        <v>0</v>
      </c>
    </row>
    <row r="19" spans="1:8" ht="15.75">
      <c r="A19" s="5" t="s">
        <v>10</v>
      </c>
      <c r="B19" s="45">
        <v>0</v>
      </c>
      <c r="C19" s="45">
        <v>0</v>
      </c>
      <c r="D19" s="45">
        <v>-42506892.26</v>
      </c>
      <c r="E19" s="47">
        <f t="shared" si="0"/>
        <v>0</v>
      </c>
      <c r="F19" s="48">
        <f t="shared" si="1"/>
        <v>0</v>
      </c>
      <c r="G19" s="48">
        <f t="shared" si="2"/>
        <v>0</v>
      </c>
      <c r="H19" s="82">
        <f t="shared" si="3"/>
        <v>0</v>
      </c>
    </row>
    <row r="20" spans="1:8" ht="15.75">
      <c r="A20" s="5" t="s">
        <v>11</v>
      </c>
      <c r="B20" s="45">
        <v>0</v>
      </c>
      <c r="C20" s="45">
        <v>-2075000</v>
      </c>
      <c r="D20" s="45">
        <v>-51906006.46</v>
      </c>
      <c r="E20" s="47">
        <f t="shared" si="0"/>
        <v>0</v>
      </c>
      <c r="F20" s="48">
        <f t="shared" si="1"/>
        <v>0</v>
      </c>
      <c r="G20" s="48">
        <f t="shared" si="2"/>
        <v>0</v>
      </c>
      <c r="H20" s="82">
        <f t="shared" si="3"/>
        <v>0</v>
      </c>
    </row>
    <row r="21" spans="1:8" ht="15.75">
      <c r="A21" s="5" t="s">
        <v>12</v>
      </c>
      <c r="B21" s="45">
        <v>0</v>
      </c>
      <c r="C21" s="45">
        <v>0</v>
      </c>
      <c r="D21" s="45">
        <v>-11200173.23</v>
      </c>
      <c r="E21" s="47">
        <f t="shared" si="0"/>
        <v>0</v>
      </c>
      <c r="F21" s="48">
        <f t="shared" si="1"/>
        <v>0</v>
      </c>
      <c r="G21" s="48">
        <f t="shared" si="2"/>
        <v>0</v>
      </c>
      <c r="H21" s="82">
        <f t="shared" si="3"/>
        <v>0</v>
      </c>
    </row>
    <row r="22" spans="1:8" ht="15.75">
      <c r="A22" s="5" t="s">
        <v>13</v>
      </c>
      <c r="B22" s="45">
        <v>26964000</v>
      </c>
      <c r="C22" s="45">
        <v>-11757750</v>
      </c>
      <c r="D22" s="45">
        <v>-57744938.08</v>
      </c>
      <c r="E22" s="47">
        <f t="shared" si="0"/>
        <v>0</v>
      </c>
      <c r="F22" s="48">
        <f t="shared" si="1"/>
        <v>0</v>
      </c>
      <c r="G22" s="48">
        <f t="shared" si="2"/>
        <v>0</v>
      </c>
      <c r="H22" s="82">
        <f t="shared" si="3"/>
        <v>0</v>
      </c>
    </row>
    <row r="23" spans="1:8" ht="15.75">
      <c r="A23" s="5" t="s">
        <v>14</v>
      </c>
      <c r="B23" s="45">
        <v>0</v>
      </c>
      <c r="C23" s="45">
        <v>0</v>
      </c>
      <c r="D23" s="45">
        <v>-14746269.23</v>
      </c>
      <c r="E23" s="47">
        <f t="shared" si="0"/>
        <v>0</v>
      </c>
      <c r="F23" s="48">
        <f t="shared" si="1"/>
        <v>0</v>
      </c>
      <c r="G23" s="48">
        <f t="shared" si="2"/>
        <v>0</v>
      </c>
      <c r="H23" s="82">
        <f t="shared" si="3"/>
        <v>0</v>
      </c>
    </row>
    <row r="24" spans="1:8" ht="15.75">
      <c r="A24" s="5" t="s">
        <v>15</v>
      </c>
      <c r="B24" s="45">
        <v>0</v>
      </c>
      <c r="C24" s="45">
        <v>0</v>
      </c>
      <c r="D24" s="45">
        <v>-23378275.06</v>
      </c>
      <c r="E24" s="47">
        <f t="shared" si="0"/>
        <v>0</v>
      </c>
      <c r="F24" s="48">
        <f t="shared" si="1"/>
        <v>0</v>
      </c>
      <c r="G24" s="48">
        <f t="shared" si="2"/>
        <v>0</v>
      </c>
      <c r="H24" s="82">
        <f t="shared" si="3"/>
        <v>0</v>
      </c>
    </row>
    <row r="25" spans="1:8" ht="15.75">
      <c r="A25" s="5" t="s">
        <v>16</v>
      </c>
      <c r="B25" s="45">
        <v>0</v>
      </c>
      <c r="C25" s="45">
        <v>0</v>
      </c>
      <c r="D25" s="45">
        <v>-25089970</v>
      </c>
      <c r="E25" s="47">
        <f t="shared" si="0"/>
        <v>0</v>
      </c>
      <c r="F25" s="48">
        <f t="shared" si="1"/>
        <v>0</v>
      </c>
      <c r="G25" s="48">
        <f t="shared" si="2"/>
        <v>0</v>
      </c>
      <c r="H25" s="82">
        <f t="shared" si="3"/>
        <v>0</v>
      </c>
    </row>
    <row r="26" spans="1:8" ht="15.75">
      <c r="A26" s="5" t="s">
        <v>17</v>
      </c>
      <c r="B26" s="45">
        <v>5560000</v>
      </c>
      <c r="C26" s="45">
        <v>0</v>
      </c>
      <c r="D26" s="45">
        <v>-11181035.31</v>
      </c>
      <c r="E26" s="47">
        <f t="shared" si="0"/>
        <v>0</v>
      </c>
      <c r="F26" s="48">
        <f t="shared" si="1"/>
        <v>0</v>
      </c>
      <c r="G26" s="48">
        <f t="shared" si="2"/>
        <v>0</v>
      </c>
      <c r="H26" s="82">
        <f t="shared" si="3"/>
        <v>0</v>
      </c>
    </row>
    <row r="27" spans="1:8" ht="15.75">
      <c r="A27" s="5" t="s">
        <v>18</v>
      </c>
      <c r="B27" s="45">
        <v>0</v>
      </c>
      <c r="C27" s="45">
        <v>0</v>
      </c>
      <c r="D27" s="45">
        <v>-17723974.18</v>
      </c>
      <c r="E27" s="47">
        <f t="shared" si="0"/>
        <v>0</v>
      </c>
      <c r="F27" s="48">
        <f t="shared" si="1"/>
        <v>0</v>
      </c>
      <c r="G27" s="48">
        <f t="shared" si="2"/>
        <v>0</v>
      </c>
      <c r="H27" s="82">
        <f t="shared" si="3"/>
        <v>0</v>
      </c>
    </row>
    <row r="28" spans="1:8" ht="15.75">
      <c r="A28" s="5" t="s">
        <v>19</v>
      </c>
      <c r="B28" s="45">
        <v>15000000</v>
      </c>
      <c r="C28" s="45">
        <v>0</v>
      </c>
      <c r="D28" s="45">
        <v>-80114691.91</v>
      </c>
      <c r="E28" s="47">
        <f t="shared" si="0"/>
        <v>0</v>
      </c>
      <c r="F28" s="48">
        <f t="shared" si="1"/>
        <v>0</v>
      </c>
      <c r="G28" s="48">
        <f t="shared" si="2"/>
        <v>0</v>
      </c>
      <c r="H28" s="82">
        <f t="shared" si="3"/>
        <v>0</v>
      </c>
    </row>
    <row r="29" spans="1:8" ht="15.75">
      <c r="A29" s="5" t="s">
        <v>20</v>
      </c>
      <c r="B29" s="45">
        <v>12660600</v>
      </c>
      <c r="C29" s="45">
        <v>-8334000</v>
      </c>
      <c r="D29" s="45">
        <v>-148989481.37</v>
      </c>
      <c r="E29" s="47">
        <f t="shared" si="0"/>
        <v>0</v>
      </c>
      <c r="F29" s="48">
        <f t="shared" si="1"/>
        <v>0</v>
      </c>
      <c r="G29" s="48">
        <f t="shared" si="2"/>
        <v>0</v>
      </c>
      <c r="H29" s="82">
        <f t="shared" si="3"/>
        <v>0</v>
      </c>
    </row>
    <row r="30" spans="1:8" ht="15.75">
      <c r="A30" s="5" t="s">
        <v>21</v>
      </c>
      <c r="B30" s="45">
        <v>51641000</v>
      </c>
      <c r="C30" s="45">
        <v>-39241000</v>
      </c>
      <c r="D30" s="45">
        <v>-38808407.91</v>
      </c>
      <c r="E30" s="47">
        <f t="shared" si="0"/>
        <v>0</v>
      </c>
      <c r="F30" s="48">
        <f t="shared" si="1"/>
        <v>0</v>
      </c>
      <c r="G30" s="48">
        <f t="shared" si="2"/>
        <v>0</v>
      </c>
      <c r="H30" s="82">
        <f t="shared" si="3"/>
        <v>0</v>
      </c>
    </row>
    <row r="31" spans="1:8" ht="15.75">
      <c r="A31" s="5" t="s">
        <v>22</v>
      </c>
      <c r="B31" s="45">
        <v>0</v>
      </c>
      <c r="C31" s="45">
        <v>0</v>
      </c>
      <c r="D31" s="45">
        <v>-23007877.09</v>
      </c>
      <c r="E31" s="47">
        <f t="shared" si="0"/>
        <v>0</v>
      </c>
      <c r="F31" s="48">
        <f t="shared" si="1"/>
        <v>0</v>
      </c>
      <c r="G31" s="48">
        <f t="shared" si="2"/>
        <v>0</v>
      </c>
      <c r="H31" s="82">
        <f t="shared" si="3"/>
        <v>0</v>
      </c>
    </row>
    <row r="32" spans="1:8" ht="15.75">
      <c r="A32" s="5" t="s">
        <v>23</v>
      </c>
      <c r="B32" s="45">
        <v>1026000</v>
      </c>
      <c r="C32" s="45">
        <v>-18109637</v>
      </c>
      <c r="D32" s="45">
        <v>-19931871.75</v>
      </c>
      <c r="E32" s="47">
        <f t="shared" si="0"/>
        <v>0</v>
      </c>
      <c r="F32" s="48">
        <f t="shared" si="1"/>
        <v>0</v>
      </c>
      <c r="G32" s="48">
        <f t="shared" si="2"/>
        <v>0</v>
      </c>
      <c r="H32" s="82">
        <f t="shared" si="3"/>
        <v>0</v>
      </c>
    </row>
    <row r="33" spans="1:8" ht="15.75">
      <c r="A33" s="5" t="s">
        <v>24</v>
      </c>
      <c r="B33" s="45">
        <v>28000000</v>
      </c>
      <c r="C33" s="45">
        <v>0</v>
      </c>
      <c r="D33" s="45">
        <v>-116605389.3</v>
      </c>
      <c r="E33" s="47">
        <f t="shared" si="0"/>
        <v>0</v>
      </c>
      <c r="F33" s="48">
        <f t="shared" si="1"/>
        <v>0</v>
      </c>
      <c r="G33" s="48">
        <f t="shared" si="2"/>
        <v>0</v>
      </c>
      <c r="H33" s="82">
        <f t="shared" si="3"/>
        <v>0</v>
      </c>
    </row>
    <row r="34" spans="1:8" ht="15.75">
      <c r="A34" s="5" t="s">
        <v>25</v>
      </c>
      <c r="B34" s="45">
        <v>8130000</v>
      </c>
      <c r="C34" s="45">
        <v>-8444500</v>
      </c>
      <c r="D34" s="45">
        <v>-15736150.99</v>
      </c>
      <c r="E34" s="47">
        <f t="shared" si="0"/>
        <v>0</v>
      </c>
      <c r="F34" s="48">
        <f t="shared" si="1"/>
        <v>0</v>
      </c>
      <c r="G34" s="48">
        <f t="shared" si="2"/>
        <v>0</v>
      </c>
      <c r="H34" s="82">
        <f t="shared" si="3"/>
        <v>0</v>
      </c>
    </row>
    <row r="35" spans="1:8" ht="15.75">
      <c r="A35" s="5" t="s">
        <v>26</v>
      </c>
      <c r="B35" s="45">
        <v>26521700</v>
      </c>
      <c r="C35" s="45">
        <v>-22390000</v>
      </c>
      <c r="D35" s="45">
        <v>-50964201.7</v>
      </c>
      <c r="E35" s="47">
        <f t="shared" si="0"/>
        <v>0</v>
      </c>
      <c r="F35" s="48">
        <f t="shared" si="1"/>
        <v>0</v>
      </c>
      <c r="G35" s="48">
        <f t="shared" si="2"/>
        <v>0</v>
      </c>
      <c r="H35" s="82">
        <f t="shared" si="3"/>
        <v>0</v>
      </c>
    </row>
    <row r="36" spans="1:8" ht="15.75">
      <c r="A36" s="5" t="s">
        <v>27</v>
      </c>
      <c r="B36" s="45">
        <v>0</v>
      </c>
      <c r="C36" s="45">
        <v>0</v>
      </c>
      <c r="D36" s="45">
        <v>-22015721.98</v>
      </c>
      <c r="E36" s="47">
        <f t="shared" si="0"/>
        <v>0</v>
      </c>
      <c r="F36" s="48">
        <f t="shared" si="1"/>
        <v>0</v>
      </c>
      <c r="G36" s="48">
        <f t="shared" si="2"/>
        <v>0</v>
      </c>
      <c r="H36" s="82">
        <f t="shared" si="3"/>
        <v>0</v>
      </c>
    </row>
    <row r="37" spans="1:8" ht="15.75">
      <c r="A37" s="5" t="s">
        <v>28</v>
      </c>
      <c r="B37" s="45">
        <v>0</v>
      </c>
      <c r="C37" s="45">
        <v>0</v>
      </c>
      <c r="D37" s="45">
        <v>-40911882</v>
      </c>
      <c r="E37" s="47">
        <f t="shared" si="0"/>
        <v>0</v>
      </c>
      <c r="F37" s="48">
        <f t="shared" si="1"/>
        <v>0</v>
      </c>
      <c r="G37" s="48">
        <f t="shared" si="2"/>
        <v>0</v>
      </c>
      <c r="H37" s="82">
        <f t="shared" si="3"/>
        <v>0</v>
      </c>
    </row>
    <row r="38" spans="1:8" ht="15.75">
      <c r="A38" s="5" t="s">
        <v>29</v>
      </c>
      <c r="B38" s="45">
        <v>8230000</v>
      </c>
      <c r="C38" s="45">
        <v>-6572250</v>
      </c>
      <c r="D38" s="45">
        <v>-12184360.33</v>
      </c>
      <c r="E38" s="47">
        <f t="shared" si="0"/>
        <v>0</v>
      </c>
      <c r="F38" s="48">
        <f t="shared" si="1"/>
        <v>0</v>
      </c>
      <c r="G38" s="48">
        <f t="shared" si="2"/>
        <v>0</v>
      </c>
      <c r="H38" s="82">
        <f t="shared" si="3"/>
        <v>0</v>
      </c>
    </row>
    <row r="39" spans="1:8" ht="15.75">
      <c r="A39" s="5" t="s">
        <v>30</v>
      </c>
      <c r="B39" s="45">
        <v>41250000</v>
      </c>
      <c r="C39" s="45">
        <v>-27299900</v>
      </c>
      <c r="D39" s="45">
        <v>-79824284.66</v>
      </c>
      <c r="E39" s="47">
        <f t="shared" si="0"/>
        <v>0</v>
      </c>
      <c r="F39" s="48">
        <f t="shared" si="1"/>
        <v>0</v>
      </c>
      <c r="G39" s="48">
        <f t="shared" si="2"/>
        <v>0</v>
      </c>
      <c r="H39" s="82">
        <f t="shared" si="3"/>
        <v>0</v>
      </c>
    </row>
    <row r="40" spans="1:8" ht="15.75">
      <c r="A40" s="5" t="s">
        <v>31</v>
      </c>
      <c r="B40" s="45">
        <v>22000000</v>
      </c>
      <c r="C40" s="45">
        <v>-11102560</v>
      </c>
      <c r="D40" s="45">
        <v>-134957169.43</v>
      </c>
      <c r="E40" s="47">
        <f t="shared" si="0"/>
        <v>0</v>
      </c>
      <c r="F40" s="48">
        <f t="shared" si="1"/>
        <v>0</v>
      </c>
      <c r="G40" s="48">
        <f t="shared" si="2"/>
        <v>0</v>
      </c>
      <c r="H40" s="82">
        <f t="shared" si="3"/>
        <v>0</v>
      </c>
    </row>
    <row r="41" spans="1:8" ht="15.75">
      <c r="A41" s="5" t="s">
        <v>32</v>
      </c>
      <c r="B41" s="45">
        <v>35000000</v>
      </c>
      <c r="C41" s="45">
        <v>-17000000</v>
      </c>
      <c r="D41" s="45">
        <v>-29233519.66</v>
      </c>
      <c r="E41" s="47">
        <f t="shared" si="0"/>
        <v>0</v>
      </c>
      <c r="F41" s="48">
        <f t="shared" si="1"/>
        <v>0</v>
      </c>
      <c r="G41" s="48">
        <f t="shared" si="2"/>
        <v>0</v>
      </c>
      <c r="H41" s="82">
        <f t="shared" si="3"/>
        <v>0</v>
      </c>
    </row>
    <row r="42" spans="1:8" ht="15.75">
      <c r="A42" s="5" t="s">
        <v>33</v>
      </c>
      <c r="B42" s="45">
        <v>14375000</v>
      </c>
      <c r="C42" s="45">
        <v>-13966000</v>
      </c>
      <c r="D42" s="45">
        <v>-13485899.46</v>
      </c>
      <c r="E42" s="47">
        <f t="shared" si="0"/>
        <v>0</v>
      </c>
      <c r="F42" s="48">
        <f t="shared" si="1"/>
        <v>0</v>
      </c>
      <c r="G42" s="48">
        <f t="shared" si="2"/>
        <v>0</v>
      </c>
      <c r="H42" s="82">
        <f t="shared" si="3"/>
        <v>0</v>
      </c>
    </row>
    <row r="43" spans="1:8" ht="15.75">
      <c r="A43" s="5" t="s">
        <v>34</v>
      </c>
      <c r="B43" s="45">
        <v>0</v>
      </c>
      <c r="C43" s="45">
        <v>0</v>
      </c>
      <c r="D43" s="45">
        <v>-10366095.71</v>
      </c>
      <c r="E43" s="47">
        <f t="shared" si="0"/>
        <v>0</v>
      </c>
      <c r="F43" s="48">
        <f t="shared" si="1"/>
        <v>0</v>
      </c>
      <c r="G43" s="48">
        <f t="shared" si="2"/>
        <v>0</v>
      </c>
      <c r="H43" s="82">
        <f t="shared" si="3"/>
        <v>0</v>
      </c>
    </row>
    <row r="44" spans="1:8" ht="15.75">
      <c r="A44" s="5" t="s">
        <v>35</v>
      </c>
      <c r="B44" s="45">
        <v>3000000</v>
      </c>
      <c r="C44" s="45">
        <v>-3000000</v>
      </c>
      <c r="D44" s="45">
        <v>-2888000</v>
      </c>
      <c r="E44" s="47">
        <f t="shared" si="0"/>
        <v>0</v>
      </c>
      <c r="F44" s="48">
        <f t="shared" si="1"/>
        <v>0</v>
      </c>
      <c r="G44" s="48">
        <f t="shared" si="2"/>
        <v>0</v>
      </c>
      <c r="H44" s="82">
        <f t="shared" si="3"/>
        <v>0</v>
      </c>
    </row>
    <row r="45" spans="1:8" ht="15.75">
      <c r="A45" s="5" t="s">
        <v>36</v>
      </c>
      <c r="B45" s="45">
        <v>0</v>
      </c>
      <c r="C45" s="45">
        <v>0</v>
      </c>
      <c r="D45" s="45">
        <v>-53508403.55</v>
      </c>
      <c r="E45" s="47">
        <f t="shared" si="0"/>
        <v>0</v>
      </c>
      <c r="F45" s="48">
        <f t="shared" si="1"/>
        <v>0</v>
      </c>
      <c r="G45" s="48">
        <f t="shared" si="2"/>
        <v>0</v>
      </c>
      <c r="H45" s="82">
        <f t="shared" si="3"/>
        <v>0</v>
      </c>
    </row>
    <row r="46" spans="1:8" ht="15.75">
      <c r="A46" s="14" t="s">
        <v>67</v>
      </c>
      <c r="B46" s="35">
        <f>SUM(B$9:B$45)</f>
        <v>22464607100</v>
      </c>
      <c r="C46" s="35">
        <f>SUM(C$9:C$45)</f>
        <v>-20439864847</v>
      </c>
      <c r="D46" s="35">
        <f>SUM(D$9:D$45)</f>
        <v>-5941066866.15</v>
      </c>
      <c r="E46" s="35">
        <f>SUM(E$9:E$45)</f>
        <v>0</v>
      </c>
      <c r="F46" s="15"/>
      <c r="G46" s="16"/>
      <c r="H46" s="16"/>
    </row>
    <row r="47" spans="1:8" ht="15.75">
      <c r="A47" s="39"/>
      <c r="B47" s="39"/>
      <c r="C47" s="39"/>
      <c r="D47" s="39"/>
      <c r="E47" s="39"/>
      <c r="F47" s="39"/>
      <c r="G47" s="39"/>
      <c r="H47" s="39"/>
    </row>
    <row r="48" spans="1:8" ht="15.75">
      <c r="A48" s="39"/>
      <c r="B48" s="39"/>
      <c r="C48" s="39"/>
      <c r="D48" s="39"/>
      <c r="E48" s="39"/>
      <c r="F48" s="39"/>
      <c r="G48" s="39"/>
      <c r="H48" s="39"/>
    </row>
  </sheetData>
  <sheetProtection/>
  <mergeCells count="1">
    <mergeCell ref="A1:H1"/>
  </mergeCells>
  <conditionalFormatting sqref="H9:H45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19.7109375" style="0" customWidth="1"/>
    <col min="3" max="3" width="19.140625" style="0" customWidth="1"/>
    <col min="4" max="4" width="18.8515625" style="0" customWidth="1"/>
    <col min="5" max="5" width="20.28125" style="0" customWidth="1"/>
    <col min="6" max="6" width="21.7109375" style="0" customWidth="1"/>
    <col min="7" max="7" width="9.28125" style="0" customWidth="1"/>
    <col min="8" max="8" width="9.140625" style="0" customWidth="1"/>
    <col min="9" max="9" width="19.140625" style="0" customWidth="1"/>
  </cols>
  <sheetData>
    <row r="1" spans="1:9" ht="15.75">
      <c r="A1" s="110" t="s">
        <v>221</v>
      </c>
      <c r="B1" s="110"/>
      <c r="C1" s="110"/>
      <c r="D1" s="110"/>
      <c r="E1" s="110"/>
      <c r="F1" s="110"/>
      <c r="G1" s="110"/>
      <c r="H1" s="110"/>
      <c r="I1" s="110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0" t="s">
        <v>68</v>
      </c>
      <c r="B3" s="32">
        <v>1</v>
      </c>
      <c r="C3" s="39"/>
      <c r="D3" s="39"/>
      <c r="E3" s="39"/>
      <c r="F3" s="39"/>
      <c r="G3" s="39"/>
      <c r="H3" s="39"/>
      <c r="I3" s="39"/>
    </row>
    <row r="4" spans="1:9" ht="15.75">
      <c r="A4" s="11" t="s">
        <v>69</v>
      </c>
      <c r="B4" s="33">
        <v>0</v>
      </c>
      <c r="C4" s="39"/>
      <c r="D4" s="39"/>
      <c r="E4" s="39"/>
      <c r="F4" s="39"/>
      <c r="G4" s="39"/>
      <c r="H4" s="39"/>
      <c r="I4" s="39"/>
    </row>
    <row r="5" spans="1:9" ht="15.75">
      <c r="A5" s="12" t="s">
        <v>70</v>
      </c>
      <c r="B5" s="13" t="s">
        <v>42</v>
      </c>
      <c r="C5" s="39"/>
      <c r="D5" s="39"/>
      <c r="E5" s="39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126">
      <c r="A7" s="3" t="s">
        <v>38</v>
      </c>
      <c r="B7" s="3" t="s">
        <v>341</v>
      </c>
      <c r="C7" s="3" t="s">
        <v>342</v>
      </c>
      <c r="D7" s="3" t="s">
        <v>343</v>
      </c>
      <c r="E7" s="3" t="s">
        <v>344</v>
      </c>
      <c r="F7" s="3" t="s">
        <v>222</v>
      </c>
      <c r="G7" s="9" t="s">
        <v>71</v>
      </c>
      <c r="H7" s="9" t="s">
        <v>72</v>
      </c>
      <c r="I7" s="9" t="s">
        <v>73</v>
      </c>
    </row>
    <row r="8" spans="1:9" ht="15.75">
      <c r="A8" s="9">
        <v>1</v>
      </c>
      <c r="B8" s="9">
        <v>2</v>
      </c>
      <c r="C8" s="9">
        <v>3</v>
      </c>
      <c r="D8" s="9">
        <v>4</v>
      </c>
      <c r="E8" s="9" t="s">
        <v>165</v>
      </c>
      <c r="F8" s="9" t="s">
        <v>220</v>
      </c>
      <c r="G8" s="9">
        <v>7</v>
      </c>
      <c r="H8" s="9">
        <v>8</v>
      </c>
      <c r="I8" s="9">
        <v>9</v>
      </c>
    </row>
    <row r="9" spans="1:9" ht="15.75">
      <c r="A9" s="5" t="s">
        <v>0</v>
      </c>
      <c r="B9" s="44">
        <v>161351900</v>
      </c>
      <c r="C9" s="44">
        <v>44565549646.47</v>
      </c>
      <c r="D9" s="44">
        <v>10794418332.25</v>
      </c>
      <c r="E9" s="44">
        <f>$C9-$D9</f>
        <v>33771131314.22</v>
      </c>
      <c r="F9" s="44">
        <f>$B9/$E9*100</f>
        <v>0.47778055907786426</v>
      </c>
      <c r="G9" s="48">
        <f>IF($F9&gt;15,1,0)</f>
        <v>0</v>
      </c>
      <c r="H9" s="48">
        <f>($G9-$B$4)/($B$3-$B$4)</f>
        <v>0</v>
      </c>
      <c r="I9" s="82">
        <f>$H9*$B$5</f>
        <v>0</v>
      </c>
    </row>
    <row r="10" spans="1:9" ht="15.75">
      <c r="A10" s="5" t="s">
        <v>1</v>
      </c>
      <c r="B10" s="44">
        <v>330788000</v>
      </c>
      <c r="C10" s="44">
        <v>19026868051.45</v>
      </c>
      <c r="D10" s="44">
        <v>5490941974.55</v>
      </c>
      <c r="E10" s="44">
        <f aca="true" t="shared" si="0" ref="E10:E45">$C10-$D10</f>
        <v>13535926076.900002</v>
      </c>
      <c r="F10" s="44">
        <f aca="true" t="shared" si="1" ref="F10:F45">$B10/$E10*100</f>
        <v>2.4437781214283723</v>
      </c>
      <c r="G10" s="48">
        <f aca="true" t="shared" si="2" ref="G10:G45">IF($F10&gt;15,1,0)</f>
        <v>0</v>
      </c>
      <c r="H10" s="48">
        <f aca="true" t="shared" si="3" ref="H10:H45">($G10-$B$4)/($B$3-$B$4)</f>
        <v>0</v>
      </c>
      <c r="I10" s="82">
        <f aca="true" t="shared" si="4" ref="I10:I45">$H10*$B$5</f>
        <v>0</v>
      </c>
    </row>
    <row r="11" spans="1:9" ht="15.75">
      <c r="A11" s="5" t="s">
        <v>2</v>
      </c>
      <c r="B11" s="44">
        <v>7594029.22</v>
      </c>
      <c r="C11" s="44">
        <v>6275516520.97</v>
      </c>
      <c r="D11" s="44">
        <v>154400039.5</v>
      </c>
      <c r="E11" s="44">
        <f t="shared" si="0"/>
        <v>6121116481.47</v>
      </c>
      <c r="F11" s="44">
        <f t="shared" si="1"/>
        <v>0.12406281179240485</v>
      </c>
      <c r="G11" s="48">
        <f t="shared" si="2"/>
        <v>0</v>
      </c>
      <c r="H11" s="48">
        <f t="shared" si="3"/>
        <v>0</v>
      </c>
      <c r="I11" s="82">
        <f t="shared" si="4"/>
        <v>0</v>
      </c>
    </row>
    <row r="12" spans="1:9" ht="15.75">
      <c r="A12" s="5" t="s">
        <v>3</v>
      </c>
      <c r="B12" s="44">
        <v>58123000</v>
      </c>
      <c r="C12" s="44">
        <v>3182073457.5</v>
      </c>
      <c r="D12" s="44">
        <v>59163116.96</v>
      </c>
      <c r="E12" s="44">
        <f t="shared" si="0"/>
        <v>3122910340.54</v>
      </c>
      <c r="F12" s="44">
        <f t="shared" si="1"/>
        <v>1.8611805547369515</v>
      </c>
      <c r="G12" s="48">
        <f t="shared" si="2"/>
        <v>0</v>
      </c>
      <c r="H12" s="48">
        <f t="shared" si="3"/>
        <v>0</v>
      </c>
      <c r="I12" s="82">
        <f t="shared" si="4"/>
        <v>0</v>
      </c>
    </row>
    <row r="13" spans="1:9" ht="15.75">
      <c r="A13" s="5" t="s">
        <v>4</v>
      </c>
      <c r="B13" s="44">
        <v>200000</v>
      </c>
      <c r="C13" s="44">
        <v>2798086817.23</v>
      </c>
      <c r="D13" s="44">
        <v>71724770.32</v>
      </c>
      <c r="E13" s="44">
        <f t="shared" si="0"/>
        <v>2726362046.91</v>
      </c>
      <c r="F13" s="44">
        <f t="shared" si="1"/>
        <v>0.007335782869581671</v>
      </c>
      <c r="G13" s="48">
        <f t="shared" si="2"/>
        <v>0</v>
      </c>
      <c r="H13" s="48">
        <f t="shared" si="3"/>
        <v>0</v>
      </c>
      <c r="I13" s="82">
        <f t="shared" si="4"/>
        <v>0</v>
      </c>
    </row>
    <row r="14" spans="1:9" ht="15.75">
      <c r="A14" s="5" t="s">
        <v>5</v>
      </c>
      <c r="B14" s="44">
        <v>650000</v>
      </c>
      <c r="C14" s="44">
        <v>1238274054.85</v>
      </c>
      <c r="D14" s="44">
        <v>42024716.11</v>
      </c>
      <c r="E14" s="44">
        <f t="shared" si="0"/>
        <v>1196249338.74</v>
      </c>
      <c r="F14" s="44">
        <f t="shared" si="1"/>
        <v>0.05433649816556136</v>
      </c>
      <c r="G14" s="48">
        <f t="shared" si="2"/>
        <v>0</v>
      </c>
      <c r="H14" s="48">
        <f t="shared" si="3"/>
        <v>0</v>
      </c>
      <c r="I14" s="82">
        <f t="shared" si="4"/>
        <v>0</v>
      </c>
    </row>
    <row r="15" spans="1:9" ht="15.75">
      <c r="A15" s="5" t="s">
        <v>6</v>
      </c>
      <c r="B15" s="44">
        <v>5105856</v>
      </c>
      <c r="C15" s="44">
        <v>1894487856.65</v>
      </c>
      <c r="D15" s="44">
        <v>43415738.56</v>
      </c>
      <c r="E15" s="44">
        <f t="shared" si="0"/>
        <v>1851072118.0900002</v>
      </c>
      <c r="F15" s="44">
        <f t="shared" si="1"/>
        <v>0.27583236493607816</v>
      </c>
      <c r="G15" s="48">
        <f t="shared" si="2"/>
        <v>0</v>
      </c>
      <c r="H15" s="48">
        <f t="shared" si="3"/>
        <v>0</v>
      </c>
      <c r="I15" s="82">
        <f t="shared" si="4"/>
        <v>0</v>
      </c>
    </row>
    <row r="16" spans="1:9" ht="15.75">
      <c r="A16" s="5" t="s">
        <v>7</v>
      </c>
      <c r="B16" s="44">
        <v>1878700</v>
      </c>
      <c r="C16" s="44">
        <v>794505890.02</v>
      </c>
      <c r="D16" s="44">
        <v>40180845.44</v>
      </c>
      <c r="E16" s="44">
        <f t="shared" si="0"/>
        <v>754325044.5799999</v>
      </c>
      <c r="F16" s="44">
        <f t="shared" si="1"/>
        <v>0.24905708931433398</v>
      </c>
      <c r="G16" s="48">
        <f t="shared" si="2"/>
        <v>0</v>
      </c>
      <c r="H16" s="48">
        <f t="shared" si="3"/>
        <v>0</v>
      </c>
      <c r="I16" s="82">
        <f t="shared" si="4"/>
        <v>0</v>
      </c>
    </row>
    <row r="17" spans="1:9" ht="15.75">
      <c r="A17" s="5" t="s">
        <v>8</v>
      </c>
      <c r="B17" s="44">
        <v>1307000</v>
      </c>
      <c r="C17" s="44">
        <v>2304682174.18</v>
      </c>
      <c r="D17" s="44">
        <v>46596400</v>
      </c>
      <c r="E17" s="44">
        <f t="shared" si="0"/>
        <v>2258085774.18</v>
      </c>
      <c r="F17" s="44">
        <f t="shared" si="1"/>
        <v>0.05788088366459965</v>
      </c>
      <c r="G17" s="48">
        <f t="shared" si="2"/>
        <v>0</v>
      </c>
      <c r="H17" s="48">
        <f t="shared" si="3"/>
        <v>0</v>
      </c>
      <c r="I17" s="82">
        <f t="shared" si="4"/>
        <v>0</v>
      </c>
    </row>
    <row r="18" spans="1:9" ht="15.75">
      <c r="A18" s="5" t="s">
        <v>9</v>
      </c>
      <c r="B18" s="44">
        <v>7989041</v>
      </c>
      <c r="C18" s="44">
        <v>834535903.17</v>
      </c>
      <c r="D18" s="44">
        <v>42453377.97</v>
      </c>
      <c r="E18" s="44">
        <f t="shared" si="0"/>
        <v>792082525.1999999</v>
      </c>
      <c r="F18" s="44">
        <f t="shared" si="1"/>
        <v>1.0086122021165378</v>
      </c>
      <c r="G18" s="48">
        <f t="shared" si="2"/>
        <v>0</v>
      </c>
      <c r="H18" s="48">
        <f t="shared" si="3"/>
        <v>0</v>
      </c>
      <c r="I18" s="82">
        <f t="shared" si="4"/>
        <v>0</v>
      </c>
    </row>
    <row r="19" spans="1:9" ht="15.75">
      <c r="A19" s="5" t="s">
        <v>10</v>
      </c>
      <c r="B19" s="44">
        <v>0</v>
      </c>
      <c r="C19" s="44">
        <v>364654404.12</v>
      </c>
      <c r="D19" s="44">
        <v>29853529.5</v>
      </c>
      <c r="E19" s="44">
        <f t="shared" si="0"/>
        <v>334800874.62</v>
      </c>
      <c r="F19" s="44">
        <f t="shared" si="1"/>
        <v>0</v>
      </c>
      <c r="G19" s="48">
        <f t="shared" si="2"/>
        <v>0</v>
      </c>
      <c r="H19" s="48">
        <f t="shared" si="3"/>
        <v>0</v>
      </c>
      <c r="I19" s="82">
        <f t="shared" si="4"/>
        <v>0</v>
      </c>
    </row>
    <row r="20" spans="1:9" ht="15.75">
      <c r="A20" s="5" t="s">
        <v>11</v>
      </c>
      <c r="B20" s="44">
        <v>6830.91</v>
      </c>
      <c r="C20" s="44">
        <v>1335430767.17</v>
      </c>
      <c r="D20" s="44">
        <v>53302241.91</v>
      </c>
      <c r="E20" s="44">
        <f t="shared" si="0"/>
        <v>1282128525.26</v>
      </c>
      <c r="F20" s="44">
        <f t="shared" si="1"/>
        <v>0.000532778880230808</v>
      </c>
      <c r="G20" s="48">
        <f t="shared" si="2"/>
        <v>0</v>
      </c>
      <c r="H20" s="48">
        <f t="shared" si="3"/>
        <v>0</v>
      </c>
      <c r="I20" s="82">
        <f t="shared" si="4"/>
        <v>0</v>
      </c>
    </row>
    <row r="21" spans="1:9" ht="15.75">
      <c r="A21" s="5" t="s">
        <v>12</v>
      </c>
      <c r="B21" s="44">
        <v>0</v>
      </c>
      <c r="C21" s="44">
        <v>518714522.37</v>
      </c>
      <c r="D21" s="44">
        <v>37908360.03</v>
      </c>
      <c r="E21" s="44">
        <f t="shared" si="0"/>
        <v>480806162.34000003</v>
      </c>
      <c r="F21" s="44">
        <f t="shared" si="1"/>
        <v>0</v>
      </c>
      <c r="G21" s="48">
        <f t="shared" si="2"/>
        <v>0</v>
      </c>
      <c r="H21" s="48">
        <f t="shared" si="3"/>
        <v>0</v>
      </c>
      <c r="I21" s="82">
        <f t="shared" si="4"/>
        <v>0</v>
      </c>
    </row>
    <row r="22" spans="1:9" ht="15.75">
      <c r="A22" s="5" t="s">
        <v>13</v>
      </c>
      <c r="B22" s="44">
        <v>527550</v>
      </c>
      <c r="C22" s="44">
        <v>491409824.27</v>
      </c>
      <c r="D22" s="44">
        <v>30925450.38</v>
      </c>
      <c r="E22" s="44">
        <f t="shared" si="0"/>
        <v>460484373.89</v>
      </c>
      <c r="F22" s="44">
        <f t="shared" si="1"/>
        <v>0.11456414808247556</v>
      </c>
      <c r="G22" s="48">
        <f t="shared" si="2"/>
        <v>0</v>
      </c>
      <c r="H22" s="48">
        <f t="shared" si="3"/>
        <v>0</v>
      </c>
      <c r="I22" s="82">
        <f t="shared" si="4"/>
        <v>0</v>
      </c>
    </row>
    <row r="23" spans="1:9" ht="15.75">
      <c r="A23" s="5" t="s">
        <v>14</v>
      </c>
      <c r="B23" s="44">
        <v>0</v>
      </c>
      <c r="C23" s="44">
        <v>632717410.76</v>
      </c>
      <c r="D23" s="44">
        <v>39757580.2</v>
      </c>
      <c r="E23" s="44">
        <f t="shared" si="0"/>
        <v>592959830.56</v>
      </c>
      <c r="F23" s="44">
        <f t="shared" si="1"/>
        <v>0</v>
      </c>
      <c r="G23" s="48">
        <f t="shared" si="2"/>
        <v>0</v>
      </c>
      <c r="H23" s="48">
        <f t="shared" si="3"/>
        <v>0</v>
      </c>
      <c r="I23" s="82">
        <f t="shared" si="4"/>
        <v>0</v>
      </c>
    </row>
    <row r="24" spans="1:9" ht="15.75">
      <c r="A24" s="5" t="s">
        <v>15</v>
      </c>
      <c r="B24" s="44">
        <v>0</v>
      </c>
      <c r="C24" s="44">
        <v>340609769.74</v>
      </c>
      <c r="D24" s="44">
        <v>35198286.23</v>
      </c>
      <c r="E24" s="44">
        <f t="shared" si="0"/>
        <v>305411483.51</v>
      </c>
      <c r="F24" s="44">
        <f t="shared" si="1"/>
        <v>0</v>
      </c>
      <c r="G24" s="48">
        <f t="shared" si="2"/>
        <v>0</v>
      </c>
      <c r="H24" s="48">
        <f t="shared" si="3"/>
        <v>0</v>
      </c>
      <c r="I24" s="82">
        <f t="shared" si="4"/>
        <v>0</v>
      </c>
    </row>
    <row r="25" spans="1:9" ht="15.75">
      <c r="A25" s="5" t="s">
        <v>16</v>
      </c>
      <c r="B25" s="44">
        <v>0</v>
      </c>
      <c r="C25" s="44">
        <v>2724933142.44</v>
      </c>
      <c r="D25" s="44">
        <v>99979866.61</v>
      </c>
      <c r="E25" s="44">
        <f t="shared" si="0"/>
        <v>2624953275.83</v>
      </c>
      <c r="F25" s="44">
        <f t="shared" si="1"/>
        <v>0</v>
      </c>
      <c r="G25" s="48">
        <f t="shared" si="2"/>
        <v>0</v>
      </c>
      <c r="H25" s="48">
        <f t="shared" si="3"/>
        <v>0</v>
      </c>
      <c r="I25" s="82">
        <f t="shared" si="4"/>
        <v>0</v>
      </c>
    </row>
    <row r="26" spans="1:9" ht="15.75">
      <c r="A26" s="5" t="s">
        <v>17</v>
      </c>
      <c r="B26" s="44">
        <v>100000</v>
      </c>
      <c r="C26" s="44">
        <v>309966834.29</v>
      </c>
      <c r="D26" s="44">
        <v>20129490.52</v>
      </c>
      <c r="E26" s="44">
        <f t="shared" si="0"/>
        <v>289837343.77000004</v>
      </c>
      <c r="F26" s="44">
        <f t="shared" si="1"/>
        <v>0.03450211028684932</v>
      </c>
      <c r="G26" s="48">
        <f t="shared" si="2"/>
        <v>0</v>
      </c>
      <c r="H26" s="48">
        <f t="shared" si="3"/>
        <v>0</v>
      </c>
      <c r="I26" s="82">
        <f t="shared" si="4"/>
        <v>0</v>
      </c>
    </row>
    <row r="27" spans="1:9" ht="15.75">
      <c r="A27" s="5" t="s">
        <v>18</v>
      </c>
      <c r="B27" s="44">
        <v>0</v>
      </c>
      <c r="C27" s="44">
        <v>306931155.11</v>
      </c>
      <c r="D27" s="44">
        <v>41958071.31</v>
      </c>
      <c r="E27" s="44">
        <f t="shared" si="0"/>
        <v>264973083.8</v>
      </c>
      <c r="F27" s="44">
        <f t="shared" si="1"/>
        <v>0</v>
      </c>
      <c r="G27" s="48">
        <f t="shared" si="2"/>
        <v>0</v>
      </c>
      <c r="H27" s="48">
        <f t="shared" si="3"/>
        <v>0</v>
      </c>
      <c r="I27" s="82">
        <f t="shared" si="4"/>
        <v>0</v>
      </c>
    </row>
    <row r="28" spans="1:9" ht="15.75">
      <c r="A28" s="5" t="s">
        <v>19</v>
      </c>
      <c r="B28" s="44">
        <v>187500</v>
      </c>
      <c r="C28" s="44">
        <v>627723993.21</v>
      </c>
      <c r="D28" s="44">
        <v>70131820.4</v>
      </c>
      <c r="E28" s="44">
        <f t="shared" si="0"/>
        <v>557592172.8100001</v>
      </c>
      <c r="F28" s="44">
        <f t="shared" si="1"/>
        <v>0.033626727408150106</v>
      </c>
      <c r="G28" s="48">
        <f t="shared" si="2"/>
        <v>0</v>
      </c>
      <c r="H28" s="48">
        <f t="shared" si="3"/>
        <v>0</v>
      </c>
      <c r="I28" s="82">
        <f t="shared" si="4"/>
        <v>0</v>
      </c>
    </row>
    <row r="29" spans="1:9" ht="15.75">
      <c r="A29" s="5" t="s">
        <v>20</v>
      </c>
      <c r="B29" s="44">
        <v>586900</v>
      </c>
      <c r="C29" s="44">
        <v>839705898.81</v>
      </c>
      <c r="D29" s="44">
        <v>59477481.84</v>
      </c>
      <c r="E29" s="44">
        <f t="shared" si="0"/>
        <v>780228416.9699999</v>
      </c>
      <c r="F29" s="44">
        <f t="shared" si="1"/>
        <v>0.07522156169076914</v>
      </c>
      <c r="G29" s="48">
        <f t="shared" si="2"/>
        <v>0</v>
      </c>
      <c r="H29" s="48">
        <f t="shared" si="3"/>
        <v>0</v>
      </c>
      <c r="I29" s="82">
        <f t="shared" si="4"/>
        <v>0</v>
      </c>
    </row>
    <row r="30" spans="1:9" ht="15.75">
      <c r="A30" s="5" t="s">
        <v>21</v>
      </c>
      <c r="B30" s="44">
        <v>1520000</v>
      </c>
      <c r="C30" s="44">
        <v>324083158.94</v>
      </c>
      <c r="D30" s="44">
        <v>41871717.61</v>
      </c>
      <c r="E30" s="44">
        <f t="shared" si="0"/>
        <v>282211441.33</v>
      </c>
      <c r="F30" s="44">
        <f t="shared" si="1"/>
        <v>0.5386032518159352</v>
      </c>
      <c r="G30" s="48">
        <f t="shared" si="2"/>
        <v>0</v>
      </c>
      <c r="H30" s="48">
        <f t="shared" si="3"/>
        <v>0</v>
      </c>
      <c r="I30" s="82">
        <f t="shared" si="4"/>
        <v>0</v>
      </c>
    </row>
    <row r="31" spans="1:9" ht="15.75">
      <c r="A31" s="5" t="s">
        <v>22</v>
      </c>
      <c r="B31" s="44">
        <v>0</v>
      </c>
      <c r="C31" s="44">
        <v>481936960.57</v>
      </c>
      <c r="D31" s="44">
        <v>59191010.11</v>
      </c>
      <c r="E31" s="44">
        <f t="shared" si="0"/>
        <v>422745950.46</v>
      </c>
      <c r="F31" s="44">
        <f t="shared" si="1"/>
        <v>0</v>
      </c>
      <c r="G31" s="48">
        <f t="shared" si="2"/>
        <v>0</v>
      </c>
      <c r="H31" s="48">
        <f t="shared" si="3"/>
        <v>0</v>
      </c>
      <c r="I31" s="82">
        <f t="shared" si="4"/>
        <v>0</v>
      </c>
    </row>
    <row r="32" spans="1:9" ht="15.75">
      <c r="A32" s="5" t="s">
        <v>23</v>
      </c>
      <c r="B32" s="44">
        <v>1000000</v>
      </c>
      <c r="C32" s="44">
        <v>646466578.39</v>
      </c>
      <c r="D32" s="44">
        <v>37630653.8</v>
      </c>
      <c r="E32" s="44">
        <f t="shared" si="0"/>
        <v>608835924.59</v>
      </c>
      <c r="F32" s="44">
        <f t="shared" si="1"/>
        <v>0.16424786376944103</v>
      </c>
      <c r="G32" s="48">
        <f t="shared" si="2"/>
        <v>0</v>
      </c>
      <c r="H32" s="48">
        <f t="shared" si="3"/>
        <v>0</v>
      </c>
      <c r="I32" s="82">
        <f t="shared" si="4"/>
        <v>0</v>
      </c>
    </row>
    <row r="33" spans="1:9" ht="15.75">
      <c r="A33" s="5" t="s">
        <v>24</v>
      </c>
      <c r="B33" s="44">
        <v>0</v>
      </c>
      <c r="C33" s="44">
        <v>1558790499.05</v>
      </c>
      <c r="D33" s="44">
        <v>75055295.18</v>
      </c>
      <c r="E33" s="44">
        <f t="shared" si="0"/>
        <v>1483735203.87</v>
      </c>
      <c r="F33" s="44">
        <f t="shared" si="1"/>
        <v>0</v>
      </c>
      <c r="G33" s="48">
        <f t="shared" si="2"/>
        <v>0</v>
      </c>
      <c r="H33" s="48">
        <f t="shared" si="3"/>
        <v>0</v>
      </c>
      <c r="I33" s="82">
        <f t="shared" si="4"/>
        <v>0</v>
      </c>
    </row>
    <row r="34" spans="1:9" ht="15.75">
      <c r="A34" s="5" t="s">
        <v>25</v>
      </c>
      <c r="B34" s="44">
        <v>310000</v>
      </c>
      <c r="C34" s="44">
        <v>303193492.5</v>
      </c>
      <c r="D34" s="44">
        <v>40273531.91</v>
      </c>
      <c r="E34" s="44">
        <f t="shared" si="0"/>
        <v>262919960.59</v>
      </c>
      <c r="F34" s="44">
        <f t="shared" si="1"/>
        <v>0.11790660522858402</v>
      </c>
      <c r="G34" s="48">
        <f t="shared" si="2"/>
        <v>0</v>
      </c>
      <c r="H34" s="48">
        <f t="shared" si="3"/>
        <v>0</v>
      </c>
      <c r="I34" s="82">
        <f t="shared" si="4"/>
        <v>0</v>
      </c>
    </row>
    <row r="35" spans="1:9" ht="15.75">
      <c r="A35" s="5" t="s">
        <v>26</v>
      </c>
      <c r="B35" s="44">
        <v>2200000</v>
      </c>
      <c r="C35" s="44">
        <v>1965616518.04</v>
      </c>
      <c r="D35" s="44">
        <v>57562535.15</v>
      </c>
      <c r="E35" s="44">
        <f t="shared" si="0"/>
        <v>1908053982.8899999</v>
      </c>
      <c r="F35" s="44">
        <f t="shared" si="1"/>
        <v>0.11530072103451755</v>
      </c>
      <c r="G35" s="48">
        <f t="shared" si="2"/>
        <v>0</v>
      </c>
      <c r="H35" s="48">
        <f t="shared" si="3"/>
        <v>0</v>
      </c>
      <c r="I35" s="82">
        <f t="shared" si="4"/>
        <v>0</v>
      </c>
    </row>
    <row r="36" spans="1:9" ht="15.75">
      <c r="A36" s="5" t="s">
        <v>27</v>
      </c>
      <c r="B36" s="44">
        <v>0</v>
      </c>
      <c r="C36" s="44">
        <v>337549036.54</v>
      </c>
      <c r="D36" s="44">
        <v>28244622.94</v>
      </c>
      <c r="E36" s="44">
        <f t="shared" si="0"/>
        <v>309304413.6</v>
      </c>
      <c r="F36" s="44">
        <f t="shared" si="1"/>
        <v>0</v>
      </c>
      <c r="G36" s="48">
        <f t="shared" si="2"/>
        <v>0</v>
      </c>
      <c r="H36" s="48">
        <f t="shared" si="3"/>
        <v>0</v>
      </c>
      <c r="I36" s="82">
        <f t="shared" si="4"/>
        <v>0</v>
      </c>
    </row>
    <row r="37" spans="1:9" ht="15.75">
      <c r="A37" s="5" t="s">
        <v>28</v>
      </c>
      <c r="B37" s="44">
        <v>0</v>
      </c>
      <c r="C37" s="44">
        <v>431810743.33</v>
      </c>
      <c r="D37" s="44">
        <v>43785708.44</v>
      </c>
      <c r="E37" s="44">
        <f t="shared" si="0"/>
        <v>388025034.89</v>
      </c>
      <c r="F37" s="44">
        <f t="shared" si="1"/>
        <v>0</v>
      </c>
      <c r="G37" s="48">
        <f t="shared" si="2"/>
        <v>0</v>
      </c>
      <c r="H37" s="48">
        <f t="shared" si="3"/>
        <v>0</v>
      </c>
      <c r="I37" s="82">
        <f t="shared" si="4"/>
        <v>0</v>
      </c>
    </row>
    <row r="38" spans="1:9" ht="15.75">
      <c r="A38" s="5" t="s">
        <v>29</v>
      </c>
      <c r="B38" s="44">
        <v>467000</v>
      </c>
      <c r="C38" s="44">
        <v>800393782.14</v>
      </c>
      <c r="D38" s="44">
        <v>27488718.72</v>
      </c>
      <c r="E38" s="44">
        <f t="shared" si="0"/>
        <v>772905063.42</v>
      </c>
      <c r="F38" s="44">
        <f t="shared" si="1"/>
        <v>0.060421392238470845</v>
      </c>
      <c r="G38" s="48">
        <f t="shared" si="2"/>
        <v>0</v>
      </c>
      <c r="H38" s="48">
        <f t="shared" si="3"/>
        <v>0</v>
      </c>
      <c r="I38" s="82">
        <f t="shared" si="4"/>
        <v>0</v>
      </c>
    </row>
    <row r="39" spans="1:9" ht="15.75">
      <c r="A39" s="5" t="s">
        <v>30</v>
      </c>
      <c r="B39" s="44">
        <v>1800000</v>
      </c>
      <c r="C39" s="44">
        <v>1685451658.93</v>
      </c>
      <c r="D39" s="44">
        <v>95287326.54</v>
      </c>
      <c r="E39" s="44">
        <f t="shared" si="0"/>
        <v>1590164332.39</v>
      </c>
      <c r="F39" s="44">
        <f t="shared" si="1"/>
        <v>0.11319584795960169</v>
      </c>
      <c r="G39" s="48">
        <f t="shared" si="2"/>
        <v>0</v>
      </c>
      <c r="H39" s="48">
        <f t="shared" si="3"/>
        <v>0</v>
      </c>
      <c r="I39" s="82">
        <f t="shared" si="4"/>
        <v>0</v>
      </c>
    </row>
    <row r="40" spans="1:9" ht="15.75">
      <c r="A40" s="5" t="s">
        <v>31</v>
      </c>
      <c r="B40" s="44">
        <v>374884.79</v>
      </c>
      <c r="C40" s="44">
        <v>1990356198.32</v>
      </c>
      <c r="D40" s="44">
        <v>110893310.3</v>
      </c>
      <c r="E40" s="44">
        <f t="shared" si="0"/>
        <v>1879462888.02</v>
      </c>
      <c r="F40" s="44">
        <f t="shared" si="1"/>
        <v>0.019946378956965643</v>
      </c>
      <c r="G40" s="48">
        <f t="shared" si="2"/>
        <v>0</v>
      </c>
      <c r="H40" s="48">
        <f t="shared" si="3"/>
        <v>0</v>
      </c>
      <c r="I40" s="82">
        <f t="shared" si="4"/>
        <v>0</v>
      </c>
    </row>
    <row r="41" spans="1:9" ht="15.75">
      <c r="A41" s="5" t="s">
        <v>32</v>
      </c>
      <c r="B41" s="44">
        <v>282000</v>
      </c>
      <c r="C41" s="44">
        <v>487913532.56</v>
      </c>
      <c r="D41" s="44">
        <v>52022597.67</v>
      </c>
      <c r="E41" s="44">
        <f t="shared" si="0"/>
        <v>435890934.89</v>
      </c>
      <c r="F41" s="44">
        <f t="shared" si="1"/>
        <v>0.06469508251442867</v>
      </c>
      <c r="G41" s="48">
        <f t="shared" si="2"/>
        <v>0</v>
      </c>
      <c r="H41" s="48">
        <f t="shared" si="3"/>
        <v>0</v>
      </c>
      <c r="I41" s="82">
        <f t="shared" si="4"/>
        <v>0</v>
      </c>
    </row>
    <row r="42" spans="1:9" ht="15.75">
      <c r="A42" s="5" t="s">
        <v>33</v>
      </c>
      <c r="B42" s="44">
        <v>400000</v>
      </c>
      <c r="C42" s="44">
        <v>390846154.23</v>
      </c>
      <c r="D42" s="44">
        <v>41159879.34</v>
      </c>
      <c r="E42" s="44">
        <f t="shared" si="0"/>
        <v>349686274.89</v>
      </c>
      <c r="F42" s="44">
        <f t="shared" si="1"/>
        <v>0.11438824704396164</v>
      </c>
      <c r="G42" s="48">
        <f t="shared" si="2"/>
        <v>0</v>
      </c>
      <c r="H42" s="48">
        <f t="shared" si="3"/>
        <v>0</v>
      </c>
      <c r="I42" s="82">
        <f t="shared" si="4"/>
        <v>0</v>
      </c>
    </row>
    <row r="43" spans="1:9" ht="15.75">
      <c r="A43" s="5" t="s">
        <v>34</v>
      </c>
      <c r="B43" s="44">
        <v>0</v>
      </c>
      <c r="C43" s="44">
        <v>322154119.67</v>
      </c>
      <c r="D43" s="44">
        <v>31858105.64</v>
      </c>
      <c r="E43" s="44">
        <f t="shared" si="0"/>
        <v>290296014.03000003</v>
      </c>
      <c r="F43" s="44">
        <f t="shared" si="1"/>
        <v>0</v>
      </c>
      <c r="G43" s="48">
        <f t="shared" si="2"/>
        <v>0</v>
      </c>
      <c r="H43" s="48">
        <f t="shared" si="3"/>
        <v>0</v>
      </c>
      <c r="I43" s="82">
        <f t="shared" si="4"/>
        <v>0</v>
      </c>
    </row>
    <row r="44" spans="1:9" ht="15.75">
      <c r="A44" s="5" t="s">
        <v>35</v>
      </c>
      <c r="B44" s="44">
        <v>50000</v>
      </c>
      <c r="C44" s="44">
        <v>276527844.79</v>
      </c>
      <c r="D44" s="44">
        <v>27206502.79</v>
      </c>
      <c r="E44" s="44">
        <f t="shared" si="0"/>
        <v>249321342.00000003</v>
      </c>
      <c r="F44" s="44">
        <f t="shared" si="1"/>
        <v>0.020054440425721756</v>
      </c>
      <c r="G44" s="48">
        <f t="shared" si="2"/>
        <v>0</v>
      </c>
      <c r="H44" s="48">
        <f t="shared" si="3"/>
        <v>0</v>
      </c>
      <c r="I44" s="82">
        <f t="shared" si="4"/>
        <v>0</v>
      </c>
    </row>
    <row r="45" spans="1:9" ht="15.75">
      <c r="A45" s="5" t="s">
        <v>36</v>
      </c>
      <c r="B45" s="44">
        <v>0</v>
      </c>
      <c r="C45" s="44">
        <v>451212555.71</v>
      </c>
      <c r="D45" s="44">
        <v>40734875.76</v>
      </c>
      <c r="E45" s="44">
        <f t="shared" si="0"/>
        <v>410477679.95</v>
      </c>
      <c r="F45" s="44">
        <f t="shared" si="1"/>
        <v>0</v>
      </c>
      <c r="G45" s="48">
        <f t="shared" si="2"/>
        <v>0</v>
      </c>
      <c r="H45" s="48">
        <f t="shared" si="3"/>
        <v>0</v>
      </c>
      <c r="I45" s="82">
        <f t="shared" si="4"/>
        <v>0</v>
      </c>
    </row>
    <row r="46" spans="1:9" ht="15.75">
      <c r="A46" s="14" t="s">
        <v>67</v>
      </c>
      <c r="B46" s="15">
        <f>SUM(B$9:B$45)</f>
        <v>584800191.92</v>
      </c>
      <c r="C46" s="15">
        <f>SUM(C$9:C$45)</f>
        <v>103861680928.48997</v>
      </c>
      <c r="D46" s="15">
        <f>SUM(D$9:D$45)</f>
        <v>18114207882.489998</v>
      </c>
      <c r="E46" s="15">
        <f>SUM(E$9:E$45)</f>
        <v>85747473046.00002</v>
      </c>
      <c r="F46" s="15">
        <f>$B46/$E46*100</f>
        <v>0.6820028289420011</v>
      </c>
      <c r="G46" s="15"/>
      <c r="H46" s="16"/>
      <c r="I46" s="16"/>
    </row>
    <row r="48" ht="15.75">
      <c r="E48" s="50">
        <f>$C$46-$D$46-$E$46</f>
        <v>0</v>
      </c>
    </row>
  </sheetData>
  <sheetProtection/>
  <mergeCells count="1">
    <mergeCell ref="A1:I1"/>
  </mergeCells>
  <conditionalFormatting sqref="I9:I45">
    <cfRule type="cellIs" priority="1" dxfId="133" operator="equal" stopIfTrue="1">
      <formula>-2</formula>
    </cfRule>
    <cfRule type="cellIs" priority="2" dxfId="132" operator="equal" stopIfTrue="1">
      <formula>0</formula>
    </cfRule>
  </conditionalFormatting>
  <printOptions horizontalCentered="1" verticalCentered="1"/>
  <pageMargins left="0.11811023622047245" right="0.11811023622047245" top="0.15748031496062992" bottom="0.15748031496062992" header="0.17" footer="0.16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9.140625" defaultRowHeight="15"/>
  <cols>
    <col min="1" max="1" width="24.28125" style="1" customWidth="1"/>
    <col min="2" max="3" width="20.00390625" style="1" customWidth="1"/>
    <col min="4" max="4" width="18.140625" style="1" customWidth="1"/>
    <col min="5" max="5" width="19.00390625" style="1" customWidth="1"/>
    <col min="6" max="6" width="29.57421875" style="2" customWidth="1"/>
    <col min="7" max="7" width="19.421875" style="2" customWidth="1"/>
    <col min="8" max="8" width="19.7109375" style="2" customWidth="1"/>
    <col min="9" max="9" width="19.140625" style="1" customWidth="1"/>
    <col min="10" max="10" width="16.421875" style="1" customWidth="1"/>
    <col min="11" max="11" width="9.140625" style="1" customWidth="1"/>
    <col min="12" max="12" width="19.57421875" style="1" customWidth="1"/>
    <col min="13" max="14" width="8.8515625" style="1" customWidth="1"/>
    <col min="15" max="16384" width="9.140625" style="1" customWidth="1"/>
  </cols>
  <sheetData>
    <row r="1" spans="1:12" ht="16.5" customHeight="1">
      <c r="A1" s="110" t="s">
        <v>223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3" spans="1:8" ht="15.75">
      <c r="A3" s="10" t="s">
        <v>166</v>
      </c>
      <c r="B3" s="23">
        <f>MAX($J$10:$J$46)</f>
        <v>9.96115555637481</v>
      </c>
      <c r="C3" s="2"/>
      <c r="D3" s="2"/>
      <c r="E3" s="2"/>
      <c r="F3" s="1"/>
      <c r="G3" s="1"/>
      <c r="H3" s="1"/>
    </row>
    <row r="4" spans="1:8" ht="15.75">
      <c r="A4" s="11" t="s">
        <v>167</v>
      </c>
      <c r="B4" s="37">
        <f>MIN($J$10:$J$46)</f>
        <v>0</v>
      </c>
      <c r="C4" s="2"/>
      <c r="D4" s="2"/>
      <c r="E4" s="2"/>
      <c r="F4" s="1"/>
      <c r="G4" s="1"/>
      <c r="H4" s="1"/>
    </row>
    <row r="5" spans="1:8" ht="15.75">
      <c r="A5" s="12" t="s">
        <v>168</v>
      </c>
      <c r="B5" s="13" t="s">
        <v>40</v>
      </c>
      <c r="C5" s="2"/>
      <c r="D5" s="2"/>
      <c r="E5" s="2"/>
      <c r="F5" s="1"/>
      <c r="G5" s="1"/>
      <c r="H5" s="1"/>
    </row>
    <row r="7" spans="1:12" s="8" customFormat="1" ht="18.75" customHeight="1">
      <c r="A7" s="107" t="s">
        <v>38</v>
      </c>
      <c r="B7" s="107" t="s">
        <v>339</v>
      </c>
      <c r="C7" s="107"/>
      <c r="D7" s="107"/>
      <c r="E7" s="107"/>
      <c r="F7" s="107"/>
      <c r="G7" s="107" t="s">
        <v>340</v>
      </c>
      <c r="H7" s="107"/>
      <c r="I7" s="107"/>
      <c r="J7" s="108" t="s">
        <v>170</v>
      </c>
      <c r="K7" s="108" t="s">
        <v>171</v>
      </c>
      <c r="L7" s="108" t="s">
        <v>172</v>
      </c>
    </row>
    <row r="8" spans="1:12" s="8" customFormat="1" ht="145.5" customHeight="1">
      <c r="A8" s="107"/>
      <c r="B8" s="3" t="s">
        <v>93</v>
      </c>
      <c r="C8" s="3" t="s">
        <v>345</v>
      </c>
      <c r="D8" s="3" t="s">
        <v>217</v>
      </c>
      <c r="E8" s="3" t="s">
        <v>293</v>
      </c>
      <c r="F8" s="3" t="s">
        <v>224</v>
      </c>
      <c r="G8" s="3" t="s">
        <v>92</v>
      </c>
      <c r="H8" s="3" t="s">
        <v>169</v>
      </c>
      <c r="I8" s="3" t="s">
        <v>94</v>
      </c>
      <c r="J8" s="108"/>
      <c r="K8" s="108"/>
      <c r="L8" s="108"/>
    </row>
    <row r="9" spans="1:12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95</v>
      </c>
      <c r="G9" s="9">
        <v>7</v>
      </c>
      <c r="H9" s="9">
        <v>8</v>
      </c>
      <c r="I9" s="9" t="s">
        <v>96</v>
      </c>
      <c r="J9" s="9" t="s">
        <v>225</v>
      </c>
      <c r="K9" s="9">
        <v>11</v>
      </c>
      <c r="L9" s="9">
        <v>12</v>
      </c>
    </row>
    <row r="10" spans="1:13" ht="15.75">
      <c r="A10" s="5" t="s">
        <v>0</v>
      </c>
      <c r="B10" s="57">
        <v>-2668803151.99</v>
      </c>
      <c r="C10" s="57">
        <v>968803151.99</v>
      </c>
      <c r="D10" s="57"/>
      <c r="E10" s="72"/>
      <c r="F10" s="57">
        <f>IF(SUM($B10:$E10)&lt;0,SUM($B10:$E10),0)</f>
        <v>-1699999999.9999998</v>
      </c>
      <c r="G10" s="29">
        <v>41328195060.85</v>
      </c>
      <c r="H10" s="29">
        <v>21485124060.85</v>
      </c>
      <c r="I10" s="29">
        <f>$G10-$H10</f>
        <v>19843071000</v>
      </c>
      <c r="J10" s="36">
        <f>-$F10/$I10*100</f>
        <v>8.56722228126886</v>
      </c>
      <c r="K10" s="36">
        <f>($J10-$B$4)/($B$3-$B$4)</f>
        <v>0.8600630953691031</v>
      </c>
      <c r="L10" s="83">
        <f>$K10*$B$5</f>
        <v>-0.8600630953691031</v>
      </c>
      <c r="M10" s="77"/>
    </row>
    <row r="11" spans="1:13" ht="15.75">
      <c r="A11" s="5" t="s">
        <v>1</v>
      </c>
      <c r="B11" s="57">
        <v>-1006096017.61</v>
      </c>
      <c r="C11" s="57">
        <v>1006096017.61</v>
      </c>
      <c r="D11" s="57"/>
      <c r="E11" s="72"/>
      <c r="F11" s="57">
        <f aca="true" t="shared" si="0" ref="F11:F46">IF(SUM($B11:$E11)&lt;0,SUM($B11:$E11),0)</f>
        <v>0</v>
      </c>
      <c r="G11" s="29">
        <v>18020772033.84</v>
      </c>
      <c r="H11" s="29">
        <v>9704277033.84</v>
      </c>
      <c r="I11" s="29">
        <f aca="true" t="shared" si="1" ref="I11:I46">$G11-$H11</f>
        <v>8316495000</v>
      </c>
      <c r="J11" s="36">
        <f aca="true" t="shared" si="2" ref="J11:J46">-$F11/$I11*100</f>
        <v>0</v>
      </c>
      <c r="K11" s="36">
        <f aca="true" t="shared" si="3" ref="K11:K46">($J11-$B$4)/($B$3-$B$4)</f>
        <v>0</v>
      </c>
      <c r="L11" s="83">
        <f aca="true" t="shared" si="4" ref="L11:L46">$K11*$B$5</f>
        <v>0</v>
      </c>
      <c r="M11" s="77"/>
    </row>
    <row r="12" spans="1:13" ht="15.75">
      <c r="A12" s="5" t="s">
        <v>2</v>
      </c>
      <c r="B12" s="57">
        <v>-336961885.87</v>
      </c>
      <c r="C12" s="57">
        <v>351520216.87</v>
      </c>
      <c r="D12" s="57"/>
      <c r="E12" s="72">
        <v>43699100</v>
      </c>
      <c r="F12" s="57">
        <f t="shared" si="0"/>
        <v>0</v>
      </c>
      <c r="G12" s="29">
        <v>5938554635.1</v>
      </c>
      <c r="H12" s="29">
        <v>4194151018.63</v>
      </c>
      <c r="I12" s="29">
        <f t="shared" si="1"/>
        <v>1744403616.4700003</v>
      </c>
      <c r="J12" s="36">
        <f t="shared" si="2"/>
        <v>0</v>
      </c>
      <c r="K12" s="36">
        <f t="shared" si="3"/>
        <v>0</v>
      </c>
      <c r="L12" s="83">
        <f t="shared" si="4"/>
        <v>0</v>
      </c>
      <c r="M12" s="77"/>
    </row>
    <row r="13" spans="1:13" ht="15.75">
      <c r="A13" s="5" t="s">
        <v>3</v>
      </c>
      <c r="B13" s="57">
        <v>-342905000</v>
      </c>
      <c r="C13" s="57">
        <v>195318000</v>
      </c>
      <c r="D13" s="57">
        <v>6600000</v>
      </c>
      <c r="E13" s="72"/>
      <c r="F13" s="57">
        <f t="shared" si="0"/>
        <v>-140987000</v>
      </c>
      <c r="G13" s="29">
        <v>2839168457.5</v>
      </c>
      <c r="H13" s="29">
        <v>1339564457.5</v>
      </c>
      <c r="I13" s="29">
        <f t="shared" si="1"/>
        <v>1499604000</v>
      </c>
      <c r="J13" s="36">
        <f t="shared" si="2"/>
        <v>9.401615359788318</v>
      </c>
      <c r="K13" s="36">
        <f t="shared" si="3"/>
        <v>0.9438277824877048</v>
      </c>
      <c r="L13" s="83">
        <f t="shared" si="4"/>
        <v>-0.9438277824877048</v>
      </c>
      <c r="M13" s="77"/>
    </row>
    <row r="14" spans="1:13" ht="15.75">
      <c r="A14" s="5" t="s">
        <v>4</v>
      </c>
      <c r="B14" s="57">
        <v>-94330870.55</v>
      </c>
      <c r="C14" s="57">
        <v>94330870.55</v>
      </c>
      <c r="D14" s="57"/>
      <c r="E14" s="72"/>
      <c r="F14" s="57">
        <f t="shared" si="0"/>
        <v>0</v>
      </c>
      <c r="G14" s="29">
        <v>2703755946.68</v>
      </c>
      <c r="H14" s="29">
        <v>2114755946.68</v>
      </c>
      <c r="I14" s="29">
        <f t="shared" si="1"/>
        <v>588999999.9999998</v>
      </c>
      <c r="J14" s="36">
        <f t="shared" si="2"/>
        <v>0</v>
      </c>
      <c r="K14" s="36">
        <f t="shared" si="3"/>
        <v>0</v>
      </c>
      <c r="L14" s="83">
        <f t="shared" si="4"/>
        <v>0</v>
      </c>
      <c r="M14" s="77"/>
    </row>
    <row r="15" spans="1:13" ht="15.75">
      <c r="A15" s="5" t="s">
        <v>5</v>
      </c>
      <c r="B15" s="57">
        <v>-63606170.27</v>
      </c>
      <c r="C15" s="57">
        <v>77746170.27</v>
      </c>
      <c r="D15" s="57"/>
      <c r="E15" s="72"/>
      <c r="F15" s="57">
        <f t="shared" si="0"/>
        <v>0</v>
      </c>
      <c r="G15" s="29">
        <v>1174667884.58</v>
      </c>
      <c r="H15" s="29">
        <v>659981584.58</v>
      </c>
      <c r="I15" s="29">
        <f t="shared" si="1"/>
        <v>514686299.9999999</v>
      </c>
      <c r="J15" s="36">
        <f t="shared" si="2"/>
        <v>0</v>
      </c>
      <c r="K15" s="36">
        <f t="shared" si="3"/>
        <v>0</v>
      </c>
      <c r="L15" s="83">
        <f t="shared" si="4"/>
        <v>0</v>
      </c>
      <c r="M15" s="77"/>
    </row>
    <row r="16" spans="1:13" ht="15.75">
      <c r="A16" s="5" t="s">
        <v>6</v>
      </c>
      <c r="B16" s="57">
        <v>-89394519.35</v>
      </c>
      <c r="C16" s="57">
        <v>52295169.35</v>
      </c>
      <c r="D16" s="57"/>
      <c r="E16" s="72"/>
      <c r="F16" s="57">
        <f t="shared" si="0"/>
        <v>-37099349.99999999</v>
      </c>
      <c r="G16" s="29">
        <v>1805093337.3</v>
      </c>
      <c r="H16" s="29">
        <v>1294863760.38</v>
      </c>
      <c r="I16" s="29">
        <f t="shared" si="1"/>
        <v>510229576.91999984</v>
      </c>
      <c r="J16" s="36">
        <f t="shared" si="2"/>
        <v>7.271109257121113</v>
      </c>
      <c r="K16" s="36">
        <f t="shared" si="3"/>
        <v>0.7299463617419208</v>
      </c>
      <c r="L16" s="83">
        <f t="shared" si="4"/>
        <v>-0.7299463617419208</v>
      </c>
      <c r="M16" s="77"/>
    </row>
    <row r="17" spans="1:13" ht="15.75">
      <c r="A17" s="5" t="s">
        <v>7</v>
      </c>
      <c r="B17" s="57">
        <v>-53910595.73</v>
      </c>
      <c r="C17" s="57">
        <v>40030995.73</v>
      </c>
      <c r="D17" s="57"/>
      <c r="E17" s="72"/>
      <c r="F17" s="57">
        <f t="shared" si="0"/>
        <v>-13879600</v>
      </c>
      <c r="G17" s="29">
        <v>740595294.29</v>
      </c>
      <c r="H17" s="29">
        <v>591063394.29</v>
      </c>
      <c r="I17" s="29">
        <f t="shared" si="1"/>
        <v>149531900</v>
      </c>
      <c r="J17" s="36">
        <f t="shared" si="2"/>
        <v>9.28203279701522</v>
      </c>
      <c r="K17" s="36">
        <f t="shared" si="3"/>
        <v>0.9318228938885533</v>
      </c>
      <c r="L17" s="83">
        <f t="shared" si="4"/>
        <v>-0.9318228938885533</v>
      </c>
      <c r="M17" s="77"/>
    </row>
    <row r="18" spans="1:13" ht="15.75">
      <c r="A18" s="5" t="s">
        <v>8</v>
      </c>
      <c r="B18" s="57">
        <v>-107770142.51</v>
      </c>
      <c r="C18" s="57">
        <v>76331342.51</v>
      </c>
      <c r="D18" s="57"/>
      <c r="E18" s="72">
        <v>31438800.000000004</v>
      </c>
      <c r="F18" s="57">
        <f t="shared" si="0"/>
        <v>0</v>
      </c>
      <c r="G18" s="29">
        <v>2196912031.67</v>
      </c>
      <c r="H18" s="29">
        <v>1656394224.67</v>
      </c>
      <c r="I18" s="29">
        <f t="shared" si="1"/>
        <v>540517807</v>
      </c>
      <c r="J18" s="36">
        <f t="shared" si="2"/>
        <v>0</v>
      </c>
      <c r="K18" s="36">
        <f t="shared" si="3"/>
        <v>0</v>
      </c>
      <c r="L18" s="83">
        <f t="shared" si="4"/>
        <v>0</v>
      </c>
      <c r="M18" s="77"/>
    </row>
    <row r="19" spans="1:13" ht="15.75">
      <c r="A19" s="5" t="s">
        <v>9</v>
      </c>
      <c r="B19" s="57">
        <v>-28277569.66</v>
      </c>
      <c r="C19" s="57">
        <v>8277569.66</v>
      </c>
      <c r="D19" s="57"/>
      <c r="E19" s="72"/>
      <c r="F19" s="57">
        <f t="shared" si="0"/>
        <v>-20000000</v>
      </c>
      <c r="G19" s="29">
        <v>806258333.51</v>
      </c>
      <c r="H19" s="29">
        <v>523681390.49</v>
      </c>
      <c r="I19" s="29">
        <f t="shared" si="1"/>
        <v>282576943.02</v>
      </c>
      <c r="J19" s="36">
        <f t="shared" si="2"/>
        <v>7.077718297272561</v>
      </c>
      <c r="K19" s="36">
        <f t="shared" si="3"/>
        <v>0.7105318511709272</v>
      </c>
      <c r="L19" s="83">
        <f t="shared" si="4"/>
        <v>-0.7105318511709272</v>
      </c>
      <c r="M19" s="77"/>
    </row>
    <row r="20" spans="1:13" ht="15.75">
      <c r="A20" s="5" t="s">
        <v>10</v>
      </c>
      <c r="B20" s="57">
        <v>-42506892.26</v>
      </c>
      <c r="C20" s="57">
        <v>42506892.26</v>
      </c>
      <c r="D20" s="57"/>
      <c r="E20" s="72"/>
      <c r="F20" s="57">
        <f t="shared" si="0"/>
        <v>0</v>
      </c>
      <c r="G20" s="29">
        <v>322147511.86</v>
      </c>
      <c r="H20" s="29">
        <v>237655316.82</v>
      </c>
      <c r="I20" s="29">
        <f t="shared" si="1"/>
        <v>84492195.04000002</v>
      </c>
      <c r="J20" s="36">
        <f t="shared" si="2"/>
        <v>0</v>
      </c>
      <c r="K20" s="36">
        <f t="shared" si="3"/>
        <v>0</v>
      </c>
      <c r="L20" s="83">
        <f t="shared" si="4"/>
        <v>0</v>
      </c>
      <c r="M20" s="77"/>
    </row>
    <row r="21" spans="1:13" ht="15.75">
      <c r="A21" s="5" t="s">
        <v>11</v>
      </c>
      <c r="B21" s="57">
        <v>-51906006.46</v>
      </c>
      <c r="C21" s="57">
        <v>53981006.46</v>
      </c>
      <c r="D21" s="57"/>
      <c r="E21" s="72"/>
      <c r="F21" s="57">
        <f t="shared" si="0"/>
        <v>0</v>
      </c>
      <c r="G21" s="29">
        <v>1283524760.71</v>
      </c>
      <c r="H21" s="29">
        <v>1016474313.36</v>
      </c>
      <c r="I21" s="29">
        <f t="shared" si="1"/>
        <v>267050447.35000002</v>
      </c>
      <c r="J21" s="36">
        <f t="shared" si="2"/>
        <v>0</v>
      </c>
      <c r="K21" s="36">
        <f t="shared" si="3"/>
        <v>0</v>
      </c>
      <c r="L21" s="83">
        <f t="shared" si="4"/>
        <v>0</v>
      </c>
      <c r="M21" s="77"/>
    </row>
    <row r="22" spans="1:13" ht="15.75">
      <c r="A22" s="5" t="s">
        <v>12</v>
      </c>
      <c r="B22" s="57">
        <v>-11200173.23</v>
      </c>
      <c r="C22" s="57">
        <v>11048729.82</v>
      </c>
      <c r="D22" s="57"/>
      <c r="E22" s="72"/>
      <c r="F22" s="57">
        <f t="shared" si="0"/>
        <v>-151443.41000000015</v>
      </c>
      <c r="G22" s="29">
        <v>507514349.14</v>
      </c>
      <c r="H22" s="29">
        <v>419261781.14</v>
      </c>
      <c r="I22" s="29">
        <f t="shared" si="1"/>
        <v>88252568</v>
      </c>
      <c r="J22" s="36">
        <f t="shared" si="2"/>
        <v>0.17160226997587213</v>
      </c>
      <c r="K22" s="36">
        <f t="shared" si="3"/>
        <v>0.017227144883411878</v>
      </c>
      <c r="L22" s="83">
        <f t="shared" si="4"/>
        <v>-0.017227144883411878</v>
      </c>
      <c r="M22" s="77"/>
    </row>
    <row r="23" spans="1:13" ht="15.75">
      <c r="A23" s="5" t="s">
        <v>13</v>
      </c>
      <c r="B23" s="57">
        <v>-57744938.08</v>
      </c>
      <c r="C23" s="57">
        <v>42538688.08</v>
      </c>
      <c r="D23" s="57"/>
      <c r="E23" s="72"/>
      <c r="F23" s="57">
        <f t="shared" si="0"/>
        <v>-15206250</v>
      </c>
      <c r="G23" s="29">
        <v>433664886.19</v>
      </c>
      <c r="H23" s="29">
        <v>273390886.19</v>
      </c>
      <c r="I23" s="29">
        <f t="shared" si="1"/>
        <v>160274000</v>
      </c>
      <c r="J23" s="36">
        <f t="shared" si="2"/>
        <v>9.487658634588268</v>
      </c>
      <c r="K23" s="36">
        <f t="shared" si="3"/>
        <v>0.9524656633352623</v>
      </c>
      <c r="L23" s="83">
        <f t="shared" si="4"/>
        <v>-0.9524656633352623</v>
      </c>
      <c r="M23" s="77"/>
    </row>
    <row r="24" spans="1:13" ht="15.75">
      <c r="A24" s="5" t="s">
        <v>14</v>
      </c>
      <c r="B24" s="57">
        <v>-14746269.23</v>
      </c>
      <c r="C24" s="57">
        <v>14746269.23</v>
      </c>
      <c r="D24" s="57"/>
      <c r="E24" s="72"/>
      <c r="F24" s="57">
        <f t="shared" si="0"/>
        <v>0</v>
      </c>
      <c r="G24" s="29">
        <v>617971141.53</v>
      </c>
      <c r="H24" s="29">
        <v>474628277.19</v>
      </c>
      <c r="I24" s="29">
        <f t="shared" si="1"/>
        <v>143342864.33999997</v>
      </c>
      <c r="J24" s="36">
        <f t="shared" si="2"/>
        <v>0</v>
      </c>
      <c r="K24" s="36">
        <f t="shared" si="3"/>
        <v>0</v>
      </c>
      <c r="L24" s="83">
        <f t="shared" si="4"/>
        <v>0</v>
      </c>
      <c r="M24" s="77"/>
    </row>
    <row r="25" spans="1:13" ht="15.75">
      <c r="A25" s="5" t="s">
        <v>15</v>
      </c>
      <c r="B25" s="57">
        <v>-23378275.06</v>
      </c>
      <c r="C25" s="57">
        <v>23378275.06</v>
      </c>
      <c r="D25" s="57"/>
      <c r="E25" s="72"/>
      <c r="F25" s="57">
        <f t="shared" si="0"/>
        <v>0</v>
      </c>
      <c r="G25" s="29">
        <v>317231494.68</v>
      </c>
      <c r="H25" s="29">
        <v>221251204.42</v>
      </c>
      <c r="I25" s="29">
        <f t="shared" si="1"/>
        <v>95980290.26000002</v>
      </c>
      <c r="J25" s="36">
        <f t="shared" si="2"/>
        <v>0</v>
      </c>
      <c r="K25" s="36">
        <f t="shared" si="3"/>
        <v>0</v>
      </c>
      <c r="L25" s="83">
        <f t="shared" si="4"/>
        <v>0</v>
      </c>
      <c r="M25" s="77"/>
    </row>
    <row r="26" spans="1:13" ht="15.75">
      <c r="A26" s="5" t="s">
        <v>16</v>
      </c>
      <c r="B26" s="57">
        <v>-25089970</v>
      </c>
      <c r="C26" s="57">
        <v>24689970</v>
      </c>
      <c r="D26" s="57"/>
      <c r="E26" s="72"/>
      <c r="F26" s="57">
        <f t="shared" si="0"/>
        <v>-400000</v>
      </c>
      <c r="G26" s="29">
        <v>2699843172.44</v>
      </c>
      <c r="H26" s="29">
        <v>1626003850.38</v>
      </c>
      <c r="I26" s="29">
        <f t="shared" si="1"/>
        <v>1073839322.06</v>
      </c>
      <c r="J26" s="36">
        <f t="shared" si="2"/>
        <v>0.03724952064827165</v>
      </c>
      <c r="K26" s="96">
        <f t="shared" si="3"/>
        <v>0.003739477858513432</v>
      </c>
      <c r="L26" s="103">
        <f t="shared" si="4"/>
        <v>-0.003739477858513432</v>
      </c>
      <c r="M26" s="77"/>
    </row>
    <row r="27" spans="1:13" ht="15.75">
      <c r="A27" s="5" t="s">
        <v>17</v>
      </c>
      <c r="B27" s="57">
        <v>-11181035.31</v>
      </c>
      <c r="C27" s="57">
        <v>5621035.31</v>
      </c>
      <c r="D27" s="57"/>
      <c r="E27" s="72"/>
      <c r="F27" s="57">
        <f t="shared" si="0"/>
        <v>-5560000.000000001</v>
      </c>
      <c r="G27" s="29">
        <v>298785798.98</v>
      </c>
      <c r="H27" s="29">
        <v>235946677.26</v>
      </c>
      <c r="I27" s="29">
        <f t="shared" si="1"/>
        <v>62839121.72000003</v>
      </c>
      <c r="J27" s="36">
        <f t="shared" si="2"/>
        <v>8.847991263745495</v>
      </c>
      <c r="K27" s="36">
        <f t="shared" si="3"/>
        <v>0.8882494820676776</v>
      </c>
      <c r="L27" s="83">
        <f t="shared" si="4"/>
        <v>-0.8882494820676776</v>
      </c>
      <c r="M27" s="77"/>
    </row>
    <row r="28" spans="1:13" ht="15.75">
      <c r="A28" s="5" t="s">
        <v>18</v>
      </c>
      <c r="B28" s="57">
        <v>-17723974.18</v>
      </c>
      <c r="C28" s="57">
        <v>17723974.18</v>
      </c>
      <c r="D28" s="57"/>
      <c r="E28" s="72"/>
      <c r="F28" s="57">
        <f t="shared" si="0"/>
        <v>0</v>
      </c>
      <c r="G28" s="29">
        <v>289207180.93</v>
      </c>
      <c r="H28" s="29">
        <v>213294180.93</v>
      </c>
      <c r="I28" s="29">
        <f t="shared" si="1"/>
        <v>75913000</v>
      </c>
      <c r="J28" s="36">
        <f t="shared" si="2"/>
        <v>0</v>
      </c>
      <c r="K28" s="36">
        <f t="shared" si="3"/>
        <v>0</v>
      </c>
      <c r="L28" s="83">
        <f t="shared" si="4"/>
        <v>0</v>
      </c>
      <c r="M28" s="77"/>
    </row>
    <row r="29" spans="1:13" ht="15.75">
      <c r="A29" s="5" t="s">
        <v>19</v>
      </c>
      <c r="B29" s="57">
        <v>-80114691.91</v>
      </c>
      <c r="C29" s="57">
        <v>68614691.91</v>
      </c>
      <c r="D29" s="57"/>
      <c r="E29" s="72"/>
      <c r="F29" s="57">
        <f t="shared" si="0"/>
        <v>-11500000</v>
      </c>
      <c r="G29" s="29">
        <v>547609301.3</v>
      </c>
      <c r="H29" s="29">
        <v>284025038.23</v>
      </c>
      <c r="I29" s="29">
        <f t="shared" si="1"/>
        <v>263584263.06999993</v>
      </c>
      <c r="J29" s="36">
        <f t="shared" si="2"/>
        <v>4.362931180358802</v>
      </c>
      <c r="K29" s="36">
        <f t="shared" si="3"/>
        <v>0.437994483237105</v>
      </c>
      <c r="L29" s="83">
        <f t="shared" si="4"/>
        <v>-0.437994483237105</v>
      </c>
      <c r="M29" s="77"/>
    </row>
    <row r="30" spans="1:13" ht="15.75">
      <c r="A30" s="5" t="s">
        <v>20</v>
      </c>
      <c r="B30" s="57">
        <v>-148989481.37</v>
      </c>
      <c r="C30" s="57">
        <v>144662881.37</v>
      </c>
      <c r="D30" s="57"/>
      <c r="E30" s="72"/>
      <c r="F30" s="57">
        <f t="shared" si="0"/>
        <v>-4326600</v>
      </c>
      <c r="G30" s="29">
        <v>690716417.44</v>
      </c>
      <c r="H30" s="29">
        <v>414113877.54</v>
      </c>
      <c r="I30" s="29">
        <f t="shared" si="1"/>
        <v>276602539.90000004</v>
      </c>
      <c r="J30" s="36">
        <f t="shared" si="2"/>
        <v>1.5641938796238795</v>
      </c>
      <c r="K30" s="36">
        <f t="shared" si="3"/>
        <v>0.15702935977371088</v>
      </c>
      <c r="L30" s="83">
        <f t="shared" si="4"/>
        <v>-0.15702935977371088</v>
      </c>
      <c r="M30" s="77"/>
    </row>
    <row r="31" spans="1:13" ht="15.75">
      <c r="A31" s="5" t="s">
        <v>21</v>
      </c>
      <c r="B31" s="57">
        <v>-38808407.91</v>
      </c>
      <c r="C31" s="57">
        <v>26408407.91</v>
      </c>
      <c r="D31" s="57"/>
      <c r="E31" s="72"/>
      <c r="F31" s="57">
        <f t="shared" si="0"/>
        <v>-12399999.999999996</v>
      </c>
      <c r="G31" s="29">
        <v>285274751.03</v>
      </c>
      <c r="H31" s="29">
        <v>160434711.03</v>
      </c>
      <c r="I31" s="29">
        <f t="shared" si="1"/>
        <v>124840039.99999997</v>
      </c>
      <c r="J31" s="36">
        <f t="shared" si="2"/>
        <v>9.932710691217336</v>
      </c>
      <c r="K31" s="96">
        <f t="shared" si="3"/>
        <v>0.9971444211470756</v>
      </c>
      <c r="L31" s="103">
        <f t="shared" si="4"/>
        <v>-0.9971444211470756</v>
      </c>
      <c r="M31" s="77"/>
    </row>
    <row r="32" spans="1:13" ht="15.75">
      <c r="A32" s="5" t="s">
        <v>22</v>
      </c>
      <c r="B32" s="57">
        <v>-23007877.09</v>
      </c>
      <c r="C32" s="57">
        <v>23007877.09</v>
      </c>
      <c r="D32" s="57"/>
      <c r="E32" s="72"/>
      <c r="F32" s="57">
        <f t="shared" si="0"/>
        <v>0</v>
      </c>
      <c r="G32" s="29">
        <v>458929083.48</v>
      </c>
      <c r="H32" s="29">
        <v>331846280.48</v>
      </c>
      <c r="I32" s="29">
        <f t="shared" si="1"/>
        <v>127082803</v>
      </c>
      <c r="J32" s="36">
        <f t="shared" si="2"/>
        <v>0</v>
      </c>
      <c r="K32" s="36">
        <f t="shared" si="3"/>
        <v>0</v>
      </c>
      <c r="L32" s="83">
        <f t="shared" si="4"/>
        <v>0</v>
      </c>
      <c r="M32" s="77"/>
    </row>
    <row r="33" spans="1:13" ht="15.75">
      <c r="A33" s="5" t="s">
        <v>23</v>
      </c>
      <c r="B33" s="57">
        <v>-19931871.75</v>
      </c>
      <c r="C33" s="57">
        <v>37015508.75</v>
      </c>
      <c r="D33" s="57"/>
      <c r="E33" s="72"/>
      <c r="F33" s="57">
        <f t="shared" si="0"/>
        <v>0</v>
      </c>
      <c r="G33" s="29">
        <v>626534706.64</v>
      </c>
      <c r="H33" s="29">
        <v>445758706.64</v>
      </c>
      <c r="I33" s="29">
        <f t="shared" si="1"/>
        <v>180776000</v>
      </c>
      <c r="J33" s="36">
        <f t="shared" si="2"/>
        <v>0</v>
      </c>
      <c r="K33" s="36">
        <f t="shared" si="3"/>
        <v>0</v>
      </c>
      <c r="L33" s="83">
        <f t="shared" si="4"/>
        <v>0</v>
      </c>
      <c r="M33" s="77"/>
    </row>
    <row r="34" spans="1:13" ht="15.75">
      <c r="A34" s="5" t="s">
        <v>24</v>
      </c>
      <c r="B34" s="57">
        <v>-116605389.3</v>
      </c>
      <c r="C34" s="57">
        <v>88605389.3</v>
      </c>
      <c r="D34" s="57"/>
      <c r="E34" s="72"/>
      <c r="F34" s="57">
        <f t="shared" si="0"/>
        <v>-28000000</v>
      </c>
      <c r="G34" s="29">
        <v>1442185109.75</v>
      </c>
      <c r="H34" s="29">
        <v>914396081.78</v>
      </c>
      <c r="I34" s="29">
        <f t="shared" si="1"/>
        <v>527789027.97</v>
      </c>
      <c r="J34" s="36">
        <f t="shared" si="2"/>
        <v>5.305150072500473</v>
      </c>
      <c r="K34" s="36">
        <f t="shared" si="3"/>
        <v>0.5325837993871456</v>
      </c>
      <c r="L34" s="83">
        <f t="shared" si="4"/>
        <v>-0.5325837993871456</v>
      </c>
      <c r="M34" s="77"/>
    </row>
    <row r="35" spans="1:13" ht="15.75">
      <c r="A35" s="5" t="s">
        <v>25</v>
      </c>
      <c r="B35" s="57">
        <v>-15736150.99</v>
      </c>
      <c r="C35" s="57">
        <v>16050650.99</v>
      </c>
      <c r="D35" s="57"/>
      <c r="E35" s="72"/>
      <c r="F35" s="57">
        <f t="shared" si="0"/>
        <v>0</v>
      </c>
      <c r="G35" s="29">
        <v>287457341.51</v>
      </c>
      <c r="H35" s="29">
        <v>247447267.51</v>
      </c>
      <c r="I35" s="29">
        <f t="shared" si="1"/>
        <v>40010074</v>
      </c>
      <c r="J35" s="36">
        <f t="shared" si="2"/>
        <v>0</v>
      </c>
      <c r="K35" s="36">
        <f t="shared" si="3"/>
        <v>0</v>
      </c>
      <c r="L35" s="83">
        <f t="shared" si="4"/>
        <v>0</v>
      </c>
      <c r="M35" s="77"/>
    </row>
    <row r="36" spans="1:13" ht="15.75">
      <c r="A36" s="5" t="s">
        <v>26</v>
      </c>
      <c r="B36" s="57">
        <v>-50964201.7</v>
      </c>
      <c r="C36" s="57">
        <v>46832501.7</v>
      </c>
      <c r="D36" s="57"/>
      <c r="E36" s="72">
        <v>3234200.000000001</v>
      </c>
      <c r="F36" s="57">
        <f t="shared" si="0"/>
        <v>-897499.9999999991</v>
      </c>
      <c r="G36" s="29">
        <v>1914652316.34</v>
      </c>
      <c r="H36" s="29">
        <v>1687591017.89</v>
      </c>
      <c r="I36" s="29">
        <f t="shared" si="1"/>
        <v>227061298.4499998</v>
      </c>
      <c r="J36" s="36">
        <f t="shared" si="2"/>
        <v>0.3952677123431643</v>
      </c>
      <c r="K36" s="36">
        <f t="shared" si="3"/>
        <v>0.03968090951959946</v>
      </c>
      <c r="L36" s="83">
        <f t="shared" si="4"/>
        <v>-0.03968090951959946</v>
      </c>
      <c r="M36" s="77"/>
    </row>
    <row r="37" spans="1:13" ht="15.75">
      <c r="A37" s="5" t="s">
        <v>27</v>
      </c>
      <c r="B37" s="57">
        <v>-22015721.98</v>
      </c>
      <c r="C37" s="57">
        <v>22015721.98</v>
      </c>
      <c r="D37" s="57"/>
      <c r="E37" s="72"/>
      <c r="F37" s="57">
        <f t="shared" si="0"/>
        <v>0</v>
      </c>
      <c r="G37" s="29">
        <v>315533314.56</v>
      </c>
      <c r="H37" s="29">
        <v>132928314.56</v>
      </c>
      <c r="I37" s="29">
        <f t="shared" si="1"/>
        <v>182605000</v>
      </c>
      <c r="J37" s="36">
        <f t="shared" si="2"/>
        <v>0</v>
      </c>
      <c r="K37" s="36">
        <f t="shared" si="3"/>
        <v>0</v>
      </c>
      <c r="L37" s="83">
        <f t="shared" si="4"/>
        <v>0</v>
      </c>
      <c r="M37" s="77"/>
    </row>
    <row r="38" spans="1:13" ht="15.75">
      <c r="A38" s="5" t="s">
        <v>28</v>
      </c>
      <c r="B38" s="57">
        <v>-40911882</v>
      </c>
      <c r="C38" s="57">
        <v>40911882</v>
      </c>
      <c r="D38" s="57"/>
      <c r="E38" s="72"/>
      <c r="F38" s="57">
        <f t="shared" si="0"/>
        <v>0</v>
      </c>
      <c r="G38" s="29">
        <v>390898861.33</v>
      </c>
      <c r="H38" s="29">
        <v>283496861.33</v>
      </c>
      <c r="I38" s="29">
        <f t="shared" si="1"/>
        <v>107402000</v>
      </c>
      <c r="J38" s="36">
        <f t="shared" si="2"/>
        <v>0</v>
      </c>
      <c r="K38" s="36">
        <f t="shared" si="3"/>
        <v>0</v>
      </c>
      <c r="L38" s="83">
        <f t="shared" si="4"/>
        <v>0</v>
      </c>
      <c r="M38" s="77"/>
    </row>
    <row r="39" spans="1:13" ht="15.75">
      <c r="A39" s="5" t="s">
        <v>29</v>
      </c>
      <c r="B39" s="57">
        <v>-12184360.33</v>
      </c>
      <c r="C39" s="57">
        <v>10526610.33</v>
      </c>
      <c r="D39" s="57"/>
      <c r="E39" s="72">
        <v>752000</v>
      </c>
      <c r="F39" s="57">
        <f t="shared" si="0"/>
        <v>-905750</v>
      </c>
      <c r="G39" s="29">
        <v>788209421.81</v>
      </c>
      <c r="H39" s="29">
        <v>661213192.13</v>
      </c>
      <c r="I39" s="29">
        <f t="shared" si="1"/>
        <v>126996229.67999995</v>
      </c>
      <c r="J39" s="36">
        <f t="shared" si="2"/>
        <v>0.7132101498463953</v>
      </c>
      <c r="K39" s="36">
        <f t="shared" si="3"/>
        <v>0.07159913785203006</v>
      </c>
      <c r="L39" s="83">
        <f t="shared" si="4"/>
        <v>-0.07159913785203006</v>
      </c>
      <c r="M39" s="77"/>
    </row>
    <row r="40" spans="1:13" ht="15.75">
      <c r="A40" s="5" t="s">
        <v>30</v>
      </c>
      <c r="B40" s="57">
        <v>-79824284.66</v>
      </c>
      <c r="C40" s="57">
        <v>65874184.66</v>
      </c>
      <c r="D40" s="57"/>
      <c r="E40" s="72"/>
      <c r="F40" s="57">
        <f t="shared" si="0"/>
        <v>-13950100</v>
      </c>
      <c r="G40" s="29">
        <v>1605627374.27</v>
      </c>
      <c r="H40" s="29">
        <v>1178672520.16</v>
      </c>
      <c r="I40" s="29">
        <f t="shared" si="1"/>
        <v>426954854.1099999</v>
      </c>
      <c r="J40" s="36">
        <f t="shared" si="2"/>
        <v>3.2673477923279264</v>
      </c>
      <c r="K40" s="36">
        <f t="shared" si="3"/>
        <v>0.3280089116003144</v>
      </c>
      <c r="L40" s="83">
        <f t="shared" si="4"/>
        <v>-0.3280089116003144</v>
      </c>
      <c r="M40" s="77"/>
    </row>
    <row r="41" spans="1:13" ht="15.75">
      <c r="A41" s="5" t="s">
        <v>31</v>
      </c>
      <c r="B41" s="57">
        <v>-134957169.43</v>
      </c>
      <c r="C41" s="57">
        <v>124059729.43</v>
      </c>
      <c r="D41" s="57"/>
      <c r="E41" s="72">
        <v>14639840</v>
      </c>
      <c r="F41" s="57">
        <f t="shared" si="0"/>
        <v>0</v>
      </c>
      <c r="G41" s="29">
        <v>1855399028.89</v>
      </c>
      <c r="H41" s="29">
        <v>1280122847.78</v>
      </c>
      <c r="I41" s="29">
        <f t="shared" si="1"/>
        <v>575276181.1100001</v>
      </c>
      <c r="J41" s="36">
        <f t="shared" si="2"/>
        <v>0</v>
      </c>
      <c r="K41" s="36">
        <f t="shared" si="3"/>
        <v>0</v>
      </c>
      <c r="L41" s="83">
        <f t="shared" si="4"/>
        <v>0</v>
      </c>
      <c r="M41" s="77"/>
    </row>
    <row r="42" spans="1:13" ht="15.75">
      <c r="A42" s="5" t="s">
        <v>32</v>
      </c>
      <c r="B42" s="57">
        <v>-29233519.66</v>
      </c>
      <c r="C42" s="57">
        <v>11233519.66</v>
      </c>
      <c r="D42" s="57"/>
      <c r="E42" s="72"/>
      <c r="F42" s="57">
        <f t="shared" si="0"/>
        <v>-18000000</v>
      </c>
      <c r="G42" s="29">
        <v>458680012.9</v>
      </c>
      <c r="H42" s="29">
        <v>277978086.32</v>
      </c>
      <c r="I42" s="29">
        <f t="shared" si="1"/>
        <v>180701926.57999998</v>
      </c>
      <c r="J42" s="36">
        <f t="shared" si="2"/>
        <v>9.96115555637481</v>
      </c>
      <c r="K42" s="36">
        <f t="shared" si="3"/>
        <v>1</v>
      </c>
      <c r="L42" s="83">
        <f t="shared" si="4"/>
        <v>-1</v>
      </c>
      <c r="M42" s="77"/>
    </row>
    <row r="43" spans="1:13" ht="15.75">
      <c r="A43" s="5" t="s">
        <v>33</v>
      </c>
      <c r="B43" s="57">
        <v>-13485899.46</v>
      </c>
      <c r="C43" s="57">
        <v>13076899.46</v>
      </c>
      <c r="D43" s="57"/>
      <c r="E43" s="72"/>
      <c r="F43" s="57">
        <f t="shared" si="0"/>
        <v>-409000</v>
      </c>
      <c r="G43" s="29">
        <v>377360254.77</v>
      </c>
      <c r="H43" s="29">
        <v>284388883.03</v>
      </c>
      <c r="I43" s="29">
        <f t="shared" si="1"/>
        <v>92971371.74000001</v>
      </c>
      <c r="J43" s="36">
        <f t="shared" si="2"/>
        <v>0.43992036725433387</v>
      </c>
      <c r="K43" s="36">
        <f t="shared" si="3"/>
        <v>0.04416358772479959</v>
      </c>
      <c r="L43" s="83">
        <f t="shared" si="4"/>
        <v>-0.04416358772479959</v>
      </c>
      <c r="M43" s="77"/>
    </row>
    <row r="44" spans="1:13" ht="15.75">
      <c r="A44" s="5" t="s">
        <v>34</v>
      </c>
      <c r="B44" s="57">
        <v>-10366095.71</v>
      </c>
      <c r="C44" s="57">
        <v>10366095.71</v>
      </c>
      <c r="D44" s="57"/>
      <c r="E44" s="72"/>
      <c r="F44" s="57">
        <f t="shared" si="0"/>
        <v>0</v>
      </c>
      <c r="G44" s="29">
        <v>311788023.96</v>
      </c>
      <c r="H44" s="29">
        <v>236488023.96</v>
      </c>
      <c r="I44" s="29">
        <f t="shared" si="1"/>
        <v>75299999.99999997</v>
      </c>
      <c r="J44" s="36">
        <f t="shared" si="2"/>
        <v>0</v>
      </c>
      <c r="K44" s="36">
        <f t="shared" si="3"/>
        <v>0</v>
      </c>
      <c r="L44" s="83">
        <f t="shared" si="4"/>
        <v>0</v>
      </c>
      <c r="M44" s="77"/>
    </row>
    <row r="45" spans="1:13" ht="15.75">
      <c r="A45" s="5" t="s">
        <v>35</v>
      </c>
      <c r="B45" s="57">
        <v>-2888000</v>
      </c>
      <c r="C45" s="57">
        <v>2888000</v>
      </c>
      <c r="D45" s="57"/>
      <c r="E45" s="72"/>
      <c r="F45" s="57">
        <f t="shared" si="0"/>
        <v>0</v>
      </c>
      <c r="G45" s="29">
        <v>273639844.79</v>
      </c>
      <c r="H45" s="29">
        <v>201641453.53</v>
      </c>
      <c r="I45" s="29">
        <f t="shared" si="1"/>
        <v>71998391.26000002</v>
      </c>
      <c r="J45" s="36">
        <f t="shared" si="2"/>
        <v>0</v>
      </c>
      <c r="K45" s="36">
        <f t="shared" si="3"/>
        <v>0</v>
      </c>
      <c r="L45" s="83">
        <f t="shared" si="4"/>
        <v>0</v>
      </c>
      <c r="M45" s="77"/>
    </row>
    <row r="46" spans="1:13" ht="15.75">
      <c r="A46" s="5" t="s">
        <v>36</v>
      </c>
      <c r="B46" s="57">
        <v>-53508403.55</v>
      </c>
      <c r="C46" s="57">
        <v>53508403.55</v>
      </c>
      <c r="D46" s="57"/>
      <c r="E46" s="72"/>
      <c r="F46" s="57">
        <f t="shared" si="0"/>
        <v>0</v>
      </c>
      <c r="G46" s="29">
        <v>397704152.16</v>
      </c>
      <c r="H46" s="29">
        <v>272511434.16</v>
      </c>
      <c r="I46" s="29">
        <f t="shared" si="1"/>
        <v>125192718</v>
      </c>
      <c r="J46" s="36">
        <f t="shared" si="2"/>
        <v>0</v>
      </c>
      <c r="K46" s="36">
        <f t="shared" si="3"/>
        <v>0</v>
      </c>
      <c r="L46" s="83">
        <f t="shared" si="4"/>
        <v>0</v>
      </c>
      <c r="M46" s="77"/>
    </row>
    <row r="47" spans="1:12" ht="15.75">
      <c r="A47" s="14" t="s">
        <v>67</v>
      </c>
      <c r="B47" s="35">
        <f>SUM(B$10:B$46)</f>
        <v>-5941066866.15</v>
      </c>
      <c r="C47" s="35">
        <f aca="true" t="shared" si="5" ref="C47:I47">SUM(C$10:C$46)</f>
        <v>3912643300.7399993</v>
      </c>
      <c r="D47" s="35">
        <f t="shared" si="5"/>
        <v>6600000</v>
      </c>
      <c r="E47" s="35">
        <f>SUM(E$10:E$46)</f>
        <v>93763940</v>
      </c>
      <c r="F47" s="35">
        <f t="shared" si="5"/>
        <v>-2023672593.4099998</v>
      </c>
      <c r="G47" s="35">
        <f t="shared" si="5"/>
        <v>97352062628.70998</v>
      </c>
      <c r="H47" s="35">
        <f t="shared" si="5"/>
        <v>57576817957.66</v>
      </c>
      <c r="I47" s="35">
        <f t="shared" si="5"/>
        <v>39775244671.05</v>
      </c>
      <c r="J47" s="56">
        <f>-$F47/$I47*100</f>
        <v>5.087769063763695</v>
      </c>
      <c r="K47" s="16"/>
      <c r="L47" s="16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conditionalFormatting sqref="L10:L46">
    <cfRule type="cellIs" priority="1" dxfId="133" operator="equal" stopIfTrue="1">
      <formula>-1</formula>
    </cfRule>
    <cfRule type="cellIs" priority="2" dxfId="132" operator="equal" stopIfTrue="1">
      <formula>0</formula>
    </cfRule>
  </conditionalFormatting>
  <printOptions horizontalCentered="1" verticalCentered="1"/>
  <pageMargins left="0.2362204724409449" right="0.15748031496062992" top="0.15748031496062992" bottom="0.31496062992125984" header="0.1968503937007874" footer="0.31496062992125984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9.140625" defaultRowHeight="15"/>
  <cols>
    <col min="1" max="1" width="24.7109375" style="39" customWidth="1"/>
    <col min="2" max="2" width="18.8515625" style="39" customWidth="1"/>
    <col min="3" max="3" width="22.7109375" style="39" customWidth="1"/>
    <col min="4" max="4" width="24.28125" style="39" customWidth="1"/>
    <col min="5" max="5" width="19.140625" style="39" customWidth="1"/>
    <col min="6" max="6" width="19.28125" style="39" customWidth="1"/>
    <col min="7" max="7" width="19.57421875" style="39" customWidth="1"/>
    <col min="8" max="8" width="16.7109375" style="39" customWidth="1"/>
    <col min="9" max="9" width="8.7109375" style="39" customWidth="1"/>
    <col min="10" max="10" width="19.00390625" style="39" customWidth="1"/>
    <col min="11" max="16384" width="9.140625" style="39" customWidth="1"/>
  </cols>
  <sheetData>
    <row r="1" spans="1:10" ht="15.75">
      <c r="A1" s="110" t="s">
        <v>226</v>
      </c>
      <c r="B1" s="110"/>
      <c r="C1" s="110"/>
      <c r="D1" s="110"/>
      <c r="E1" s="110"/>
      <c r="F1" s="110"/>
      <c r="G1" s="110"/>
      <c r="H1" s="110"/>
      <c r="I1" s="110"/>
      <c r="J1" s="110"/>
    </row>
    <row r="3" spans="1:7" ht="15.75">
      <c r="A3" s="10" t="s">
        <v>120</v>
      </c>
      <c r="B3" s="26">
        <f>MAX($H$10:$H$46)</f>
        <v>69.1540951124335</v>
      </c>
      <c r="C3" s="30"/>
      <c r="D3" s="30"/>
      <c r="E3" s="51"/>
      <c r="F3" s="51"/>
      <c r="G3" s="51"/>
    </row>
    <row r="4" spans="1:7" ht="15.75">
      <c r="A4" s="11" t="s">
        <v>121</v>
      </c>
      <c r="B4" s="27">
        <f>MIN($H$10:$H$46)</f>
        <v>0</v>
      </c>
      <c r="C4" s="52"/>
      <c r="D4" s="52"/>
      <c r="E4" s="53"/>
      <c r="F4" s="53"/>
      <c r="G4" s="53"/>
    </row>
    <row r="5" spans="1:7" ht="15.75">
      <c r="A5" s="12" t="s">
        <v>122</v>
      </c>
      <c r="B5" s="13" t="s">
        <v>42</v>
      </c>
      <c r="C5" s="24"/>
      <c r="D5" s="24"/>
      <c r="E5" s="24"/>
      <c r="F5" s="24"/>
      <c r="G5" s="24"/>
    </row>
    <row r="7" spans="1:10" s="8" customFormat="1" ht="18" customHeight="1">
      <c r="A7" s="107" t="s">
        <v>38</v>
      </c>
      <c r="B7" s="121" t="s">
        <v>368</v>
      </c>
      <c r="C7" s="121"/>
      <c r="D7" s="121"/>
      <c r="E7" s="107" t="s">
        <v>340</v>
      </c>
      <c r="F7" s="107"/>
      <c r="G7" s="107"/>
      <c r="H7" s="108" t="s">
        <v>123</v>
      </c>
      <c r="I7" s="108" t="s">
        <v>124</v>
      </c>
      <c r="J7" s="108" t="s">
        <v>125</v>
      </c>
    </row>
    <row r="8" spans="1:10" s="8" customFormat="1" ht="94.5" customHeight="1">
      <c r="A8" s="107"/>
      <c r="B8" s="93" t="s">
        <v>67</v>
      </c>
      <c r="C8" s="93" t="s">
        <v>227</v>
      </c>
      <c r="D8" s="93" t="s">
        <v>282</v>
      </c>
      <c r="E8" s="3" t="s">
        <v>92</v>
      </c>
      <c r="F8" s="3" t="s">
        <v>169</v>
      </c>
      <c r="G8" s="3" t="s">
        <v>94</v>
      </c>
      <c r="H8" s="108"/>
      <c r="I8" s="108"/>
      <c r="J8" s="108"/>
    </row>
    <row r="9" spans="1:10" s="7" customFormat="1" ht="15.75">
      <c r="A9" s="9">
        <v>1</v>
      </c>
      <c r="B9" s="9">
        <v>2</v>
      </c>
      <c r="C9" s="9">
        <v>3</v>
      </c>
      <c r="D9" s="9" t="s">
        <v>143</v>
      </c>
      <c r="E9" s="9">
        <v>5</v>
      </c>
      <c r="F9" s="9">
        <v>6</v>
      </c>
      <c r="G9" s="9" t="s">
        <v>283</v>
      </c>
      <c r="H9" s="9" t="s">
        <v>284</v>
      </c>
      <c r="I9" s="9">
        <v>9</v>
      </c>
      <c r="J9" s="9">
        <v>10</v>
      </c>
    </row>
    <row r="10" spans="1:10" ht="15.75">
      <c r="A10" s="5" t="s">
        <v>0</v>
      </c>
      <c r="B10" s="47">
        <v>9899589000</v>
      </c>
      <c r="C10" s="45">
        <v>0</v>
      </c>
      <c r="D10" s="45">
        <f>$B10-$C10</f>
        <v>9899589000</v>
      </c>
      <c r="E10" s="85">
        <v>41328195060.85</v>
      </c>
      <c r="F10" s="85">
        <v>21485124060.85</v>
      </c>
      <c r="G10" s="47">
        <f>$E10-$F10</f>
        <v>19843071000</v>
      </c>
      <c r="H10" s="44">
        <f>$D10/$G10*100</f>
        <v>49.88939968012008</v>
      </c>
      <c r="I10" s="44">
        <f>($H10-$B$4)/($B$3-$B$4)</f>
        <v>0.7214236495902071</v>
      </c>
      <c r="J10" s="45">
        <f>$I10*$B$5</f>
        <v>-1.4428472991804142</v>
      </c>
    </row>
    <row r="11" spans="1:10" ht="15.75">
      <c r="A11" s="5" t="s">
        <v>1</v>
      </c>
      <c r="B11" s="47">
        <v>4272171000</v>
      </c>
      <c r="C11" s="45">
        <v>0</v>
      </c>
      <c r="D11" s="45">
        <f aca="true" t="shared" si="0" ref="D11:D46">$B11-$C11</f>
        <v>4272171000</v>
      </c>
      <c r="E11" s="85">
        <v>18020772033.84</v>
      </c>
      <c r="F11" s="85">
        <v>9704277033.84</v>
      </c>
      <c r="G11" s="47">
        <f aca="true" t="shared" si="1" ref="G11:G46">$E11-$F11</f>
        <v>8316495000</v>
      </c>
      <c r="H11" s="44">
        <f aca="true" t="shared" si="2" ref="H11:H46">$D11/$G11*100</f>
        <v>51.369849918745814</v>
      </c>
      <c r="I11" s="44">
        <f aca="true" t="shared" si="3" ref="I11:I46">($H11-$B$4)/($B$3-$B$4)</f>
        <v>0.7428316404867514</v>
      </c>
      <c r="J11" s="45">
        <f aca="true" t="shared" si="4" ref="J11:J46">$I11*$B$5</f>
        <v>-1.4856632809735029</v>
      </c>
    </row>
    <row r="12" spans="1:10" ht="15.75">
      <c r="A12" s="5" t="s">
        <v>2</v>
      </c>
      <c r="B12" s="47">
        <v>425360425</v>
      </c>
      <c r="C12" s="45">
        <v>84093100</v>
      </c>
      <c r="D12" s="45">
        <f t="shared" si="0"/>
        <v>341267325</v>
      </c>
      <c r="E12" s="85">
        <v>5938554635.1</v>
      </c>
      <c r="F12" s="85">
        <v>4194151018.63</v>
      </c>
      <c r="G12" s="47">
        <f t="shared" si="1"/>
        <v>1744403616.4700003</v>
      </c>
      <c r="H12" s="44">
        <f t="shared" si="2"/>
        <v>19.56355294026467</v>
      </c>
      <c r="I12" s="44">
        <f t="shared" si="3"/>
        <v>0.28289796733595407</v>
      </c>
      <c r="J12" s="45">
        <f t="shared" si="4"/>
        <v>-0.5657959346719081</v>
      </c>
    </row>
    <row r="13" spans="1:10" ht="15.75">
      <c r="A13" s="5" t="s">
        <v>3</v>
      </c>
      <c r="B13" s="47">
        <v>762501000</v>
      </c>
      <c r="C13" s="45">
        <v>0</v>
      </c>
      <c r="D13" s="45">
        <f t="shared" si="0"/>
        <v>762501000</v>
      </c>
      <c r="E13" s="85">
        <v>2839168457.5</v>
      </c>
      <c r="F13" s="85">
        <v>1339564457.5</v>
      </c>
      <c r="G13" s="47">
        <f t="shared" si="1"/>
        <v>1499604000</v>
      </c>
      <c r="H13" s="44">
        <f t="shared" si="2"/>
        <v>50.846823561420216</v>
      </c>
      <c r="I13" s="44">
        <f t="shared" si="3"/>
        <v>0.735268438965927</v>
      </c>
      <c r="J13" s="45">
        <f t="shared" si="4"/>
        <v>-1.470536877931854</v>
      </c>
    </row>
    <row r="14" spans="1:10" ht="15.75">
      <c r="A14" s="5" t="s">
        <v>4</v>
      </c>
      <c r="B14" s="47">
        <v>12000000</v>
      </c>
      <c r="C14" s="45">
        <v>0</v>
      </c>
      <c r="D14" s="45">
        <f t="shared" si="0"/>
        <v>12000000</v>
      </c>
      <c r="E14" s="85">
        <v>2703755946.68</v>
      </c>
      <c r="F14" s="85">
        <v>2114755946.68</v>
      </c>
      <c r="G14" s="47">
        <f t="shared" si="1"/>
        <v>588999999.9999998</v>
      </c>
      <c r="H14" s="44">
        <f t="shared" si="2"/>
        <v>2.03735144312394</v>
      </c>
      <c r="I14" s="44">
        <f t="shared" si="3"/>
        <v>0.029461038277075746</v>
      </c>
      <c r="J14" s="45">
        <f t="shared" si="4"/>
        <v>-0.05892207655415149</v>
      </c>
    </row>
    <row r="15" spans="1:10" ht="15.75">
      <c r="A15" s="5" t="s">
        <v>5</v>
      </c>
      <c r="B15" s="47">
        <v>21868000</v>
      </c>
      <c r="C15" s="45">
        <v>21868000</v>
      </c>
      <c r="D15" s="45">
        <f t="shared" si="0"/>
        <v>0</v>
      </c>
      <c r="E15" s="85">
        <v>1174667884.58</v>
      </c>
      <c r="F15" s="85">
        <v>659981584.58</v>
      </c>
      <c r="G15" s="47">
        <f t="shared" si="1"/>
        <v>514686299.9999999</v>
      </c>
      <c r="H15" s="44">
        <f t="shared" si="2"/>
        <v>0</v>
      </c>
      <c r="I15" s="44">
        <f t="shared" si="3"/>
        <v>0</v>
      </c>
      <c r="J15" s="45">
        <f t="shared" si="4"/>
        <v>0</v>
      </c>
    </row>
    <row r="16" spans="1:10" ht="15.75">
      <c r="A16" s="5" t="s">
        <v>6</v>
      </c>
      <c r="B16" s="47">
        <v>155553600</v>
      </c>
      <c r="C16" s="45">
        <v>87761400</v>
      </c>
      <c r="D16" s="45">
        <f t="shared" si="0"/>
        <v>67792200</v>
      </c>
      <c r="E16" s="85">
        <v>1805093337.3</v>
      </c>
      <c r="F16" s="85">
        <v>1294863760.38</v>
      </c>
      <c r="G16" s="47">
        <f t="shared" si="1"/>
        <v>510229576.91999984</v>
      </c>
      <c r="H16" s="44">
        <f t="shared" si="2"/>
        <v>13.286607258094978</v>
      </c>
      <c r="I16" s="44">
        <f t="shared" si="3"/>
        <v>0.19213044775574145</v>
      </c>
      <c r="J16" s="45">
        <f t="shared" si="4"/>
        <v>-0.3842608955114829</v>
      </c>
    </row>
    <row r="17" spans="1:10" ht="15.75">
      <c r="A17" s="5" t="s">
        <v>7</v>
      </c>
      <c r="B17" s="47">
        <v>89718800</v>
      </c>
      <c r="C17" s="45">
        <v>2300000</v>
      </c>
      <c r="D17" s="45">
        <f t="shared" si="0"/>
        <v>87418800</v>
      </c>
      <c r="E17" s="85">
        <v>740595294.29</v>
      </c>
      <c r="F17" s="85">
        <v>591063394.29</v>
      </c>
      <c r="G17" s="47">
        <f t="shared" si="1"/>
        <v>149531900</v>
      </c>
      <c r="H17" s="44">
        <f t="shared" si="2"/>
        <v>58.46163928900789</v>
      </c>
      <c r="I17" s="44">
        <f t="shared" si="3"/>
        <v>0.8453821743160491</v>
      </c>
      <c r="J17" s="45">
        <f t="shared" si="4"/>
        <v>-1.6907643486320982</v>
      </c>
    </row>
    <row r="18" spans="1:10" ht="15.75">
      <c r="A18" s="5" t="s">
        <v>8</v>
      </c>
      <c r="B18" s="47">
        <v>128954800</v>
      </c>
      <c r="C18" s="45">
        <v>58438800</v>
      </c>
      <c r="D18" s="45">
        <f t="shared" si="0"/>
        <v>70516000</v>
      </c>
      <c r="E18" s="85">
        <v>2196912031.67</v>
      </c>
      <c r="F18" s="85">
        <v>1656394224.67</v>
      </c>
      <c r="G18" s="47">
        <f t="shared" si="1"/>
        <v>540517807</v>
      </c>
      <c r="H18" s="44">
        <f t="shared" si="2"/>
        <v>13.046008676639214</v>
      </c>
      <c r="I18" s="44">
        <f t="shared" si="3"/>
        <v>0.18865128168373096</v>
      </c>
      <c r="J18" s="45">
        <f t="shared" si="4"/>
        <v>-0.37730256336746193</v>
      </c>
    </row>
    <row r="19" spans="1:10" ht="15.75">
      <c r="A19" s="5" t="s">
        <v>9</v>
      </c>
      <c r="B19" s="47">
        <v>109016000</v>
      </c>
      <c r="C19" s="45">
        <v>0</v>
      </c>
      <c r="D19" s="45">
        <f t="shared" si="0"/>
        <v>109016000</v>
      </c>
      <c r="E19" s="85">
        <v>806258333.51</v>
      </c>
      <c r="F19" s="85">
        <v>523681390.49</v>
      </c>
      <c r="G19" s="47">
        <f t="shared" si="1"/>
        <v>282576943.02</v>
      </c>
      <c r="H19" s="44">
        <f t="shared" si="2"/>
        <v>38.57922689477328</v>
      </c>
      <c r="I19" s="44">
        <f t="shared" si="3"/>
        <v>0.5578733527211892</v>
      </c>
      <c r="J19" s="45">
        <f t="shared" si="4"/>
        <v>-1.1157467054423784</v>
      </c>
    </row>
    <row r="20" spans="1:10" ht="15.75">
      <c r="A20" s="5" t="s">
        <v>10</v>
      </c>
      <c r="B20" s="47">
        <v>0</v>
      </c>
      <c r="C20" s="45">
        <v>0</v>
      </c>
      <c r="D20" s="45">
        <f t="shared" si="0"/>
        <v>0</v>
      </c>
      <c r="E20" s="85">
        <v>322147511.86</v>
      </c>
      <c r="F20" s="85">
        <v>237655316.82</v>
      </c>
      <c r="G20" s="47">
        <f t="shared" si="1"/>
        <v>84492195.04000002</v>
      </c>
      <c r="H20" s="44">
        <f t="shared" si="2"/>
        <v>0</v>
      </c>
      <c r="I20" s="44">
        <f t="shared" si="3"/>
        <v>0</v>
      </c>
      <c r="J20" s="45">
        <f t="shared" si="4"/>
        <v>0</v>
      </c>
    </row>
    <row r="21" spans="1:10" ht="15.75">
      <c r="A21" s="5" t="s">
        <v>11</v>
      </c>
      <c r="B21" s="47">
        <v>0</v>
      </c>
      <c r="C21" s="45">
        <v>0</v>
      </c>
      <c r="D21" s="45">
        <f t="shared" si="0"/>
        <v>0</v>
      </c>
      <c r="E21" s="85">
        <v>1283524760.71</v>
      </c>
      <c r="F21" s="85">
        <v>1016474313.36</v>
      </c>
      <c r="G21" s="47">
        <f t="shared" si="1"/>
        <v>267050447.35000002</v>
      </c>
      <c r="H21" s="44">
        <f t="shared" si="2"/>
        <v>0</v>
      </c>
      <c r="I21" s="44">
        <f t="shared" si="3"/>
        <v>0</v>
      </c>
      <c r="J21" s="45">
        <f t="shared" si="4"/>
        <v>0</v>
      </c>
    </row>
    <row r="22" spans="1:10" ht="15.75">
      <c r="A22" s="5" t="s">
        <v>12</v>
      </c>
      <c r="B22" s="47">
        <v>0</v>
      </c>
      <c r="C22" s="45">
        <v>0</v>
      </c>
      <c r="D22" s="45">
        <f t="shared" si="0"/>
        <v>0</v>
      </c>
      <c r="E22" s="85">
        <v>507514349.14</v>
      </c>
      <c r="F22" s="85">
        <v>419261781.14</v>
      </c>
      <c r="G22" s="47">
        <f t="shared" si="1"/>
        <v>88252568</v>
      </c>
      <c r="H22" s="44">
        <f t="shared" si="2"/>
        <v>0</v>
      </c>
      <c r="I22" s="44">
        <f t="shared" si="3"/>
        <v>0</v>
      </c>
      <c r="J22" s="45">
        <f t="shared" si="4"/>
        <v>0</v>
      </c>
    </row>
    <row r="23" spans="1:10" ht="15.75">
      <c r="A23" s="5" t="s">
        <v>13</v>
      </c>
      <c r="B23" s="47">
        <v>8777750</v>
      </c>
      <c r="C23" s="45">
        <v>0</v>
      </c>
      <c r="D23" s="45">
        <f t="shared" si="0"/>
        <v>8777750</v>
      </c>
      <c r="E23" s="85">
        <v>433664886.19</v>
      </c>
      <c r="F23" s="85">
        <v>273390886.19</v>
      </c>
      <c r="G23" s="47">
        <f t="shared" si="1"/>
        <v>160274000</v>
      </c>
      <c r="H23" s="44">
        <f t="shared" si="2"/>
        <v>5.476714875775235</v>
      </c>
      <c r="I23" s="44">
        <f t="shared" si="3"/>
        <v>0.07919581431686688</v>
      </c>
      <c r="J23" s="45">
        <f t="shared" si="4"/>
        <v>-0.15839162863373377</v>
      </c>
    </row>
    <row r="24" spans="1:10" ht="15.75">
      <c r="A24" s="5" t="s">
        <v>14</v>
      </c>
      <c r="B24" s="47">
        <v>0</v>
      </c>
      <c r="C24" s="45">
        <v>0</v>
      </c>
      <c r="D24" s="45">
        <f t="shared" si="0"/>
        <v>0</v>
      </c>
      <c r="E24" s="85">
        <v>617971141.53</v>
      </c>
      <c r="F24" s="85">
        <v>474628277.19</v>
      </c>
      <c r="G24" s="47">
        <f t="shared" si="1"/>
        <v>143342864.33999997</v>
      </c>
      <c r="H24" s="44">
        <f t="shared" si="2"/>
        <v>0</v>
      </c>
      <c r="I24" s="44">
        <f t="shared" si="3"/>
        <v>0</v>
      </c>
      <c r="J24" s="45">
        <f t="shared" si="4"/>
        <v>0</v>
      </c>
    </row>
    <row r="25" spans="1:10" ht="15.75">
      <c r="A25" s="5" t="s">
        <v>15</v>
      </c>
      <c r="B25" s="47">
        <v>0</v>
      </c>
      <c r="C25" s="45">
        <v>0</v>
      </c>
      <c r="D25" s="45">
        <f t="shared" si="0"/>
        <v>0</v>
      </c>
      <c r="E25" s="85">
        <v>317231494.68</v>
      </c>
      <c r="F25" s="85">
        <v>221251204.42</v>
      </c>
      <c r="G25" s="47">
        <f t="shared" si="1"/>
        <v>95980290.26000002</v>
      </c>
      <c r="H25" s="44">
        <f t="shared" si="2"/>
        <v>0</v>
      </c>
      <c r="I25" s="44">
        <f t="shared" si="3"/>
        <v>0</v>
      </c>
      <c r="J25" s="45">
        <f t="shared" si="4"/>
        <v>0</v>
      </c>
    </row>
    <row r="26" spans="1:10" ht="15.75">
      <c r="A26" s="5" t="s">
        <v>16</v>
      </c>
      <c r="B26" s="47">
        <v>0</v>
      </c>
      <c r="C26" s="45">
        <v>0</v>
      </c>
      <c r="D26" s="45">
        <f t="shared" si="0"/>
        <v>0</v>
      </c>
      <c r="E26" s="85">
        <v>2699843172.44</v>
      </c>
      <c r="F26" s="85">
        <v>1626003850.38</v>
      </c>
      <c r="G26" s="47">
        <f t="shared" si="1"/>
        <v>1073839322.06</v>
      </c>
      <c r="H26" s="44">
        <f t="shared" si="2"/>
        <v>0</v>
      </c>
      <c r="I26" s="44">
        <f t="shared" si="3"/>
        <v>0</v>
      </c>
      <c r="J26" s="45">
        <f t="shared" si="4"/>
        <v>0</v>
      </c>
    </row>
    <row r="27" spans="1:10" ht="15.75">
      <c r="A27" s="5" t="s">
        <v>17</v>
      </c>
      <c r="B27" s="47">
        <v>0</v>
      </c>
      <c r="C27" s="45">
        <v>0</v>
      </c>
      <c r="D27" s="45">
        <f t="shared" si="0"/>
        <v>0</v>
      </c>
      <c r="E27" s="85">
        <v>298785798.98</v>
      </c>
      <c r="F27" s="85">
        <v>235946677.26</v>
      </c>
      <c r="G27" s="47">
        <f t="shared" si="1"/>
        <v>62839121.72000003</v>
      </c>
      <c r="H27" s="44">
        <f t="shared" si="2"/>
        <v>0</v>
      </c>
      <c r="I27" s="44">
        <f t="shared" si="3"/>
        <v>0</v>
      </c>
      <c r="J27" s="45">
        <f t="shared" si="4"/>
        <v>0</v>
      </c>
    </row>
    <row r="28" spans="1:10" ht="15.75">
      <c r="A28" s="5" t="s">
        <v>18</v>
      </c>
      <c r="B28" s="47">
        <v>0</v>
      </c>
      <c r="C28" s="45">
        <v>0</v>
      </c>
      <c r="D28" s="45">
        <f t="shared" si="0"/>
        <v>0</v>
      </c>
      <c r="E28" s="85">
        <v>289207180.93</v>
      </c>
      <c r="F28" s="85">
        <v>213294180.93</v>
      </c>
      <c r="G28" s="47">
        <f t="shared" si="1"/>
        <v>75913000</v>
      </c>
      <c r="H28" s="44">
        <f t="shared" si="2"/>
        <v>0</v>
      </c>
      <c r="I28" s="44">
        <f t="shared" si="3"/>
        <v>0</v>
      </c>
      <c r="J28" s="45">
        <f t="shared" si="4"/>
        <v>0</v>
      </c>
    </row>
    <row r="29" spans="1:10" ht="15.75">
      <c r="A29" s="5" t="s">
        <v>19</v>
      </c>
      <c r="B29" s="47">
        <v>0</v>
      </c>
      <c r="C29" s="45">
        <v>0</v>
      </c>
      <c r="D29" s="45">
        <f t="shared" si="0"/>
        <v>0</v>
      </c>
      <c r="E29" s="85">
        <v>547609301.3</v>
      </c>
      <c r="F29" s="85">
        <v>284025038.23</v>
      </c>
      <c r="G29" s="47">
        <f t="shared" si="1"/>
        <v>263584263.06999993</v>
      </c>
      <c r="H29" s="44">
        <f t="shared" si="2"/>
        <v>0</v>
      </c>
      <c r="I29" s="44">
        <f t="shared" si="3"/>
        <v>0</v>
      </c>
      <c r="J29" s="45">
        <f t="shared" si="4"/>
        <v>0</v>
      </c>
    </row>
    <row r="30" spans="1:10" ht="15.75">
      <c r="A30" s="5" t="s">
        <v>20</v>
      </c>
      <c r="B30" s="47">
        <v>18000000</v>
      </c>
      <c r="C30" s="45">
        <v>18000000</v>
      </c>
      <c r="D30" s="45">
        <f t="shared" si="0"/>
        <v>0</v>
      </c>
      <c r="E30" s="85">
        <v>690716417.44</v>
      </c>
      <c r="F30" s="85">
        <v>414113877.54</v>
      </c>
      <c r="G30" s="47">
        <f t="shared" si="1"/>
        <v>276602539.90000004</v>
      </c>
      <c r="H30" s="44">
        <f t="shared" si="2"/>
        <v>0</v>
      </c>
      <c r="I30" s="44">
        <f t="shared" si="3"/>
        <v>0</v>
      </c>
      <c r="J30" s="45">
        <f t="shared" si="4"/>
        <v>0</v>
      </c>
    </row>
    <row r="31" spans="1:10" ht="15.75">
      <c r="A31" s="5" t="s">
        <v>21</v>
      </c>
      <c r="B31" s="47">
        <v>86332000</v>
      </c>
      <c r="C31" s="45">
        <v>0</v>
      </c>
      <c r="D31" s="45">
        <f t="shared" si="0"/>
        <v>86332000</v>
      </c>
      <c r="E31" s="85">
        <v>285274751.03</v>
      </c>
      <c r="F31" s="85">
        <v>160434711.03</v>
      </c>
      <c r="G31" s="47">
        <f t="shared" si="1"/>
        <v>124840039.99999997</v>
      </c>
      <c r="H31" s="44">
        <f t="shared" si="2"/>
        <v>69.1540951124335</v>
      </c>
      <c r="I31" s="44">
        <f t="shared" si="3"/>
        <v>1</v>
      </c>
      <c r="J31" s="45">
        <f t="shared" si="4"/>
        <v>-2</v>
      </c>
    </row>
    <row r="32" spans="1:10" ht="15.75">
      <c r="A32" s="5" t="s">
        <v>22</v>
      </c>
      <c r="B32" s="47">
        <v>0</v>
      </c>
      <c r="C32" s="45">
        <v>0</v>
      </c>
      <c r="D32" s="45">
        <f t="shared" si="0"/>
        <v>0</v>
      </c>
      <c r="E32" s="85">
        <v>458929083.48</v>
      </c>
      <c r="F32" s="85">
        <v>331846280.48</v>
      </c>
      <c r="G32" s="47">
        <f t="shared" si="1"/>
        <v>127082803</v>
      </c>
      <c r="H32" s="44">
        <f t="shared" si="2"/>
        <v>0</v>
      </c>
      <c r="I32" s="44">
        <f t="shared" si="3"/>
        <v>0</v>
      </c>
      <c r="J32" s="45">
        <f t="shared" si="4"/>
        <v>0</v>
      </c>
    </row>
    <row r="33" spans="1:10" ht="15.75">
      <c r="A33" s="5" t="s">
        <v>23</v>
      </c>
      <c r="B33" s="47">
        <v>39301000</v>
      </c>
      <c r="C33" s="45">
        <v>0</v>
      </c>
      <c r="D33" s="45">
        <f t="shared" si="0"/>
        <v>39301000</v>
      </c>
      <c r="E33" s="85">
        <v>626534706.64</v>
      </c>
      <c r="F33" s="85">
        <v>445758706.64</v>
      </c>
      <c r="G33" s="47">
        <f t="shared" si="1"/>
        <v>180776000</v>
      </c>
      <c r="H33" s="44">
        <f t="shared" si="2"/>
        <v>21.740164623622604</v>
      </c>
      <c r="I33" s="44">
        <f t="shared" si="3"/>
        <v>0.3143727726937439</v>
      </c>
      <c r="J33" s="45">
        <f t="shared" si="4"/>
        <v>-0.6287455453874878</v>
      </c>
    </row>
    <row r="34" spans="1:10" ht="15.75">
      <c r="A34" s="5" t="s">
        <v>24</v>
      </c>
      <c r="B34" s="47">
        <v>0</v>
      </c>
      <c r="C34" s="45">
        <v>0</v>
      </c>
      <c r="D34" s="45">
        <f t="shared" si="0"/>
        <v>0</v>
      </c>
      <c r="E34" s="85">
        <v>1442185109.75</v>
      </c>
      <c r="F34" s="85">
        <v>914396081.78</v>
      </c>
      <c r="G34" s="47">
        <f t="shared" si="1"/>
        <v>527789027.97</v>
      </c>
      <c r="H34" s="44">
        <f t="shared" si="2"/>
        <v>0</v>
      </c>
      <c r="I34" s="44">
        <f t="shared" si="3"/>
        <v>0</v>
      </c>
      <c r="J34" s="45">
        <f t="shared" si="4"/>
        <v>0</v>
      </c>
    </row>
    <row r="35" spans="1:10" ht="15.75">
      <c r="A35" s="5" t="s">
        <v>25</v>
      </c>
      <c r="B35" s="47">
        <v>15737000</v>
      </c>
      <c r="C35" s="45">
        <v>0</v>
      </c>
      <c r="D35" s="45">
        <f t="shared" si="0"/>
        <v>15737000</v>
      </c>
      <c r="E35" s="85">
        <v>287457341.51</v>
      </c>
      <c r="F35" s="85">
        <v>247447267.51</v>
      </c>
      <c r="G35" s="47">
        <f t="shared" si="1"/>
        <v>40010074</v>
      </c>
      <c r="H35" s="44">
        <f t="shared" si="2"/>
        <v>39.3325940861794</v>
      </c>
      <c r="I35" s="44">
        <f t="shared" si="3"/>
        <v>0.5687673885723021</v>
      </c>
      <c r="J35" s="45">
        <f t="shared" si="4"/>
        <v>-1.1375347771446043</v>
      </c>
    </row>
    <row r="36" spans="1:10" ht="15.75">
      <c r="A36" s="5" t="s">
        <v>26</v>
      </c>
      <c r="B36" s="47">
        <v>56983510</v>
      </c>
      <c r="C36" s="45">
        <v>29434200</v>
      </c>
      <c r="D36" s="45">
        <f t="shared" si="0"/>
        <v>27549310</v>
      </c>
      <c r="E36" s="85">
        <v>1914652316.34</v>
      </c>
      <c r="F36" s="85">
        <v>1687591017.89</v>
      </c>
      <c r="G36" s="47">
        <f t="shared" si="1"/>
        <v>227061298.4499998</v>
      </c>
      <c r="H36" s="44">
        <f t="shared" si="2"/>
        <v>12.132983554688213</v>
      </c>
      <c r="I36" s="44">
        <f t="shared" si="3"/>
        <v>0.17544851877480175</v>
      </c>
      <c r="J36" s="45">
        <f t="shared" si="4"/>
        <v>-0.3508970375496035</v>
      </c>
    </row>
    <row r="37" spans="1:10" ht="15.75">
      <c r="A37" s="5" t="s">
        <v>27</v>
      </c>
      <c r="B37" s="47">
        <v>0</v>
      </c>
      <c r="C37" s="45">
        <v>0</v>
      </c>
      <c r="D37" s="45">
        <f t="shared" si="0"/>
        <v>0</v>
      </c>
      <c r="E37" s="85">
        <v>315533314.56</v>
      </c>
      <c r="F37" s="85">
        <v>132928314.56</v>
      </c>
      <c r="G37" s="47">
        <f t="shared" si="1"/>
        <v>182605000</v>
      </c>
      <c r="H37" s="44">
        <f t="shared" si="2"/>
        <v>0</v>
      </c>
      <c r="I37" s="44">
        <f t="shared" si="3"/>
        <v>0</v>
      </c>
      <c r="J37" s="45">
        <f t="shared" si="4"/>
        <v>0</v>
      </c>
    </row>
    <row r="38" spans="1:10" ht="15.75">
      <c r="A38" s="5" t="s">
        <v>28</v>
      </c>
      <c r="B38" s="47">
        <v>0</v>
      </c>
      <c r="C38" s="45">
        <v>0</v>
      </c>
      <c r="D38" s="45">
        <f t="shared" si="0"/>
        <v>0</v>
      </c>
      <c r="E38" s="85">
        <v>390898861.33</v>
      </c>
      <c r="F38" s="85">
        <v>283496861.33</v>
      </c>
      <c r="G38" s="47">
        <f t="shared" si="1"/>
        <v>107402000</v>
      </c>
      <c r="H38" s="44">
        <f t="shared" si="2"/>
        <v>0</v>
      </c>
      <c r="I38" s="44">
        <f t="shared" si="3"/>
        <v>0</v>
      </c>
      <c r="J38" s="45">
        <f t="shared" si="4"/>
        <v>0</v>
      </c>
    </row>
    <row r="39" spans="1:10" ht="15.75">
      <c r="A39" s="5" t="s">
        <v>29</v>
      </c>
      <c r="B39" s="47">
        <v>20678000</v>
      </c>
      <c r="C39" s="45">
        <v>5578000</v>
      </c>
      <c r="D39" s="45">
        <f t="shared" si="0"/>
        <v>15100000</v>
      </c>
      <c r="E39" s="85">
        <v>788209421.81</v>
      </c>
      <c r="F39" s="85">
        <v>661213192.13</v>
      </c>
      <c r="G39" s="47">
        <f t="shared" si="1"/>
        <v>126996229.67999995</v>
      </c>
      <c r="H39" s="44">
        <f t="shared" si="2"/>
        <v>11.890116768071287</v>
      </c>
      <c r="I39" s="44">
        <f t="shared" si="3"/>
        <v>0.17193655341364614</v>
      </c>
      <c r="J39" s="45">
        <f t="shared" si="4"/>
        <v>-0.3438731068272923</v>
      </c>
    </row>
    <row r="40" spans="1:10" ht="15.75">
      <c r="A40" s="5" t="s">
        <v>30</v>
      </c>
      <c r="B40" s="47">
        <v>86288400</v>
      </c>
      <c r="C40" s="45">
        <v>32523200</v>
      </c>
      <c r="D40" s="45">
        <f t="shared" si="0"/>
        <v>53765200</v>
      </c>
      <c r="E40" s="85">
        <v>1605627374.27</v>
      </c>
      <c r="F40" s="85">
        <v>1178672520.16</v>
      </c>
      <c r="G40" s="47">
        <f t="shared" si="1"/>
        <v>426954854.1099999</v>
      </c>
      <c r="H40" s="44">
        <f t="shared" si="2"/>
        <v>12.592713136398265</v>
      </c>
      <c r="I40" s="44">
        <f t="shared" si="3"/>
        <v>0.18209641982769825</v>
      </c>
      <c r="J40" s="45">
        <f t="shared" si="4"/>
        <v>-0.3641928396553965</v>
      </c>
    </row>
    <row r="41" spans="1:10" ht="15.75">
      <c r="A41" s="5" t="s">
        <v>31</v>
      </c>
      <c r="B41" s="47">
        <v>26211400</v>
      </c>
      <c r="C41" s="45">
        <v>26211400</v>
      </c>
      <c r="D41" s="45">
        <f t="shared" si="0"/>
        <v>0</v>
      </c>
      <c r="E41" s="85">
        <v>1855399028.89</v>
      </c>
      <c r="F41" s="85">
        <v>1280122847.78</v>
      </c>
      <c r="G41" s="47">
        <f t="shared" si="1"/>
        <v>575276181.1100001</v>
      </c>
      <c r="H41" s="44">
        <f t="shared" si="2"/>
        <v>0</v>
      </c>
      <c r="I41" s="44">
        <f t="shared" si="3"/>
        <v>0</v>
      </c>
      <c r="J41" s="45">
        <f t="shared" si="4"/>
        <v>0</v>
      </c>
    </row>
    <row r="42" spans="1:10" ht="15.75">
      <c r="A42" s="5" t="s">
        <v>32</v>
      </c>
      <c r="B42" s="47">
        <v>14000000</v>
      </c>
      <c r="C42" s="45">
        <v>0</v>
      </c>
      <c r="D42" s="45">
        <f t="shared" si="0"/>
        <v>14000000</v>
      </c>
      <c r="E42" s="85">
        <v>458680012.9</v>
      </c>
      <c r="F42" s="85">
        <v>277978086.32</v>
      </c>
      <c r="G42" s="47">
        <f t="shared" si="1"/>
        <v>180701926.57999998</v>
      </c>
      <c r="H42" s="44">
        <f t="shared" si="2"/>
        <v>7.747565432735964</v>
      </c>
      <c r="I42" s="44">
        <f t="shared" si="3"/>
        <v>0.11203335710111834</v>
      </c>
      <c r="J42" s="45">
        <f t="shared" si="4"/>
        <v>-0.22406671420223667</v>
      </c>
    </row>
    <row r="43" spans="1:10" ht="15.75">
      <c r="A43" s="5" t="s">
        <v>33</v>
      </c>
      <c r="B43" s="47">
        <v>24543750</v>
      </c>
      <c r="C43" s="45">
        <v>0</v>
      </c>
      <c r="D43" s="45">
        <f t="shared" si="0"/>
        <v>24543750</v>
      </c>
      <c r="E43" s="85">
        <v>377360254.77</v>
      </c>
      <c r="F43" s="85">
        <v>284388883.03</v>
      </c>
      <c r="G43" s="47">
        <f t="shared" si="1"/>
        <v>92971371.74000001</v>
      </c>
      <c r="H43" s="44">
        <f t="shared" si="2"/>
        <v>26.3992555349598</v>
      </c>
      <c r="I43" s="44">
        <f t="shared" si="3"/>
        <v>0.38174536868769426</v>
      </c>
      <c r="J43" s="45">
        <f t="shared" si="4"/>
        <v>-0.7634907373753885</v>
      </c>
    </row>
    <row r="44" spans="1:10" ht="15.75">
      <c r="A44" s="5" t="s">
        <v>34</v>
      </c>
      <c r="B44" s="47">
        <v>0</v>
      </c>
      <c r="C44" s="45">
        <v>0</v>
      </c>
      <c r="D44" s="45">
        <f t="shared" si="0"/>
        <v>0</v>
      </c>
      <c r="E44" s="85">
        <v>311788023.96</v>
      </c>
      <c r="F44" s="85">
        <v>236488023.96</v>
      </c>
      <c r="G44" s="47">
        <f t="shared" si="1"/>
        <v>75299999.99999997</v>
      </c>
      <c r="H44" s="44">
        <f t="shared" si="2"/>
        <v>0</v>
      </c>
      <c r="I44" s="44">
        <f t="shared" si="3"/>
        <v>0</v>
      </c>
      <c r="J44" s="45">
        <f t="shared" si="4"/>
        <v>0</v>
      </c>
    </row>
    <row r="45" spans="1:10" ht="15.75">
      <c r="A45" s="5" t="s">
        <v>35</v>
      </c>
      <c r="B45" s="47">
        <v>0</v>
      </c>
      <c r="C45" s="45">
        <v>0</v>
      </c>
      <c r="D45" s="45">
        <f t="shared" si="0"/>
        <v>0</v>
      </c>
      <c r="E45" s="85">
        <v>273639844.79</v>
      </c>
      <c r="F45" s="85">
        <v>201641453.53</v>
      </c>
      <c r="G45" s="47">
        <f t="shared" si="1"/>
        <v>71998391.26000002</v>
      </c>
      <c r="H45" s="44">
        <f t="shared" si="2"/>
        <v>0</v>
      </c>
      <c r="I45" s="44">
        <f t="shared" si="3"/>
        <v>0</v>
      </c>
      <c r="J45" s="45">
        <f t="shared" si="4"/>
        <v>0</v>
      </c>
    </row>
    <row r="46" spans="1:10" ht="15.75">
      <c r="A46" s="5" t="s">
        <v>36</v>
      </c>
      <c r="B46" s="47">
        <v>0</v>
      </c>
      <c r="C46" s="45">
        <v>0</v>
      </c>
      <c r="D46" s="45">
        <f t="shared" si="0"/>
        <v>0</v>
      </c>
      <c r="E46" s="85">
        <v>397704152.16</v>
      </c>
      <c r="F46" s="85">
        <v>272511434.16</v>
      </c>
      <c r="G46" s="47">
        <f t="shared" si="1"/>
        <v>125192718</v>
      </c>
      <c r="H46" s="44">
        <f t="shared" si="2"/>
        <v>0</v>
      </c>
      <c r="I46" s="44">
        <f t="shared" si="3"/>
        <v>0</v>
      </c>
      <c r="J46" s="45">
        <f t="shared" si="4"/>
        <v>0</v>
      </c>
    </row>
    <row r="47" spans="1:10" s="17" customFormat="1" ht="15.75">
      <c r="A47" s="14" t="s">
        <v>67</v>
      </c>
      <c r="B47" s="15">
        <f aca="true" t="shared" si="5" ref="B47:G47">SUM(B$10:B$46)</f>
        <v>16273585435</v>
      </c>
      <c r="C47" s="15">
        <f t="shared" si="5"/>
        <v>366208100</v>
      </c>
      <c r="D47" s="15">
        <f t="shared" si="5"/>
        <v>15907377335</v>
      </c>
      <c r="E47" s="15">
        <f t="shared" si="5"/>
        <v>97352062628.70998</v>
      </c>
      <c r="F47" s="15">
        <f t="shared" si="5"/>
        <v>57576817957.66</v>
      </c>
      <c r="G47" s="15">
        <f t="shared" si="5"/>
        <v>39775244671.05</v>
      </c>
      <c r="H47" s="15">
        <f>$D47/$G47*100</f>
        <v>39.993160234606975</v>
      </c>
      <c r="I47" s="15"/>
      <c r="J47" s="15"/>
    </row>
    <row r="49" ht="15.75">
      <c r="H49" s="50"/>
    </row>
  </sheetData>
  <sheetProtection/>
  <mergeCells count="7">
    <mergeCell ref="A1:J1"/>
    <mergeCell ref="A7:A8"/>
    <mergeCell ref="H7:H8"/>
    <mergeCell ref="I7:I8"/>
    <mergeCell ref="J7:J8"/>
    <mergeCell ref="E7:G7"/>
    <mergeCell ref="B7:D7"/>
  </mergeCells>
  <conditionalFormatting sqref="J10:J46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112" t="s">
        <v>228</v>
      </c>
      <c r="B1" s="113"/>
      <c r="C1" s="113"/>
      <c r="D1" s="113"/>
      <c r="E1" s="113"/>
    </row>
    <row r="3" spans="1:2" ht="15.75">
      <c r="A3" s="10" t="s">
        <v>173</v>
      </c>
      <c r="B3" s="10">
        <v>1</v>
      </c>
    </row>
    <row r="4" spans="1:2" ht="15.75">
      <c r="A4" s="11" t="s">
        <v>174</v>
      </c>
      <c r="B4" s="11">
        <v>0</v>
      </c>
    </row>
    <row r="5" spans="1:2" ht="15.75">
      <c r="A5" s="12" t="s">
        <v>175</v>
      </c>
      <c r="B5" s="13" t="s">
        <v>42</v>
      </c>
    </row>
    <row r="7" spans="1:5" s="8" customFormat="1" ht="129" customHeight="1">
      <c r="A7" s="3" t="s">
        <v>38</v>
      </c>
      <c r="B7" s="3" t="s">
        <v>373</v>
      </c>
      <c r="C7" s="9" t="s">
        <v>177</v>
      </c>
      <c r="D7" s="9" t="s">
        <v>178</v>
      </c>
      <c r="E7" s="9" t="s">
        <v>179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63"/>
      <c r="C9" s="19">
        <f>IF($B9="+",1,0)</f>
        <v>0</v>
      </c>
      <c r="D9" s="19">
        <f>($C9-$B$4)/($B$3-$B$4)</f>
        <v>0</v>
      </c>
      <c r="E9" s="80">
        <f>$D9*$B$5</f>
        <v>0</v>
      </c>
    </row>
    <row r="10" spans="1:5" ht="15.75">
      <c r="A10" s="5" t="s">
        <v>1</v>
      </c>
      <c r="B10" s="63"/>
      <c r="C10" s="19">
        <f aca="true" t="shared" si="0" ref="C10:C45">IF($B10="+",1,0)</f>
        <v>0</v>
      </c>
      <c r="D10" s="19">
        <f aca="true" t="shared" si="1" ref="D10:D45">($C10-$B$4)/($B$3-$B$4)</f>
        <v>0</v>
      </c>
      <c r="E10" s="80">
        <f aca="true" t="shared" si="2" ref="E10:E45">$D10*$B$5</f>
        <v>0</v>
      </c>
    </row>
    <row r="11" spans="1:5" ht="15.75">
      <c r="A11" s="5" t="s">
        <v>2</v>
      </c>
      <c r="B11" s="63"/>
      <c r="C11" s="19">
        <f t="shared" si="0"/>
        <v>0</v>
      </c>
      <c r="D11" s="19">
        <f t="shared" si="1"/>
        <v>0</v>
      </c>
      <c r="E11" s="80">
        <f t="shared" si="2"/>
        <v>0</v>
      </c>
    </row>
    <row r="12" spans="1:5" ht="15.75">
      <c r="A12" s="5" t="s">
        <v>3</v>
      </c>
      <c r="B12" s="63"/>
      <c r="C12" s="19">
        <f t="shared" si="0"/>
        <v>0</v>
      </c>
      <c r="D12" s="19">
        <f t="shared" si="1"/>
        <v>0</v>
      </c>
      <c r="E12" s="80">
        <f t="shared" si="2"/>
        <v>0</v>
      </c>
    </row>
    <row r="13" spans="1:5" ht="15.75">
      <c r="A13" s="5" t="s">
        <v>4</v>
      </c>
      <c r="B13" s="63"/>
      <c r="C13" s="19">
        <f t="shared" si="0"/>
        <v>0</v>
      </c>
      <c r="D13" s="19">
        <f t="shared" si="1"/>
        <v>0</v>
      </c>
      <c r="E13" s="80">
        <f t="shared" si="2"/>
        <v>0</v>
      </c>
    </row>
    <row r="14" spans="1:5" ht="15.75">
      <c r="A14" s="5" t="s">
        <v>5</v>
      </c>
      <c r="B14" s="63"/>
      <c r="C14" s="19">
        <f t="shared" si="0"/>
        <v>0</v>
      </c>
      <c r="D14" s="19">
        <f t="shared" si="1"/>
        <v>0</v>
      </c>
      <c r="E14" s="80">
        <f t="shared" si="2"/>
        <v>0</v>
      </c>
    </row>
    <row r="15" spans="1:5" ht="15.75">
      <c r="A15" s="5" t="s">
        <v>6</v>
      </c>
      <c r="B15" s="63"/>
      <c r="C15" s="19">
        <f t="shared" si="0"/>
        <v>0</v>
      </c>
      <c r="D15" s="19">
        <f t="shared" si="1"/>
        <v>0</v>
      </c>
      <c r="E15" s="80">
        <f t="shared" si="2"/>
        <v>0</v>
      </c>
    </row>
    <row r="16" spans="1:5" ht="15.75">
      <c r="A16" s="5" t="s">
        <v>7</v>
      </c>
      <c r="B16" s="63"/>
      <c r="C16" s="19">
        <f t="shared" si="0"/>
        <v>0</v>
      </c>
      <c r="D16" s="19">
        <f t="shared" si="1"/>
        <v>0</v>
      </c>
      <c r="E16" s="80">
        <f t="shared" si="2"/>
        <v>0</v>
      </c>
    </row>
    <row r="17" spans="1:5" ht="15.75">
      <c r="A17" s="5" t="s">
        <v>8</v>
      </c>
      <c r="B17" s="63"/>
      <c r="C17" s="19">
        <f t="shared" si="0"/>
        <v>0</v>
      </c>
      <c r="D17" s="19">
        <f t="shared" si="1"/>
        <v>0</v>
      </c>
      <c r="E17" s="80">
        <f t="shared" si="2"/>
        <v>0</v>
      </c>
    </row>
    <row r="18" spans="1:5" ht="15.75">
      <c r="A18" s="5" t="s">
        <v>9</v>
      </c>
      <c r="B18" s="63"/>
      <c r="C18" s="19">
        <f t="shared" si="0"/>
        <v>0</v>
      </c>
      <c r="D18" s="19">
        <f t="shared" si="1"/>
        <v>0</v>
      </c>
      <c r="E18" s="80">
        <f t="shared" si="2"/>
        <v>0</v>
      </c>
    </row>
    <row r="19" spans="1:5" ht="15.75">
      <c r="A19" s="5" t="s">
        <v>10</v>
      </c>
      <c r="B19" s="62"/>
      <c r="C19" s="19">
        <f t="shared" si="0"/>
        <v>0</v>
      </c>
      <c r="D19" s="19">
        <f t="shared" si="1"/>
        <v>0</v>
      </c>
      <c r="E19" s="80">
        <f t="shared" si="2"/>
        <v>0</v>
      </c>
    </row>
    <row r="20" spans="1:5" ht="15.75">
      <c r="A20" s="5" t="s">
        <v>11</v>
      </c>
      <c r="B20" s="63"/>
      <c r="C20" s="19">
        <f t="shared" si="0"/>
        <v>0</v>
      </c>
      <c r="D20" s="19">
        <f t="shared" si="1"/>
        <v>0</v>
      </c>
      <c r="E20" s="80">
        <f t="shared" si="2"/>
        <v>0</v>
      </c>
    </row>
    <row r="21" spans="1:5" ht="15.75">
      <c r="A21" s="5" t="s">
        <v>12</v>
      </c>
      <c r="B21" s="63"/>
      <c r="C21" s="19">
        <f t="shared" si="0"/>
        <v>0</v>
      </c>
      <c r="D21" s="19">
        <f t="shared" si="1"/>
        <v>0</v>
      </c>
      <c r="E21" s="80">
        <f t="shared" si="2"/>
        <v>0</v>
      </c>
    </row>
    <row r="22" spans="1:5" ht="15.75">
      <c r="A22" s="5" t="s">
        <v>13</v>
      </c>
      <c r="B22" s="63"/>
      <c r="C22" s="19">
        <f t="shared" si="0"/>
        <v>0</v>
      </c>
      <c r="D22" s="19">
        <f t="shared" si="1"/>
        <v>0</v>
      </c>
      <c r="E22" s="80">
        <f t="shared" si="2"/>
        <v>0</v>
      </c>
    </row>
    <row r="23" spans="1:5" ht="15.75">
      <c r="A23" s="5" t="s">
        <v>14</v>
      </c>
      <c r="B23" s="63"/>
      <c r="C23" s="19">
        <f t="shared" si="0"/>
        <v>0</v>
      </c>
      <c r="D23" s="19">
        <f t="shared" si="1"/>
        <v>0</v>
      </c>
      <c r="E23" s="80">
        <f t="shared" si="2"/>
        <v>0</v>
      </c>
    </row>
    <row r="24" spans="1:5" ht="15.75">
      <c r="A24" s="5" t="s">
        <v>15</v>
      </c>
      <c r="B24" s="63"/>
      <c r="C24" s="19">
        <f t="shared" si="0"/>
        <v>0</v>
      </c>
      <c r="D24" s="19">
        <f t="shared" si="1"/>
        <v>0</v>
      </c>
      <c r="E24" s="80">
        <f t="shared" si="2"/>
        <v>0</v>
      </c>
    </row>
    <row r="25" spans="1:5" ht="15.75">
      <c r="A25" s="5" t="s">
        <v>16</v>
      </c>
      <c r="B25" s="63"/>
      <c r="C25" s="19">
        <f t="shared" si="0"/>
        <v>0</v>
      </c>
      <c r="D25" s="19">
        <f t="shared" si="1"/>
        <v>0</v>
      </c>
      <c r="E25" s="80">
        <f t="shared" si="2"/>
        <v>0</v>
      </c>
    </row>
    <row r="26" spans="1:5" ht="15.75">
      <c r="A26" s="5" t="s">
        <v>17</v>
      </c>
      <c r="B26" s="63"/>
      <c r="C26" s="19">
        <f t="shared" si="0"/>
        <v>0</v>
      </c>
      <c r="D26" s="19">
        <f t="shared" si="1"/>
        <v>0</v>
      </c>
      <c r="E26" s="80">
        <f t="shared" si="2"/>
        <v>0</v>
      </c>
    </row>
    <row r="27" spans="1:5" ht="15.75">
      <c r="A27" s="5" t="s">
        <v>18</v>
      </c>
      <c r="B27" s="63"/>
      <c r="C27" s="19">
        <f t="shared" si="0"/>
        <v>0</v>
      </c>
      <c r="D27" s="19">
        <f t="shared" si="1"/>
        <v>0</v>
      </c>
      <c r="E27" s="80">
        <f t="shared" si="2"/>
        <v>0</v>
      </c>
    </row>
    <row r="28" spans="1:5" ht="15.75">
      <c r="A28" s="5" t="s">
        <v>19</v>
      </c>
      <c r="B28" s="63"/>
      <c r="C28" s="19">
        <f t="shared" si="0"/>
        <v>0</v>
      </c>
      <c r="D28" s="19">
        <f t="shared" si="1"/>
        <v>0</v>
      </c>
      <c r="E28" s="80">
        <f t="shared" si="2"/>
        <v>0</v>
      </c>
    </row>
    <row r="29" spans="1:5" ht="15.75">
      <c r="A29" s="5" t="s">
        <v>20</v>
      </c>
      <c r="B29" s="63"/>
      <c r="C29" s="19">
        <f t="shared" si="0"/>
        <v>0</v>
      </c>
      <c r="D29" s="19">
        <f t="shared" si="1"/>
        <v>0</v>
      </c>
      <c r="E29" s="80">
        <f t="shared" si="2"/>
        <v>0</v>
      </c>
    </row>
    <row r="30" spans="1:5" ht="15.75">
      <c r="A30" s="5" t="s">
        <v>21</v>
      </c>
      <c r="B30" s="63"/>
      <c r="C30" s="19">
        <f t="shared" si="0"/>
        <v>0</v>
      </c>
      <c r="D30" s="19">
        <f t="shared" si="1"/>
        <v>0</v>
      </c>
      <c r="E30" s="80">
        <f t="shared" si="2"/>
        <v>0</v>
      </c>
    </row>
    <row r="31" spans="1:5" ht="15.75">
      <c r="A31" s="5" t="s">
        <v>22</v>
      </c>
      <c r="B31" s="63"/>
      <c r="C31" s="19">
        <f t="shared" si="0"/>
        <v>0</v>
      </c>
      <c r="D31" s="19">
        <f t="shared" si="1"/>
        <v>0</v>
      </c>
      <c r="E31" s="80">
        <f t="shared" si="2"/>
        <v>0</v>
      </c>
    </row>
    <row r="32" spans="1:5" ht="15.75">
      <c r="A32" s="5" t="s">
        <v>23</v>
      </c>
      <c r="B32" s="63"/>
      <c r="C32" s="19">
        <f t="shared" si="0"/>
        <v>0</v>
      </c>
      <c r="D32" s="19">
        <f t="shared" si="1"/>
        <v>0</v>
      </c>
      <c r="E32" s="80">
        <f t="shared" si="2"/>
        <v>0</v>
      </c>
    </row>
    <row r="33" spans="1:5" ht="15.75">
      <c r="A33" s="5" t="s">
        <v>24</v>
      </c>
      <c r="B33" s="63"/>
      <c r="C33" s="19">
        <f t="shared" si="0"/>
        <v>0</v>
      </c>
      <c r="D33" s="19">
        <f t="shared" si="1"/>
        <v>0</v>
      </c>
      <c r="E33" s="80">
        <f t="shared" si="2"/>
        <v>0</v>
      </c>
    </row>
    <row r="34" spans="1:5" ht="15.75">
      <c r="A34" s="5" t="s">
        <v>25</v>
      </c>
      <c r="B34" s="63"/>
      <c r="C34" s="19">
        <f t="shared" si="0"/>
        <v>0</v>
      </c>
      <c r="D34" s="19">
        <f t="shared" si="1"/>
        <v>0</v>
      </c>
      <c r="E34" s="80">
        <f t="shared" si="2"/>
        <v>0</v>
      </c>
    </row>
    <row r="35" spans="1:5" ht="15.75">
      <c r="A35" s="5" t="s">
        <v>26</v>
      </c>
      <c r="B35" s="63"/>
      <c r="C35" s="19">
        <f t="shared" si="0"/>
        <v>0</v>
      </c>
      <c r="D35" s="19">
        <f t="shared" si="1"/>
        <v>0</v>
      </c>
      <c r="E35" s="80">
        <f t="shared" si="2"/>
        <v>0</v>
      </c>
    </row>
    <row r="36" spans="1:5" ht="15.75">
      <c r="A36" s="5" t="s">
        <v>27</v>
      </c>
      <c r="B36" s="63"/>
      <c r="C36" s="19">
        <f t="shared" si="0"/>
        <v>0</v>
      </c>
      <c r="D36" s="19">
        <f t="shared" si="1"/>
        <v>0</v>
      </c>
      <c r="E36" s="80">
        <f t="shared" si="2"/>
        <v>0</v>
      </c>
    </row>
    <row r="37" spans="1:5" ht="15.75">
      <c r="A37" s="5" t="s">
        <v>28</v>
      </c>
      <c r="B37" s="63"/>
      <c r="C37" s="19">
        <f t="shared" si="0"/>
        <v>0</v>
      </c>
      <c r="D37" s="19">
        <f t="shared" si="1"/>
        <v>0</v>
      </c>
      <c r="E37" s="80">
        <f t="shared" si="2"/>
        <v>0</v>
      </c>
    </row>
    <row r="38" spans="1:5" ht="15.75">
      <c r="A38" s="5" t="s">
        <v>29</v>
      </c>
      <c r="B38" s="63"/>
      <c r="C38" s="19">
        <f t="shared" si="0"/>
        <v>0</v>
      </c>
      <c r="D38" s="19">
        <f t="shared" si="1"/>
        <v>0</v>
      </c>
      <c r="E38" s="80">
        <f t="shared" si="2"/>
        <v>0</v>
      </c>
    </row>
    <row r="39" spans="1:5" ht="15.75">
      <c r="A39" s="5" t="s">
        <v>30</v>
      </c>
      <c r="B39" s="63"/>
      <c r="C39" s="19">
        <f t="shared" si="0"/>
        <v>0</v>
      </c>
      <c r="D39" s="19">
        <f t="shared" si="1"/>
        <v>0</v>
      </c>
      <c r="E39" s="80">
        <f t="shared" si="2"/>
        <v>0</v>
      </c>
    </row>
    <row r="40" spans="1:5" ht="15.75">
      <c r="A40" s="5" t="s">
        <v>31</v>
      </c>
      <c r="B40" s="63"/>
      <c r="C40" s="19">
        <f t="shared" si="0"/>
        <v>0</v>
      </c>
      <c r="D40" s="19">
        <f t="shared" si="1"/>
        <v>0</v>
      </c>
      <c r="E40" s="80">
        <f t="shared" si="2"/>
        <v>0</v>
      </c>
    </row>
    <row r="41" spans="1:5" ht="15.75">
      <c r="A41" s="5" t="s">
        <v>32</v>
      </c>
      <c r="B41" s="63"/>
      <c r="C41" s="19">
        <f t="shared" si="0"/>
        <v>0</v>
      </c>
      <c r="D41" s="19">
        <f t="shared" si="1"/>
        <v>0</v>
      </c>
      <c r="E41" s="80">
        <f t="shared" si="2"/>
        <v>0</v>
      </c>
    </row>
    <row r="42" spans="1:5" ht="15.75">
      <c r="A42" s="5" t="s">
        <v>33</v>
      </c>
      <c r="B42" s="63"/>
      <c r="C42" s="19">
        <f t="shared" si="0"/>
        <v>0</v>
      </c>
      <c r="D42" s="19">
        <f t="shared" si="1"/>
        <v>0</v>
      </c>
      <c r="E42" s="80">
        <f t="shared" si="2"/>
        <v>0</v>
      </c>
    </row>
    <row r="43" spans="1:5" ht="15.75">
      <c r="A43" s="5" t="s">
        <v>34</v>
      </c>
      <c r="B43" s="63"/>
      <c r="C43" s="19">
        <f t="shared" si="0"/>
        <v>0</v>
      </c>
      <c r="D43" s="19">
        <f t="shared" si="1"/>
        <v>0</v>
      </c>
      <c r="E43" s="80">
        <f t="shared" si="2"/>
        <v>0</v>
      </c>
    </row>
    <row r="44" spans="1:5" ht="15.75">
      <c r="A44" s="5" t="s">
        <v>35</v>
      </c>
      <c r="B44" s="63"/>
      <c r="C44" s="19">
        <f t="shared" si="0"/>
        <v>0</v>
      </c>
      <c r="D44" s="19">
        <f t="shared" si="1"/>
        <v>0</v>
      </c>
      <c r="E44" s="80">
        <f t="shared" si="2"/>
        <v>0</v>
      </c>
    </row>
    <row r="45" spans="1:5" ht="15.75">
      <c r="A45" s="5" t="s">
        <v>36</v>
      </c>
      <c r="B45" s="63"/>
      <c r="C45" s="19">
        <f t="shared" si="0"/>
        <v>0</v>
      </c>
      <c r="D45" s="19">
        <f t="shared" si="1"/>
        <v>0</v>
      </c>
      <c r="E45" s="80">
        <f t="shared" si="2"/>
        <v>0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8515625" style="39" customWidth="1"/>
    <col min="2" max="3" width="18.28125" style="39" customWidth="1"/>
    <col min="4" max="4" width="18.00390625" style="39" customWidth="1"/>
    <col min="5" max="5" width="18.28125" style="39" customWidth="1"/>
    <col min="6" max="6" width="19.00390625" style="39" customWidth="1"/>
    <col min="7" max="7" width="17.8515625" style="39" bestFit="1" customWidth="1"/>
    <col min="8" max="8" width="10.140625" style="39" customWidth="1"/>
    <col min="9" max="9" width="8.57421875" style="39" customWidth="1"/>
    <col min="10" max="10" width="19.8515625" style="39" customWidth="1"/>
    <col min="11" max="16384" width="8.7109375" style="39" customWidth="1"/>
  </cols>
  <sheetData>
    <row r="1" spans="1:10" ht="15.75">
      <c r="A1" s="106" t="s">
        <v>229</v>
      </c>
      <c r="B1" s="106"/>
      <c r="C1" s="106"/>
      <c r="D1" s="106"/>
      <c r="E1" s="106"/>
      <c r="F1" s="106"/>
      <c r="G1" s="106"/>
      <c r="H1" s="106"/>
      <c r="I1" s="106"/>
      <c r="J1" s="106"/>
    </row>
    <row r="3" spans="1:2" ht="15.75">
      <c r="A3" s="10" t="s">
        <v>230</v>
      </c>
      <c r="B3" s="26">
        <f>MAX($H$10:$H$46)</f>
        <v>0.5342441187268895</v>
      </c>
    </row>
    <row r="4" spans="1:2" ht="15.75">
      <c r="A4" s="11" t="s">
        <v>231</v>
      </c>
      <c r="B4" s="104">
        <f>MIN($H$10:$H$46)</f>
        <v>0.010735360428734225</v>
      </c>
    </row>
    <row r="5" spans="1:2" ht="15.75">
      <c r="A5" s="12" t="s">
        <v>232</v>
      </c>
      <c r="B5" s="13" t="s">
        <v>99</v>
      </c>
    </row>
    <row r="7" spans="1:10" s="8" customFormat="1" ht="52.5" customHeight="1">
      <c r="A7" s="107" t="s">
        <v>38</v>
      </c>
      <c r="B7" s="121" t="s">
        <v>176</v>
      </c>
      <c r="C7" s="121"/>
      <c r="D7" s="121"/>
      <c r="E7" s="121"/>
      <c r="F7" s="121" t="s">
        <v>349</v>
      </c>
      <c r="G7" s="121"/>
      <c r="H7" s="108" t="s">
        <v>233</v>
      </c>
      <c r="I7" s="108" t="s">
        <v>234</v>
      </c>
      <c r="J7" s="107" t="s">
        <v>235</v>
      </c>
    </row>
    <row r="8" spans="1:10" s="8" customFormat="1" ht="50.25" customHeight="1">
      <c r="A8" s="111"/>
      <c r="B8" s="105" t="s">
        <v>374</v>
      </c>
      <c r="C8" s="105" t="s">
        <v>375</v>
      </c>
      <c r="D8" s="105" t="s">
        <v>376</v>
      </c>
      <c r="E8" s="93" t="s">
        <v>180</v>
      </c>
      <c r="F8" s="93" t="s">
        <v>181</v>
      </c>
      <c r="G8" s="93" t="s">
        <v>182</v>
      </c>
      <c r="H8" s="109"/>
      <c r="I8" s="109"/>
      <c r="J8" s="123"/>
    </row>
    <row r="9" spans="1:10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183</v>
      </c>
      <c r="I9" s="9">
        <v>9</v>
      </c>
      <c r="J9" s="9">
        <v>10</v>
      </c>
    </row>
    <row r="10" spans="1:11" ht="15.75">
      <c r="A10" s="5" t="s">
        <v>0</v>
      </c>
      <c r="B10" s="45">
        <v>2133034090.0000002</v>
      </c>
      <c r="C10" s="45">
        <v>1926088220</v>
      </c>
      <c r="D10" s="45">
        <v>1427373300</v>
      </c>
      <c r="E10" s="45">
        <f>AVERAGE($B10:$D10)</f>
        <v>1828831870</v>
      </c>
      <c r="F10" s="45">
        <v>20900405010.13</v>
      </c>
      <c r="G10" s="45">
        <v>412211070</v>
      </c>
      <c r="H10" s="54">
        <f>$E10/($F10+$G10)</f>
        <v>0.08580982565087546</v>
      </c>
      <c r="I10" s="54">
        <f>($H10-$B$4)/($B$3-$B$4)</f>
        <v>0.14340632135018433</v>
      </c>
      <c r="J10" s="54">
        <f>$I10*$B$5</f>
        <v>0.14340632135018433</v>
      </c>
      <c r="K10" s="55"/>
    </row>
    <row r="11" spans="1:11" ht="15.75">
      <c r="A11" s="5" t="s">
        <v>1</v>
      </c>
      <c r="B11" s="45">
        <v>826962270</v>
      </c>
      <c r="C11" s="45">
        <v>530522580.00000006</v>
      </c>
      <c r="D11" s="45">
        <v>613171870</v>
      </c>
      <c r="E11" s="45">
        <f aca="true" t="shared" si="0" ref="E11:E46">AVERAGE($B11:$D11)</f>
        <v>656885573.3333334</v>
      </c>
      <c r="F11" s="45">
        <v>8316495000</v>
      </c>
      <c r="G11" s="45">
        <v>706042000</v>
      </c>
      <c r="H11" s="54">
        <f aca="true" t="shared" si="1" ref="H11:H46">$E11/($F11+$G11)</f>
        <v>0.0728049741811348</v>
      </c>
      <c r="I11" s="54">
        <f aca="true" t="shared" si="2" ref="I11:I46">($H11-$B$4)/($B$3-$B$4)</f>
        <v>0.11856461380737762</v>
      </c>
      <c r="J11" s="54">
        <f aca="true" t="shared" si="3" ref="J11:J46">$I11*$B$5</f>
        <v>0.11856461380737762</v>
      </c>
      <c r="K11" s="55"/>
    </row>
    <row r="12" spans="1:11" ht="15.75">
      <c r="A12" s="5" t="s">
        <v>2</v>
      </c>
      <c r="B12" s="45">
        <v>179377300.00000003</v>
      </c>
      <c r="C12" s="45">
        <v>179019000</v>
      </c>
      <c r="D12" s="45">
        <v>274743600</v>
      </c>
      <c r="E12" s="45">
        <f t="shared" si="0"/>
        <v>211046633.33333334</v>
      </c>
      <c r="F12" s="45">
        <v>1744403616.47</v>
      </c>
      <c r="G12" s="45">
        <v>511142600</v>
      </c>
      <c r="H12" s="54">
        <f t="shared" si="1"/>
        <v>0.09356786032237809</v>
      </c>
      <c r="I12" s="54">
        <f t="shared" si="2"/>
        <v>0.15822562389007455</v>
      </c>
      <c r="J12" s="54">
        <f t="shared" si="3"/>
        <v>0.15822562389007455</v>
      </c>
      <c r="K12" s="55"/>
    </row>
    <row r="13" spans="1:11" ht="15.75">
      <c r="A13" s="5" t="s">
        <v>3</v>
      </c>
      <c r="B13" s="45">
        <v>136112000</v>
      </c>
      <c r="C13" s="45">
        <v>76197000</v>
      </c>
      <c r="D13" s="45">
        <v>87684000</v>
      </c>
      <c r="E13" s="45">
        <f t="shared" si="0"/>
        <v>99997666.66666667</v>
      </c>
      <c r="F13" s="45">
        <v>1499604000</v>
      </c>
      <c r="G13" s="45">
        <v>92049000</v>
      </c>
      <c r="H13" s="54">
        <f t="shared" si="1"/>
        <v>0.06282629861324464</v>
      </c>
      <c r="I13" s="54">
        <f t="shared" si="2"/>
        <v>0.09950347030267434</v>
      </c>
      <c r="J13" s="54">
        <f t="shared" si="3"/>
        <v>0.09950347030267434</v>
      </c>
      <c r="K13" s="55"/>
    </row>
    <row r="14" spans="1:11" ht="15.75">
      <c r="A14" s="5" t="s">
        <v>4</v>
      </c>
      <c r="B14" s="45">
        <v>67957000</v>
      </c>
      <c r="C14" s="45">
        <v>87639000</v>
      </c>
      <c r="D14" s="45">
        <v>96429030</v>
      </c>
      <c r="E14" s="45">
        <f t="shared" si="0"/>
        <v>84008343.33333333</v>
      </c>
      <c r="F14" s="45">
        <v>589000000</v>
      </c>
      <c r="G14" s="45">
        <v>371813200</v>
      </c>
      <c r="H14" s="54">
        <f t="shared" si="1"/>
        <v>0.0874346265573093</v>
      </c>
      <c r="I14" s="54">
        <f t="shared" si="2"/>
        <v>0.14650999608471182</v>
      </c>
      <c r="J14" s="54">
        <f t="shared" si="3"/>
        <v>0.14650999608471182</v>
      </c>
      <c r="K14" s="55"/>
    </row>
    <row r="15" spans="1:11" ht="15.75">
      <c r="A15" s="5" t="s">
        <v>5</v>
      </c>
      <c r="B15" s="45">
        <v>82724760</v>
      </c>
      <c r="C15" s="45">
        <v>82917100</v>
      </c>
      <c r="D15" s="45">
        <v>76032550</v>
      </c>
      <c r="E15" s="45">
        <f t="shared" si="0"/>
        <v>80558136.66666667</v>
      </c>
      <c r="F15" s="45">
        <v>514686300</v>
      </c>
      <c r="G15" s="45">
        <v>118973550</v>
      </c>
      <c r="H15" s="54">
        <f t="shared" si="1"/>
        <v>0.12713151490766958</v>
      </c>
      <c r="I15" s="54">
        <f t="shared" si="2"/>
        <v>0.2223385046265911</v>
      </c>
      <c r="J15" s="54">
        <f t="shared" si="3"/>
        <v>0.2223385046265911</v>
      </c>
      <c r="K15" s="55"/>
    </row>
    <row r="16" spans="1:11" ht="15.75">
      <c r="A16" s="5" t="s">
        <v>6</v>
      </c>
      <c r="B16" s="45">
        <v>38797980</v>
      </c>
      <c r="C16" s="45">
        <v>26032860</v>
      </c>
      <c r="D16" s="45">
        <v>36374280</v>
      </c>
      <c r="E16" s="45">
        <f t="shared" si="0"/>
        <v>33735040</v>
      </c>
      <c r="F16" s="45">
        <v>510229576.92</v>
      </c>
      <c r="G16" s="45">
        <v>216936000</v>
      </c>
      <c r="H16" s="54">
        <f t="shared" si="1"/>
        <v>0.04639251508973918</v>
      </c>
      <c r="I16" s="54">
        <f t="shared" si="2"/>
        <v>0.06811185886731058</v>
      </c>
      <c r="J16" s="54">
        <f t="shared" si="3"/>
        <v>0.06811185886731058</v>
      </c>
      <c r="K16" s="55"/>
    </row>
    <row r="17" spans="1:11" ht="15.75">
      <c r="A17" s="5" t="s">
        <v>7</v>
      </c>
      <c r="B17" s="45">
        <v>31553100</v>
      </c>
      <c r="C17" s="45">
        <v>15789700</v>
      </c>
      <c r="D17" s="45">
        <v>10592200</v>
      </c>
      <c r="E17" s="45">
        <f t="shared" si="0"/>
        <v>19311666.666666668</v>
      </c>
      <c r="F17" s="45">
        <v>149531900</v>
      </c>
      <c r="G17" s="45">
        <v>168801200</v>
      </c>
      <c r="H17" s="54">
        <f t="shared" si="1"/>
        <v>0.06066496593243577</v>
      </c>
      <c r="I17" s="54">
        <f t="shared" si="2"/>
        <v>0.09537491916279461</v>
      </c>
      <c r="J17" s="54">
        <f t="shared" si="3"/>
        <v>0.09537491916279461</v>
      </c>
      <c r="K17" s="55"/>
    </row>
    <row r="18" spans="1:11" ht="15.75">
      <c r="A18" s="5" t="s">
        <v>8</v>
      </c>
      <c r="B18" s="45">
        <v>76351600</v>
      </c>
      <c r="C18" s="45">
        <v>116342700.00000001</v>
      </c>
      <c r="D18" s="45">
        <v>107775110</v>
      </c>
      <c r="E18" s="45">
        <f t="shared" si="0"/>
        <v>100156470</v>
      </c>
      <c r="F18" s="45">
        <v>540517807</v>
      </c>
      <c r="G18" s="45">
        <v>238541100</v>
      </c>
      <c r="H18" s="54">
        <f t="shared" si="1"/>
        <v>0.1285608432174693</v>
      </c>
      <c r="I18" s="54">
        <f t="shared" si="2"/>
        <v>0.2250687900079594</v>
      </c>
      <c r="J18" s="54">
        <f t="shared" si="3"/>
        <v>0.2250687900079594</v>
      </c>
      <c r="K18" s="55"/>
    </row>
    <row r="19" spans="1:11" ht="15.75">
      <c r="A19" s="5" t="s">
        <v>9</v>
      </c>
      <c r="B19" s="45">
        <v>6165120</v>
      </c>
      <c r="C19" s="45">
        <v>2330320</v>
      </c>
      <c r="D19" s="45">
        <v>5484970</v>
      </c>
      <c r="E19" s="45">
        <f t="shared" si="0"/>
        <v>4660136.666666667</v>
      </c>
      <c r="F19" s="45">
        <v>282576943.02</v>
      </c>
      <c r="G19" s="45">
        <v>151515298</v>
      </c>
      <c r="H19" s="54">
        <f t="shared" si="1"/>
        <v>0.010735360428734225</v>
      </c>
      <c r="I19" s="54">
        <f t="shared" si="2"/>
        <v>0</v>
      </c>
      <c r="J19" s="54">
        <f t="shared" si="3"/>
        <v>0</v>
      </c>
      <c r="K19" s="55"/>
    </row>
    <row r="20" spans="1:11" ht="15.75">
      <c r="A20" s="5" t="s">
        <v>10</v>
      </c>
      <c r="B20" s="45">
        <v>51851300</v>
      </c>
      <c r="C20" s="45">
        <v>43236600</v>
      </c>
      <c r="D20" s="45">
        <v>37440700.00000001</v>
      </c>
      <c r="E20" s="45">
        <f t="shared" si="0"/>
        <v>44176200</v>
      </c>
      <c r="F20" s="45">
        <v>125410239.08</v>
      </c>
      <c r="G20" s="45">
        <v>89419017</v>
      </c>
      <c r="H20" s="54">
        <f t="shared" si="1"/>
        <v>0.20563400351556066</v>
      </c>
      <c r="I20" s="54">
        <f t="shared" si="2"/>
        <v>0.3722929941428513</v>
      </c>
      <c r="J20" s="54">
        <f t="shared" si="3"/>
        <v>0.3722929941428513</v>
      </c>
      <c r="K20" s="55"/>
    </row>
    <row r="21" spans="1:11" ht="15.75">
      <c r="A21" s="5" t="s">
        <v>11</v>
      </c>
      <c r="B21" s="45">
        <v>167933110</v>
      </c>
      <c r="C21" s="45">
        <v>151215270</v>
      </c>
      <c r="D21" s="45">
        <v>149210210</v>
      </c>
      <c r="E21" s="45">
        <f t="shared" si="0"/>
        <v>156119530</v>
      </c>
      <c r="F21" s="45">
        <v>428712609.33</v>
      </c>
      <c r="G21" s="45">
        <v>145944020</v>
      </c>
      <c r="H21" s="54">
        <f t="shared" si="1"/>
        <v>0.2716744609420445</v>
      </c>
      <c r="I21" s="54">
        <f t="shared" si="2"/>
        <v>0.49844266476378024</v>
      </c>
      <c r="J21" s="54">
        <f t="shared" si="3"/>
        <v>0.49844266476378024</v>
      </c>
      <c r="K21" s="55"/>
    </row>
    <row r="22" spans="1:11" ht="15.75">
      <c r="A22" s="5" t="s">
        <v>12</v>
      </c>
      <c r="B22" s="45">
        <v>74297050</v>
      </c>
      <c r="C22" s="45">
        <v>71858480</v>
      </c>
      <c r="D22" s="45">
        <v>92221900.00000001</v>
      </c>
      <c r="E22" s="45">
        <f t="shared" si="0"/>
        <v>79459143.33333333</v>
      </c>
      <c r="F22" s="45">
        <v>154140825</v>
      </c>
      <c r="G22" s="45">
        <v>80855295</v>
      </c>
      <c r="H22" s="54">
        <f t="shared" si="1"/>
        <v>0.3381295969198697</v>
      </c>
      <c r="I22" s="54">
        <f t="shared" si="2"/>
        <v>0.6253844492601093</v>
      </c>
      <c r="J22" s="54">
        <f t="shared" si="3"/>
        <v>0.6253844492601093</v>
      </c>
      <c r="K22" s="55"/>
    </row>
    <row r="23" spans="1:11" ht="15.75">
      <c r="A23" s="5" t="s">
        <v>13</v>
      </c>
      <c r="B23" s="45">
        <v>151555830.00000003</v>
      </c>
      <c r="C23" s="45">
        <v>137920740</v>
      </c>
      <c r="D23" s="45">
        <v>142903070</v>
      </c>
      <c r="E23" s="45">
        <f t="shared" si="0"/>
        <v>144126546.66666666</v>
      </c>
      <c r="F23" s="45">
        <v>243602707.16</v>
      </c>
      <c r="G23" s="45">
        <v>107596544.24</v>
      </c>
      <c r="H23" s="54">
        <f t="shared" si="1"/>
        <v>0.41038398029645307</v>
      </c>
      <c r="I23" s="54">
        <f t="shared" si="2"/>
        <v>0.7634038849071288</v>
      </c>
      <c r="J23" s="54">
        <f t="shared" si="3"/>
        <v>0.7634038849071288</v>
      </c>
      <c r="K23" s="55"/>
    </row>
    <row r="24" spans="1:11" ht="15.75">
      <c r="A24" s="5" t="s">
        <v>14</v>
      </c>
      <c r="B24" s="45">
        <v>83028340</v>
      </c>
      <c r="C24" s="45">
        <v>73910390</v>
      </c>
      <c r="D24" s="45">
        <v>74774630</v>
      </c>
      <c r="E24" s="45">
        <f t="shared" si="0"/>
        <v>77237786.66666667</v>
      </c>
      <c r="F24" s="45">
        <v>235925875.9</v>
      </c>
      <c r="G24" s="45">
        <v>100313493</v>
      </c>
      <c r="H24" s="54">
        <f t="shared" si="1"/>
        <v>0.22971071745509297</v>
      </c>
      <c r="I24" s="54">
        <f t="shared" si="2"/>
        <v>0.4182840373830865</v>
      </c>
      <c r="J24" s="54">
        <f t="shared" si="3"/>
        <v>0.4182840373830865</v>
      </c>
      <c r="K24" s="55"/>
    </row>
    <row r="25" spans="1:11" ht="15.75">
      <c r="A25" s="5" t="s">
        <v>15</v>
      </c>
      <c r="B25" s="45">
        <v>40113300</v>
      </c>
      <c r="C25" s="45">
        <v>24900500</v>
      </c>
      <c r="D25" s="45">
        <v>23444070</v>
      </c>
      <c r="E25" s="45">
        <f t="shared" si="0"/>
        <v>29485956.666666668</v>
      </c>
      <c r="F25" s="45">
        <v>163813756.13</v>
      </c>
      <c r="G25" s="45">
        <v>147977674</v>
      </c>
      <c r="H25" s="54">
        <f t="shared" si="1"/>
        <v>0.09456949042625269</v>
      </c>
      <c r="I25" s="54">
        <f t="shared" si="2"/>
        <v>0.16013892541177355</v>
      </c>
      <c r="J25" s="54">
        <f t="shared" si="3"/>
        <v>0.16013892541177355</v>
      </c>
      <c r="K25" s="55"/>
    </row>
    <row r="26" spans="1:11" ht="15.75">
      <c r="A26" s="5" t="s">
        <v>16</v>
      </c>
      <c r="B26" s="45">
        <v>386611570</v>
      </c>
      <c r="C26" s="45">
        <v>398781689.99999994</v>
      </c>
      <c r="D26" s="45">
        <v>477293480</v>
      </c>
      <c r="E26" s="45">
        <f t="shared" si="0"/>
        <v>420895580</v>
      </c>
      <c r="F26" s="45">
        <v>1721913888.72</v>
      </c>
      <c r="G26" s="45">
        <v>261921019</v>
      </c>
      <c r="H26" s="54">
        <f t="shared" si="1"/>
        <v>0.212162604036306</v>
      </c>
      <c r="I26" s="54">
        <f t="shared" si="2"/>
        <v>0.384763846668736</v>
      </c>
      <c r="J26" s="54">
        <f t="shared" si="3"/>
        <v>0.384763846668736</v>
      </c>
      <c r="K26" s="55"/>
    </row>
    <row r="27" spans="1:11" ht="15.75">
      <c r="A27" s="5" t="s">
        <v>17</v>
      </c>
      <c r="B27" s="45">
        <v>24440540</v>
      </c>
      <c r="C27" s="45">
        <v>25095000</v>
      </c>
      <c r="D27" s="45">
        <v>23596260.000000004</v>
      </c>
      <c r="E27" s="45">
        <f t="shared" si="0"/>
        <v>24377266.666666668</v>
      </c>
      <c r="F27" s="45">
        <v>98639460.29</v>
      </c>
      <c r="G27" s="45">
        <v>67864493</v>
      </c>
      <c r="H27" s="54">
        <f t="shared" si="1"/>
        <v>0.14640653380889262</v>
      </c>
      <c r="I27" s="54">
        <f t="shared" si="2"/>
        <v>0.25915740898242867</v>
      </c>
      <c r="J27" s="54">
        <f t="shared" si="3"/>
        <v>0.25915740898242867</v>
      </c>
      <c r="K27" s="55"/>
    </row>
    <row r="28" spans="1:11" ht="15.75">
      <c r="A28" s="5" t="s">
        <v>18</v>
      </c>
      <c r="B28" s="45">
        <v>44170010</v>
      </c>
      <c r="C28" s="45">
        <v>44069630</v>
      </c>
      <c r="D28" s="45">
        <v>46465619.99999999</v>
      </c>
      <c r="E28" s="45">
        <f t="shared" si="0"/>
        <v>44901753.333333336</v>
      </c>
      <c r="F28" s="45">
        <v>136096573.96</v>
      </c>
      <c r="G28" s="45">
        <v>103734061.92</v>
      </c>
      <c r="H28" s="54">
        <f t="shared" si="1"/>
        <v>0.18722275896312124</v>
      </c>
      <c r="I28" s="54">
        <f t="shared" si="2"/>
        <v>0.33712406093857883</v>
      </c>
      <c r="J28" s="54">
        <f t="shared" si="3"/>
        <v>0.33712406093857883</v>
      </c>
      <c r="K28" s="55"/>
    </row>
    <row r="29" spans="1:11" ht="15.75">
      <c r="A29" s="5" t="s">
        <v>19</v>
      </c>
      <c r="B29" s="45">
        <v>136564600</v>
      </c>
      <c r="C29" s="45">
        <v>135156200</v>
      </c>
      <c r="D29" s="45">
        <v>131596299.99999999</v>
      </c>
      <c r="E29" s="45">
        <f t="shared" si="0"/>
        <v>134439033.33333334</v>
      </c>
      <c r="F29" s="45">
        <v>444119491.78</v>
      </c>
      <c r="G29" s="45">
        <v>84582691.68</v>
      </c>
      <c r="H29" s="54">
        <f t="shared" si="1"/>
        <v>0.25428121452709035</v>
      </c>
      <c r="I29" s="54">
        <f t="shared" si="2"/>
        <v>0.4652182990979663</v>
      </c>
      <c r="J29" s="54">
        <f t="shared" si="3"/>
        <v>0.4652182990979663</v>
      </c>
      <c r="K29" s="55"/>
    </row>
    <row r="30" spans="1:11" ht="15.75">
      <c r="A30" s="5" t="s">
        <v>20</v>
      </c>
      <c r="B30" s="45">
        <v>171529430.00000003</v>
      </c>
      <c r="C30" s="45">
        <v>166071580</v>
      </c>
      <c r="D30" s="45">
        <v>156326250</v>
      </c>
      <c r="E30" s="45">
        <f t="shared" si="0"/>
        <v>164642420</v>
      </c>
      <c r="F30" s="45">
        <v>449991135.48</v>
      </c>
      <c r="G30" s="45">
        <v>203488849.28</v>
      </c>
      <c r="H30" s="54">
        <f t="shared" si="1"/>
        <v>0.2519471503943113</v>
      </c>
      <c r="I30" s="54">
        <f t="shared" si="2"/>
        <v>0.4607597984601418</v>
      </c>
      <c r="J30" s="54">
        <f t="shared" si="3"/>
        <v>0.4607597984601418</v>
      </c>
      <c r="K30" s="55"/>
    </row>
    <row r="31" spans="1:11" ht="15.75">
      <c r="A31" s="5" t="s">
        <v>21</v>
      </c>
      <c r="B31" s="45">
        <v>13143590.000000011</v>
      </c>
      <c r="C31" s="45">
        <v>8169500.000000007</v>
      </c>
      <c r="D31" s="45">
        <v>11864919.999999998</v>
      </c>
      <c r="E31" s="45">
        <f t="shared" si="0"/>
        <v>11059336.666666672</v>
      </c>
      <c r="F31" s="45">
        <v>171151361.56</v>
      </c>
      <c r="G31" s="45">
        <v>86715380</v>
      </c>
      <c r="H31" s="54">
        <f t="shared" si="1"/>
        <v>0.04288779778176009</v>
      </c>
      <c r="I31" s="54">
        <f t="shared" si="2"/>
        <v>0.061417190913000935</v>
      </c>
      <c r="J31" s="54">
        <f t="shared" si="3"/>
        <v>0.061417190913000935</v>
      </c>
      <c r="K31" s="55"/>
    </row>
    <row r="32" spans="1:11" ht="15.75">
      <c r="A32" s="5" t="s">
        <v>22</v>
      </c>
      <c r="B32" s="45">
        <v>70413890</v>
      </c>
      <c r="C32" s="45">
        <v>61169729.99999999</v>
      </c>
      <c r="D32" s="45">
        <v>65543350.00000001</v>
      </c>
      <c r="E32" s="45">
        <f t="shared" si="0"/>
        <v>65708990</v>
      </c>
      <c r="F32" s="45">
        <v>210929411.91</v>
      </c>
      <c r="G32" s="45">
        <v>114470551</v>
      </c>
      <c r="H32" s="54">
        <f t="shared" si="1"/>
        <v>0.20193299781713245</v>
      </c>
      <c r="I32" s="54">
        <f t="shared" si="2"/>
        <v>0.3652233785160572</v>
      </c>
      <c r="J32" s="54">
        <f t="shared" si="3"/>
        <v>0.3652233785160572</v>
      </c>
      <c r="K32" s="55"/>
    </row>
    <row r="33" spans="1:11" ht="15.75">
      <c r="A33" s="5" t="s">
        <v>23</v>
      </c>
      <c r="B33" s="45">
        <v>54780000</v>
      </c>
      <c r="C33" s="45">
        <v>42803700</v>
      </c>
      <c r="D33" s="45">
        <v>42859000</v>
      </c>
      <c r="E33" s="45">
        <f t="shared" si="0"/>
        <v>46814233.333333336</v>
      </c>
      <c r="F33" s="45">
        <v>291901800</v>
      </c>
      <c r="G33" s="45">
        <v>85205048.48</v>
      </c>
      <c r="H33" s="54">
        <f t="shared" si="1"/>
        <v>0.124140501616523</v>
      </c>
      <c r="I33" s="54">
        <f t="shared" si="2"/>
        <v>0.2166251077755625</v>
      </c>
      <c r="J33" s="54">
        <f t="shared" si="3"/>
        <v>0.2166251077755625</v>
      </c>
      <c r="K33" s="55"/>
    </row>
    <row r="34" spans="1:11" ht="15.75">
      <c r="A34" s="5" t="s">
        <v>24</v>
      </c>
      <c r="B34" s="45">
        <v>138269160</v>
      </c>
      <c r="C34" s="45">
        <v>105665180</v>
      </c>
      <c r="D34" s="45">
        <v>112792810</v>
      </c>
      <c r="E34" s="45">
        <f t="shared" si="0"/>
        <v>118909050</v>
      </c>
      <c r="F34" s="45">
        <v>834933055.53</v>
      </c>
      <c r="G34" s="45">
        <v>132135695.43</v>
      </c>
      <c r="H34" s="54">
        <f t="shared" si="1"/>
        <v>0.12295821768820481</v>
      </c>
      <c r="I34" s="54">
        <f t="shared" si="2"/>
        <v>0.21436672353732814</v>
      </c>
      <c r="J34" s="54">
        <f t="shared" si="3"/>
        <v>0.21436672353732814</v>
      </c>
      <c r="K34" s="55"/>
    </row>
    <row r="35" spans="1:11" ht="15.75">
      <c r="A35" s="5" t="s">
        <v>25</v>
      </c>
      <c r="B35" s="45">
        <v>17618600</v>
      </c>
      <c r="C35" s="45">
        <v>13590820</v>
      </c>
      <c r="D35" s="45">
        <v>12415620</v>
      </c>
      <c r="E35" s="45">
        <f t="shared" si="0"/>
        <v>14541680</v>
      </c>
      <c r="F35" s="45">
        <v>83331658.94</v>
      </c>
      <c r="G35" s="45">
        <v>76757231</v>
      </c>
      <c r="H35" s="54">
        <f t="shared" si="1"/>
        <v>0.09083503549465614</v>
      </c>
      <c r="I35" s="54">
        <f t="shared" si="2"/>
        <v>0.15300541547062818</v>
      </c>
      <c r="J35" s="54">
        <f t="shared" si="3"/>
        <v>0.15300541547062818</v>
      </c>
      <c r="K35" s="55"/>
    </row>
    <row r="36" spans="1:11" ht="15.75">
      <c r="A36" s="5" t="s">
        <v>26</v>
      </c>
      <c r="B36" s="45">
        <v>80635890</v>
      </c>
      <c r="C36" s="45">
        <v>86997000</v>
      </c>
      <c r="D36" s="45">
        <v>108999810</v>
      </c>
      <c r="E36" s="45">
        <f t="shared" si="0"/>
        <v>92210900</v>
      </c>
      <c r="F36" s="45">
        <v>435346293.93</v>
      </c>
      <c r="G36" s="45">
        <v>122296115</v>
      </c>
      <c r="H36" s="54">
        <f t="shared" si="1"/>
        <v>0.1653584779840069</v>
      </c>
      <c r="I36" s="54">
        <f t="shared" si="2"/>
        <v>0.29535917996468325</v>
      </c>
      <c r="J36" s="54">
        <f t="shared" si="3"/>
        <v>0.29535917996468325</v>
      </c>
      <c r="K36" s="55"/>
    </row>
    <row r="37" spans="1:11" ht="15.75">
      <c r="A37" s="5" t="s">
        <v>27</v>
      </c>
      <c r="B37" s="45">
        <v>219430170</v>
      </c>
      <c r="C37" s="45">
        <v>205520550</v>
      </c>
      <c r="D37" s="45">
        <v>186809610</v>
      </c>
      <c r="E37" s="45">
        <f t="shared" si="0"/>
        <v>203920110</v>
      </c>
      <c r="F37" s="45">
        <v>317486307.95</v>
      </c>
      <c r="G37" s="45">
        <v>64212063.36</v>
      </c>
      <c r="H37" s="54">
        <f t="shared" si="1"/>
        <v>0.5342441187268895</v>
      </c>
      <c r="I37" s="54">
        <f t="shared" si="2"/>
        <v>1</v>
      </c>
      <c r="J37" s="54">
        <f t="shared" si="3"/>
        <v>1</v>
      </c>
      <c r="K37" s="55"/>
    </row>
    <row r="38" spans="1:11" ht="15.75">
      <c r="A38" s="5" t="s">
        <v>28</v>
      </c>
      <c r="B38" s="45">
        <v>223612399.99999997</v>
      </c>
      <c r="C38" s="45">
        <v>219797920</v>
      </c>
      <c r="D38" s="45">
        <v>217480229.99999997</v>
      </c>
      <c r="E38" s="45">
        <f t="shared" si="0"/>
        <v>220296850</v>
      </c>
      <c r="F38" s="45">
        <v>225801633.64</v>
      </c>
      <c r="G38" s="45">
        <v>202638707</v>
      </c>
      <c r="H38" s="54">
        <f t="shared" si="1"/>
        <v>0.5141832575124059</v>
      </c>
      <c r="I38" s="54">
        <f t="shared" si="2"/>
        <v>0.9616799893096377</v>
      </c>
      <c r="J38" s="54">
        <f t="shared" si="3"/>
        <v>0.9616799893096377</v>
      </c>
      <c r="K38" s="55"/>
    </row>
    <row r="39" spans="1:11" ht="15.75">
      <c r="A39" s="5" t="s">
        <v>29</v>
      </c>
      <c r="B39" s="45">
        <v>41103000</v>
      </c>
      <c r="C39" s="45">
        <v>23138210</v>
      </c>
      <c r="D39" s="45">
        <v>23203769.999999996</v>
      </c>
      <c r="E39" s="45">
        <f t="shared" si="0"/>
        <v>29148326.666666668</v>
      </c>
      <c r="F39" s="45">
        <v>216016329.68</v>
      </c>
      <c r="G39" s="45">
        <v>145175433</v>
      </c>
      <c r="H39" s="54">
        <f t="shared" si="1"/>
        <v>0.08070041921883696</v>
      </c>
      <c r="I39" s="54">
        <f t="shared" si="2"/>
        <v>0.13364639594101185</v>
      </c>
      <c r="J39" s="54">
        <f t="shared" si="3"/>
        <v>0.13364639594101185</v>
      </c>
      <c r="K39" s="55"/>
    </row>
    <row r="40" spans="1:11" ht="15.75">
      <c r="A40" s="5" t="s">
        <v>30</v>
      </c>
      <c r="B40" s="45">
        <v>66433369.99999999</v>
      </c>
      <c r="C40" s="45">
        <v>55536870.00000001</v>
      </c>
      <c r="D40" s="45">
        <v>48938950.00000001</v>
      </c>
      <c r="E40" s="45">
        <f t="shared" si="0"/>
        <v>56969730</v>
      </c>
      <c r="F40" s="45">
        <v>603133829.83</v>
      </c>
      <c r="G40" s="45">
        <v>163815501.06</v>
      </c>
      <c r="H40" s="54">
        <f t="shared" si="1"/>
        <v>0.07428095664923515</v>
      </c>
      <c r="I40" s="54">
        <f t="shared" si="2"/>
        <v>0.12138401738889273</v>
      </c>
      <c r="J40" s="54">
        <f t="shared" si="3"/>
        <v>0.12138401738889273</v>
      </c>
      <c r="K40" s="55"/>
    </row>
    <row r="41" spans="1:11" ht="15.75">
      <c r="A41" s="5" t="s">
        <v>31</v>
      </c>
      <c r="B41" s="45">
        <v>276637530</v>
      </c>
      <c r="C41" s="45">
        <v>250732770.00000003</v>
      </c>
      <c r="D41" s="45">
        <v>258470360</v>
      </c>
      <c r="E41" s="45">
        <f t="shared" si="0"/>
        <v>261946886.66666666</v>
      </c>
      <c r="F41" s="45">
        <v>956484163.65</v>
      </c>
      <c r="G41" s="45">
        <v>126936888</v>
      </c>
      <c r="H41" s="54">
        <f t="shared" si="1"/>
        <v>0.24177754924342082</v>
      </c>
      <c r="I41" s="54">
        <f t="shared" si="2"/>
        <v>0.44133395125187297</v>
      </c>
      <c r="J41" s="54">
        <f t="shared" si="3"/>
        <v>0.44133395125187297</v>
      </c>
      <c r="K41" s="55"/>
    </row>
    <row r="42" spans="1:11" ht="15.75">
      <c r="A42" s="5" t="s">
        <v>32</v>
      </c>
      <c r="B42" s="45">
        <v>47762229.99999999</v>
      </c>
      <c r="C42" s="45">
        <v>41364800</v>
      </c>
      <c r="D42" s="45">
        <v>52630000</v>
      </c>
      <c r="E42" s="45">
        <f t="shared" si="0"/>
        <v>47252343.333333336</v>
      </c>
      <c r="F42" s="45">
        <v>308409723.48</v>
      </c>
      <c r="G42" s="45">
        <v>109090719</v>
      </c>
      <c r="H42" s="54">
        <f t="shared" si="1"/>
        <v>0.11317914551814377</v>
      </c>
      <c r="I42" s="54">
        <f t="shared" si="2"/>
        <v>0.19568685999148935</v>
      </c>
      <c r="J42" s="54">
        <f t="shared" si="3"/>
        <v>0.19568685999148935</v>
      </c>
      <c r="K42" s="55"/>
    </row>
    <row r="43" spans="1:11" ht="15.75">
      <c r="A43" s="5" t="s">
        <v>33</v>
      </c>
      <c r="B43" s="45">
        <v>50565000</v>
      </c>
      <c r="C43" s="45">
        <v>49794700</v>
      </c>
      <c r="D43" s="45">
        <v>48446900</v>
      </c>
      <c r="E43" s="45">
        <f t="shared" si="0"/>
        <v>49602200</v>
      </c>
      <c r="F43" s="45">
        <v>191190834.44</v>
      </c>
      <c r="G43" s="45">
        <v>111203706.72</v>
      </c>
      <c r="H43" s="54">
        <f t="shared" si="1"/>
        <v>0.1640314002022774</v>
      </c>
      <c r="I43" s="54">
        <f t="shared" si="2"/>
        <v>0.2928242122861221</v>
      </c>
      <c r="J43" s="54">
        <f t="shared" si="3"/>
        <v>0.2928242122861221</v>
      </c>
      <c r="K43" s="55"/>
    </row>
    <row r="44" spans="1:11" ht="15.75">
      <c r="A44" s="5" t="s">
        <v>34</v>
      </c>
      <c r="B44" s="45">
        <v>71857610</v>
      </c>
      <c r="C44" s="45">
        <v>56358080</v>
      </c>
      <c r="D44" s="45">
        <v>75502810</v>
      </c>
      <c r="E44" s="45">
        <f t="shared" si="0"/>
        <v>67906166.66666667</v>
      </c>
      <c r="F44" s="45">
        <v>122609507.97</v>
      </c>
      <c r="G44" s="45">
        <v>126613667.84</v>
      </c>
      <c r="H44" s="54">
        <f t="shared" si="1"/>
        <v>0.2724713159037674</v>
      </c>
      <c r="I44" s="54">
        <f t="shared" si="2"/>
        <v>0.49996480732413273</v>
      </c>
      <c r="J44" s="54">
        <f t="shared" si="3"/>
        <v>0.49996480732413273</v>
      </c>
      <c r="K44" s="55"/>
    </row>
    <row r="45" spans="1:11" ht="15.75">
      <c r="A45" s="5" t="s">
        <v>35</v>
      </c>
      <c r="B45" s="45">
        <v>130273860</v>
      </c>
      <c r="C45" s="45">
        <v>120654540.00000001</v>
      </c>
      <c r="D45" s="45">
        <v>124108299.99999999</v>
      </c>
      <c r="E45" s="45">
        <f t="shared" si="0"/>
        <v>125012233.33333333</v>
      </c>
      <c r="F45" s="45">
        <v>126935350.21</v>
      </c>
      <c r="G45" s="45">
        <v>114953627</v>
      </c>
      <c r="H45" s="54">
        <f t="shared" si="1"/>
        <v>0.5168165774862981</v>
      </c>
      <c r="I45" s="54">
        <f t="shared" si="2"/>
        <v>0.9667101247794867</v>
      </c>
      <c r="J45" s="54">
        <f t="shared" si="3"/>
        <v>0.9667101247794867</v>
      </c>
      <c r="K45" s="55"/>
    </row>
    <row r="46" spans="1:11" ht="15.75">
      <c r="A46" s="5" t="s">
        <v>36</v>
      </c>
      <c r="B46" s="45">
        <v>91117459.99999999</v>
      </c>
      <c r="C46" s="45">
        <v>82493230.00000001</v>
      </c>
      <c r="D46" s="45">
        <v>75481730</v>
      </c>
      <c r="E46" s="45">
        <f t="shared" si="0"/>
        <v>83030806.66666667</v>
      </c>
      <c r="F46" s="45">
        <v>241633591.13</v>
      </c>
      <c r="G46" s="45">
        <v>93921916</v>
      </c>
      <c r="H46" s="54">
        <f t="shared" si="1"/>
        <v>0.24744283703410985</v>
      </c>
      <c r="I46" s="54">
        <f t="shared" si="2"/>
        <v>0.45215571440461566</v>
      </c>
      <c r="J46" s="54">
        <f t="shared" si="3"/>
        <v>0.45215571440461566</v>
      </c>
      <c r="K46" s="55"/>
    </row>
    <row r="47" spans="1:10" s="17" customFormat="1" ht="15.75">
      <c r="A47" s="14" t="s">
        <v>67</v>
      </c>
      <c r="B47" s="56">
        <f aca="true" t="shared" si="4" ref="B47:G47">SUM(B$10:B$46)</f>
        <v>6504784060</v>
      </c>
      <c r="C47" s="56">
        <f t="shared" si="4"/>
        <v>5738882160</v>
      </c>
      <c r="D47" s="56">
        <f t="shared" si="4"/>
        <v>5556481570</v>
      </c>
      <c r="E47" s="56">
        <f t="shared" si="4"/>
        <v>5933382596.666667</v>
      </c>
      <c r="F47" s="56">
        <f t="shared" si="4"/>
        <v>44587111570.22002</v>
      </c>
      <c r="G47" s="56">
        <f t="shared" si="4"/>
        <v>6257864426.01</v>
      </c>
      <c r="H47" s="56">
        <f>$E47/($F47+$G47)</f>
        <v>0.11669555310846458</v>
      </c>
      <c r="I47" s="15"/>
      <c r="J47" s="15"/>
    </row>
    <row r="48" ht="15.75">
      <c r="A48" s="6" t="s">
        <v>184</v>
      </c>
    </row>
    <row r="50" spans="5:8" ht="15.75">
      <c r="E50" s="50">
        <f>AVERAGE($B$47:$D$47)-$E$47</f>
        <v>0</v>
      </c>
      <c r="F50" s="50"/>
      <c r="G50" s="50"/>
      <c r="H50" s="50"/>
    </row>
  </sheetData>
  <sheetProtection/>
  <mergeCells count="7">
    <mergeCell ref="A1:J1"/>
    <mergeCell ref="A7:A8"/>
    <mergeCell ref="B7:E7"/>
    <mergeCell ref="F7:G7"/>
    <mergeCell ref="H7:H8"/>
    <mergeCell ref="I7:I8"/>
    <mergeCell ref="J7:J8"/>
  </mergeCells>
  <conditionalFormatting sqref="J10:J46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" sqref="A7:A8"/>
    </sheetView>
  </sheetViews>
  <sheetFormatPr defaultColWidth="8.7109375" defaultRowHeight="15"/>
  <cols>
    <col min="1" max="1" width="24.421875" style="1" customWidth="1"/>
    <col min="2" max="2" width="17.7109375" style="1" customWidth="1"/>
    <col min="3" max="3" width="17.5742187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.75">
      <c r="A1" s="106" t="s">
        <v>100</v>
      </c>
      <c r="B1" s="106"/>
      <c r="C1" s="106"/>
      <c r="D1" s="106"/>
      <c r="E1" s="106"/>
      <c r="F1" s="106"/>
    </row>
    <row r="3" spans="1:2" ht="15.75">
      <c r="A3" s="10" t="s">
        <v>50</v>
      </c>
      <c r="B3" s="26">
        <f>MAX($D$10:$D$46)</f>
        <v>3.152273066020004</v>
      </c>
    </row>
    <row r="4" spans="1:2" ht="15.75">
      <c r="A4" s="11" t="s">
        <v>51</v>
      </c>
      <c r="B4" s="27">
        <f>MIN($D$10:$D$46)</f>
        <v>0.23087678034181658</v>
      </c>
    </row>
    <row r="5" spans="1:2" ht="15.75">
      <c r="A5" s="12" t="s">
        <v>52</v>
      </c>
      <c r="B5" s="13" t="s">
        <v>99</v>
      </c>
    </row>
    <row r="7" spans="1:6" s="7" customFormat="1" ht="66.75" customHeight="1">
      <c r="A7" s="107" t="s">
        <v>38</v>
      </c>
      <c r="B7" s="107" t="s">
        <v>185</v>
      </c>
      <c r="C7" s="107"/>
      <c r="D7" s="108" t="s">
        <v>77</v>
      </c>
      <c r="E7" s="108" t="s">
        <v>78</v>
      </c>
      <c r="F7" s="108" t="s">
        <v>79</v>
      </c>
    </row>
    <row r="8" spans="1:6" s="8" customFormat="1" ht="35.25" customHeight="1">
      <c r="A8" s="107"/>
      <c r="B8" s="3" t="s">
        <v>355</v>
      </c>
      <c r="C8" s="3" t="s">
        <v>356</v>
      </c>
      <c r="D8" s="108"/>
      <c r="E8" s="108"/>
      <c r="F8" s="108"/>
    </row>
    <row r="9" spans="1:6" s="7" customFormat="1" ht="15.75">
      <c r="A9" s="9">
        <v>1</v>
      </c>
      <c r="B9" s="9">
        <v>2</v>
      </c>
      <c r="C9" s="9">
        <v>3</v>
      </c>
      <c r="D9" s="9" t="s">
        <v>91</v>
      </c>
      <c r="E9" s="9">
        <v>5</v>
      </c>
      <c r="F9" s="9">
        <v>6</v>
      </c>
    </row>
    <row r="10" spans="1:6" ht="15.75">
      <c r="A10" s="5" t="s">
        <v>0</v>
      </c>
      <c r="B10" s="57">
        <v>704002459.25</v>
      </c>
      <c r="C10" s="57">
        <v>844862607.3099998</v>
      </c>
      <c r="D10" s="58">
        <f>$C10/$B10</f>
        <v>1.2000847386386453</v>
      </c>
      <c r="E10" s="58">
        <f>($D10-$B$4)/($B$3-$B$4)</f>
        <v>0.3317618917530156</v>
      </c>
      <c r="F10" s="58">
        <f>$E10*$B$5</f>
        <v>0.3317618917530156</v>
      </c>
    </row>
    <row r="11" spans="1:6" ht="15.75">
      <c r="A11" s="5" t="s">
        <v>1</v>
      </c>
      <c r="B11" s="57">
        <v>508576189.79999995</v>
      </c>
      <c r="C11" s="57">
        <v>651778753.2299999</v>
      </c>
      <c r="D11" s="58">
        <f aca="true" t="shared" si="0" ref="D11:D46">$C11/$B11</f>
        <v>1.2815754380603526</v>
      </c>
      <c r="E11" s="58">
        <f aca="true" t="shared" si="1" ref="E11:E46">($D11-$B$4)/($B$3-$B$4)</f>
        <v>0.35965632696579597</v>
      </c>
      <c r="F11" s="58">
        <f aca="true" t="shared" si="2" ref="F11:F46">$E11*$B$5</f>
        <v>0.35965632696579597</v>
      </c>
    </row>
    <row r="12" spans="1:6" ht="15.75">
      <c r="A12" s="5" t="s">
        <v>2</v>
      </c>
      <c r="B12" s="57">
        <v>104364802.28999999</v>
      </c>
      <c r="C12" s="57">
        <v>104328556.66000001</v>
      </c>
      <c r="D12" s="58">
        <f t="shared" si="0"/>
        <v>0.9996527025471742</v>
      </c>
      <c r="E12" s="58">
        <f t="shared" si="1"/>
        <v>0.26315359062178384</v>
      </c>
      <c r="F12" s="58">
        <f t="shared" si="2"/>
        <v>0.26315359062178384</v>
      </c>
    </row>
    <row r="13" spans="1:6" ht="15.75">
      <c r="A13" s="5" t="s">
        <v>3</v>
      </c>
      <c r="B13" s="57">
        <v>174422315.51</v>
      </c>
      <c r="C13" s="57">
        <v>166864856.47</v>
      </c>
      <c r="D13" s="58">
        <f t="shared" si="0"/>
        <v>0.9566714900103095</v>
      </c>
      <c r="E13" s="58">
        <f t="shared" si="1"/>
        <v>0.24844103253865926</v>
      </c>
      <c r="F13" s="58">
        <f t="shared" si="2"/>
        <v>0.24844103253865926</v>
      </c>
    </row>
    <row r="14" spans="1:6" ht="15.75">
      <c r="A14" s="5" t="s">
        <v>4</v>
      </c>
      <c r="B14" s="57">
        <v>66471843.06000001</v>
      </c>
      <c r="C14" s="57">
        <v>75823539.57000001</v>
      </c>
      <c r="D14" s="58">
        <f t="shared" si="0"/>
        <v>1.1406865836645872</v>
      </c>
      <c r="E14" s="58">
        <f t="shared" si="1"/>
        <v>0.31142978026740487</v>
      </c>
      <c r="F14" s="58">
        <f t="shared" si="2"/>
        <v>0.31142978026740487</v>
      </c>
    </row>
    <row r="15" spans="1:6" ht="15.75">
      <c r="A15" s="5" t="s">
        <v>5</v>
      </c>
      <c r="B15" s="57">
        <v>111846181.53</v>
      </c>
      <c r="C15" s="57">
        <v>43564262.830000006</v>
      </c>
      <c r="D15" s="58">
        <f t="shared" si="0"/>
        <v>0.38950156575810285</v>
      </c>
      <c r="E15" s="58">
        <f t="shared" si="1"/>
        <v>0.05429759262511773</v>
      </c>
      <c r="F15" s="58">
        <f t="shared" si="2"/>
        <v>0.05429759262511773</v>
      </c>
    </row>
    <row r="16" spans="1:6" ht="15.75">
      <c r="A16" s="5" t="s">
        <v>6</v>
      </c>
      <c r="B16" s="57">
        <v>36697621.42</v>
      </c>
      <c r="C16" s="57">
        <v>43134518.300000004</v>
      </c>
      <c r="D16" s="58">
        <f t="shared" si="0"/>
        <v>1.1754036537226886</v>
      </c>
      <c r="E16" s="58">
        <f t="shared" si="1"/>
        <v>0.32331350526161323</v>
      </c>
      <c r="F16" s="58">
        <f t="shared" si="2"/>
        <v>0.32331350526161323</v>
      </c>
    </row>
    <row r="17" spans="1:6" ht="15.75">
      <c r="A17" s="5" t="s">
        <v>7</v>
      </c>
      <c r="B17" s="57">
        <v>7550533.84</v>
      </c>
      <c r="C17" s="57">
        <v>7346054.930000001</v>
      </c>
      <c r="D17" s="58">
        <f t="shared" si="0"/>
        <v>0.9729186155134165</v>
      </c>
      <c r="E17" s="58">
        <f t="shared" si="1"/>
        <v>0.25400245725284704</v>
      </c>
      <c r="F17" s="58">
        <f t="shared" si="2"/>
        <v>0.25400245725284704</v>
      </c>
    </row>
    <row r="18" spans="1:6" ht="15.75">
      <c r="A18" s="5" t="s">
        <v>8</v>
      </c>
      <c r="B18" s="57">
        <v>14697355.24</v>
      </c>
      <c r="C18" s="57">
        <v>16694801.26</v>
      </c>
      <c r="D18" s="58">
        <f t="shared" si="0"/>
        <v>1.1359051330925032</v>
      </c>
      <c r="E18" s="58">
        <f t="shared" si="1"/>
        <v>0.30979307983223126</v>
      </c>
      <c r="F18" s="58">
        <f t="shared" si="2"/>
        <v>0.30979307983223126</v>
      </c>
    </row>
    <row r="19" spans="1:6" ht="15.75">
      <c r="A19" s="5" t="s">
        <v>9</v>
      </c>
      <c r="B19" s="57">
        <v>46796855.89999999</v>
      </c>
      <c r="C19" s="57">
        <v>29972030.99</v>
      </c>
      <c r="D19" s="58">
        <f t="shared" si="0"/>
        <v>0.6404710404914191</v>
      </c>
      <c r="E19" s="58">
        <f t="shared" si="1"/>
        <v>0.14020496368725865</v>
      </c>
      <c r="F19" s="58">
        <f t="shared" si="2"/>
        <v>0.14020496368725865</v>
      </c>
    </row>
    <row r="20" spans="1:6" ht="15.75">
      <c r="A20" s="5" t="s">
        <v>10</v>
      </c>
      <c r="B20" s="57">
        <v>54165395.760000005</v>
      </c>
      <c r="C20" s="57">
        <v>26778187.860000003</v>
      </c>
      <c r="D20" s="58">
        <f t="shared" si="0"/>
        <v>0.4943781446488595</v>
      </c>
      <c r="E20" s="58">
        <f t="shared" si="1"/>
        <v>0.09019706282192126</v>
      </c>
      <c r="F20" s="58">
        <f t="shared" si="2"/>
        <v>0.09019706282192126</v>
      </c>
    </row>
    <row r="21" spans="1:6" ht="15.75">
      <c r="A21" s="5" t="s">
        <v>11</v>
      </c>
      <c r="B21" s="57">
        <v>17901688.060000002</v>
      </c>
      <c r="C21" s="57">
        <v>31293802.74</v>
      </c>
      <c r="D21" s="58">
        <f t="shared" si="0"/>
        <v>1.7480922824213256</v>
      </c>
      <c r="E21" s="58">
        <f t="shared" si="1"/>
        <v>0.5193460091386729</v>
      </c>
      <c r="F21" s="58">
        <f t="shared" si="2"/>
        <v>0.5193460091386729</v>
      </c>
    </row>
    <row r="22" spans="1:6" ht="15.75">
      <c r="A22" s="5" t="s">
        <v>12</v>
      </c>
      <c r="B22" s="57">
        <v>32381316.330000002</v>
      </c>
      <c r="C22" s="57">
        <v>20706594.49</v>
      </c>
      <c r="D22" s="58">
        <f t="shared" si="0"/>
        <v>0.6394611719603308</v>
      </c>
      <c r="E22" s="58">
        <f t="shared" si="1"/>
        <v>0.13985928359721433</v>
      </c>
      <c r="F22" s="58">
        <f t="shared" si="2"/>
        <v>0.13985928359721433</v>
      </c>
    </row>
    <row r="23" spans="1:6" ht="15.75">
      <c r="A23" s="5" t="s">
        <v>13</v>
      </c>
      <c r="B23" s="57">
        <v>73392180.95</v>
      </c>
      <c r="C23" s="57">
        <v>16944550.440000005</v>
      </c>
      <c r="D23" s="58">
        <f t="shared" si="0"/>
        <v>0.23087678034181658</v>
      </c>
      <c r="E23" s="58">
        <f t="shared" si="1"/>
        <v>0</v>
      </c>
      <c r="F23" s="58">
        <f t="shared" si="2"/>
        <v>0</v>
      </c>
    </row>
    <row r="24" spans="1:6" ht="15.75">
      <c r="A24" s="5" t="s">
        <v>14</v>
      </c>
      <c r="B24" s="57">
        <v>16944524.22</v>
      </c>
      <c r="C24" s="57">
        <v>27664551.840000004</v>
      </c>
      <c r="D24" s="58">
        <f t="shared" si="0"/>
        <v>1.6326543891593555</v>
      </c>
      <c r="E24" s="58">
        <f t="shared" si="1"/>
        <v>0.4798313791557804</v>
      </c>
      <c r="F24" s="58">
        <f t="shared" si="2"/>
        <v>0.4798313791557804</v>
      </c>
    </row>
    <row r="25" spans="1:6" ht="15.75">
      <c r="A25" s="5" t="s">
        <v>15</v>
      </c>
      <c r="B25" s="57">
        <v>14547025.100000001</v>
      </c>
      <c r="C25" s="57">
        <v>13749340.51</v>
      </c>
      <c r="D25" s="58">
        <f t="shared" si="0"/>
        <v>0.9451651052695302</v>
      </c>
      <c r="E25" s="58">
        <f t="shared" si="1"/>
        <v>0.24450237320743878</v>
      </c>
      <c r="F25" s="58">
        <f t="shared" si="2"/>
        <v>0.24450237320743878</v>
      </c>
    </row>
    <row r="26" spans="1:6" ht="15.75">
      <c r="A26" s="5" t="s">
        <v>16</v>
      </c>
      <c r="B26" s="57">
        <v>102393598.53999999</v>
      </c>
      <c r="C26" s="57">
        <v>103332852.19999999</v>
      </c>
      <c r="D26" s="58">
        <f t="shared" si="0"/>
        <v>1.0091729724650031</v>
      </c>
      <c r="E26" s="58">
        <f t="shared" si="1"/>
        <v>0.26641239873504835</v>
      </c>
      <c r="F26" s="58">
        <f t="shared" si="2"/>
        <v>0.26641239873504835</v>
      </c>
    </row>
    <row r="27" spans="1:6" ht="15.75">
      <c r="A27" s="5" t="s">
        <v>17</v>
      </c>
      <c r="B27" s="57">
        <v>7824889.649999999</v>
      </c>
      <c r="C27" s="57">
        <v>18396853.86</v>
      </c>
      <c r="D27" s="58">
        <f t="shared" si="0"/>
        <v>2.351068792388657</v>
      </c>
      <c r="E27" s="58">
        <f t="shared" si="1"/>
        <v>0.7257461175126566</v>
      </c>
      <c r="F27" s="58">
        <f t="shared" si="2"/>
        <v>0.7257461175126566</v>
      </c>
    </row>
    <row r="28" spans="1:6" ht="15.75">
      <c r="A28" s="5" t="s">
        <v>18</v>
      </c>
      <c r="B28" s="57">
        <v>19535453.990000002</v>
      </c>
      <c r="C28" s="57">
        <v>21655973.160000004</v>
      </c>
      <c r="D28" s="58">
        <f t="shared" si="0"/>
        <v>1.1085472173354902</v>
      </c>
      <c r="E28" s="58">
        <f t="shared" si="1"/>
        <v>0.3004284085991185</v>
      </c>
      <c r="F28" s="58">
        <f t="shared" si="2"/>
        <v>0.3004284085991185</v>
      </c>
    </row>
    <row r="29" spans="1:6" ht="15.75">
      <c r="A29" s="5" t="s">
        <v>19</v>
      </c>
      <c r="B29" s="57">
        <v>57418535.83</v>
      </c>
      <c r="C29" s="57">
        <v>61750973.35000001</v>
      </c>
      <c r="D29" s="58">
        <f t="shared" si="0"/>
        <v>1.0754536397937267</v>
      </c>
      <c r="E29" s="58">
        <f t="shared" si="1"/>
        <v>0.2891004084561728</v>
      </c>
      <c r="F29" s="58">
        <f t="shared" si="2"/>
        <v>0.2891004084561728</v>
      </c>
    </row>
    <row r="30" spans="1:6" ht="15.75">
      <c r="A30" s="5" t="s">
        <v>20</v>
      </c>
      <c r="B30" s="57">
        <v>68823437.78</v>
      </c>
      <c r="C30" s="57">
        <v>39852427.98</v>
      </c>
      <c r="D30" s="58">
        <f t="shared" si="0"/>
        <v>0.5790531433113192</v>
      </c>
      <c r="E30" s="58">
        <f t="shared" si="1"/>
        <v>0.11918149026080356</v>
      </c>
      <c r="F30" s="58">
        <f t="shared" si="2"/>
        <v>0.11918149026080356</v>
      </c>
    </row>
    <row r="31" spans="1:6" ht="15.75">
      <c r="A31" s="5" t="s">
        <v>21</v>
      </c>
      <c r="B31" s="57">
        <v>8326230.88</v>
      </c>
      <c r="C31" s="57">
        <v>11677321.78</v>
      </c>
      <c r="D31" s="58">
        <f t="shared" si="0"/>
        <v>1.402473934280333</v>
      </c>
      <c r="E31" s="58">
        <f t="shared" si="1"/>
        <v>0.4010401326523683</v>
      </c>
      <c r="F31" s="58">
        <f t="shared" si="2"/>
        <v>0.4010401326523683</v>
      </c>
    </row>
    <row r="32" spans="1:6" ht="15.75">
      <c r="A32" s="5" t="s">
        <v>22</v>
      </c>
      <c r="B32" s="57">
        <v>6114863.16</v>
      </c>
      <c r="C32" s="57">
        <v>8994812.620000001</v>
      </c>
      <c r="D32" s="58">
        <f t="shared" si="0"/>
        <v>1.4709752916204262</v>
      </c>
      <c r="E32" s="58">
        <f t="shared" si="1"/>
        <v>0.4244882891643463</v>
      </c>
      <c r="F32" s="58">
        <f t="shared" si="2"/>
        <v>0.4244882891643463</v>
      </c>
    </row>
    <row r="33" spans="1:6" ht="15.75">
      <c r="A33" s="5" t="s">
        <v>23</v>
      </c>
      <c r="B33" s="57">
        <v>22385648.01</v>
      </c>
      <c r="C33" s="57">
        <v>39858493.410000004</v>
      </c>
      <c r="D33" s="58">
        <f t="shared" si="0"/>
        <v>1.780537842469185</v>
      </c>
      <c r="E33" s="58">
        <f t="shared" si="1"/>
        <v>0.5304521915511446</v>
      </c>
      <c r="F33" s="58">
        <f t="shared" si="2"/>
        <v>0.5304521915511446</v>
      </c>
    </row>
    <row r="34" spans="1:6" ht="15.75">
      <c r="A34" s="5" t="s">
        <v>24</v>
      </c>
      <c r="B34" s="57">
        <v>74488155.58</v>
      </c>
      <c r="C34" s="57">
        <v>81267748.77000001</v>
      </c>
      <c r="D34" s="58">
        <f t="shared" si="0"/>
        <v>1.0910157210527083</v>
      </c>
      <c r="E34" s="58">
        <f t="shared" si="1"/>
        <v>0.29442734110658825</v>
      </c>
      <c r="F34" s="58">
        <f t="shared" si="2"/>
        <v>0.29442734110658825</v>
      </c>
    </row>
    <row r="35" spans="1:6" ht="15.75">
      <c r="A35" s="5" t="s">
        <v>25</v>
      </c>
      <c r="B35" s="57">
        <v>6132031.1</v>
      </c>
      <c r="C35" s="57">
        <v>5296665.68</v>
      </c>
      <c r="D35" s="58">
        <f t="shared" si="0"/>
        <v>0.863770191902647</v>
      </c>
      <c r="E35" s="58">
        <f t="shared" si="1"/>
        <v>0.21664072575963703</v>
      </c>
      <c r="F35" s="58">
        <f t="shared" si="2"/>
        <v>0.21664072575963703</v>
      </c>
    </row>
    <row r="36" spans="1:6" ht="15.75">
      <c r="A36" s="5" t="s">
        <v>26</v>
      </c>
      <c r="B36" s="57">
        <v>94990240.32000001</v>
      </c>
      <c r="C36" s="57">
        <v>113849568.80000001</v>
      </c>
      <c r="D36" s="58">
        <f t="shared" si="0"/>
        <v>1.198539643825169</v>
      </c>
      <c r="E36" s="58">
        <f t="shared" si="1"/>
        <v>0.33123300259783633</v>
      </c>
      <c r="F36" s="58">
        <f t="shared" si="2"/>
        <v>0.33123300259783633</v>
      </c>
    </row>
    <row r="37" spans="1:6" ht="15.75">
      <c r="A37" s="5" t="s">
        <v>27</v>
      </c>
      <c r="B37" s="57">
        <v>20605641.27</v>
      </c>
      <c r="C37" s="57">
        <v>36454781.989999995</v>
      </c>
      <c r="D37" s="58">
        <f t="shared" si="0"/>
        <v>1.7691651287298178</v>
      </c>
      <c r="E37" s="58">
        <f t="shared" si="1"/>
        <v>0.5265592880805952</v>
      </c>
      <c r="F37" s="58">
        <f t="shared" si="2"/>
        <v>0.5265592880805952</v>
      </c>
    </row>
    <row r="38" spans="1:6" ht="15.75">
      <c r="A38" s="5" t="s">
        <v>28</v>
      </c>
      <c r="B38" s="57">
        <v>42461235.33</v>
      </c>
      <c r="C38" s="57">
        <v>38142100.690000005</v>
      </c>
      <c r="D38" s="58">
        <f t="shared" si="0"/>
        <v>0.8982805232482625</v>
      </c>
      <c r="E38" s="58">
        <f t="shared" si="1"/>
        <v>0.22845368366432062</v>
      </c>
      <c r="F38" s="58">
        <f t="shared" si="2"/>
        <v>0.22845368366432062</v>
      </c>
    </row>
    <row r="39" spans="1:6" ht="15.75">
      <c r="A39" s="5" t="s">
        <v>29</v>
      </c>
      <c r="B39" s="57">
        <v>11001409.329999998</v>
      </c>
      <c r="C39" s="57">
        <v>18289911.8</v>
      </c>
      <c r="D39" s="58">
        <f t="shared" si="0"/>
        <v>1.6625062527329855</v>
      </c>
      <c r="E39" s="58">
        <f t="shared" si="1"/>
        <v>0.49004973389251205</v>
      </c>
      <c r="F39" s="58">
        <f t="shared" si="2"/>
        <v>0.49004973389251205</v>
      </c>
    </row>
    <row r="40" spans="1:6" ht="15.75">
      <c r="A40" s="5" t="s">
        <v>30</v>
      </c>
      <c r="B40" s="57">
        <v>63830110.779999994</v>
      </c>
      <c r="C40" s="57">
        <v>58035959.21</v>
      </c>
      <c r="D40" s="58">
        <f t="shared" si="0"/>
        <v>0.9092254188627308</v>
      </c>
      <c r="E40" s="58">
        <f t="shared" si="1"/>
        <v>0.23220014410453013</v>
      </c>
      <c r="F40" s="58">
        <f t="shared" si="2"/>
        <v>0.23220014410453013</v>
      </c>
    </row>
    <row r="41" spans="1:6" ht="15.75">
      <c r="A41" s="5" t="s">
        <v>31</v>
      </c>
      <c r="B41" s="57">
        <v>27832016.330000002</v>
      </c>
      <c r="C41" s="57">
        <v>23316367.55</v>
      </c>
      <c r="D41" s="58">
        <f t="shared" si="0"/>
        <v>0.8377534445776893</v>
      </c>
      <c r="E41" s="58">
        <f t="shared" si="1"/>
        <v>0.2077351392589278</v>
      </c>
      <c r="F41" s="58">
        <f t="shared" si="2"/>
        <v>0.2077351392589278</v>
      </c>
    </row>
    <row r="42" spans="1:6" ht="15.75">
      <c r="A42" s="5" t="s">
        <v>32</v>
      </c>
      <c r="B42" s="57">
        <v>44367535.05</v>
      </c>
      <c r="C42" s="57">
        <v>41421378.370000005</v>
      </c>
      <c r="D42" s="58">
        <f t="shared" si="0"/>
        <v>0.9335965661225079</v>
      </c>
      <c r="E42" s="58">
        <f t="shared" si="1"/>
        <v>0.24054243829421396</v>
      </c>
      <c r="F42" s="58">
        <f t="shared" si="2"/>
        <v>0.24054243829421396</v>
      </c>
    </row>
    <row r="43" spans="1:6" ht="15.75">
      <c r="A43" s="5" t="s">
        <v>33</v>
      </c>
      <c r="B43" s="57">
        <v>2642276.3400000003</v>
      </c>
      <c r="C43" s="57">
        <v>5723095.76</v>
      </c>
      <c r="D43" s="58">
        <f t="shared" si="0"/>
        <v>2.1659716939372053</v>
      </c>
      <c r="E43" s="58">
        <f t="shared" si="1"/>
        <v>0.6623869973005618</v>
      </c>
      <c r="F43" s="58">
        <f t="shared" si="2"/>
        <v>0.6623869973005618</v>
      </c>
    </row>
    <row r="44" spans="1:6" ht="15.75">
      <c r="A44" s="5" t="s">
        <v>34</v>
      </c>
      <c r="B44" s="57">
        <v>8524456.32</v>
      </c>
      <c r="C44" s="57">
        <v>26871414.06</v>
      </c>
      <c r="D44" s="58">
        <f t="shared" si="0"/>
        <v>3.152273066020004</v>
      </c>
      <c r="E44" s="58">
        <f t="shared" si="1"/>
        <v>1</v>
      </c>
      <c r="F44" s="58">
        <f t="shared" si="2"/>
        <v>1</v>
      </c>
    </row>
    <row r="45" spans="1:6" ht="15.75">
      <c r="A45" s="5" t="s">
        <v>35</v>
      </c>
      <c r="B45" s="57">
        <v>17945698.27</v>
      </c>
      <c r="C45" s="57">
        <v>21125095.91</v>
      </c>
      <c r="D45" s="58">
        <f t="shared" si="0"/>
        <v>1.1771676750697984</v>
      </c>
      <c r="E45" s="58">
        <f t="shared" si="1"/>
        <v>0.3239173334227421</v>
      </c>
      <c r="F45" s="58">
        <f t="shared" si="2"/>
        <v>0.3239173334227421</v>
      </c>
    </row>
    <row r="46" spans="1:6" ht="15.75">
      <c r="A46" s="5" t="s">
        <v>36</v>
      </c>
      <c r="B46" s="57">
        <v>32091428.98</v>
      </c>
      <c r="C46" s="57">
        <v>18489272.669999998</v>
      </c>
      <c r="D46" s="58">
        <f t="shared" si="0"/>
        <v>0.5761436388988123</v>
      </c>
      <c r="E46" s="58">
        <f t="shared" si="1"/>
        <v>0.11818556087362304</v>
      </c>
      <c r="F46" s="58">
        <f t="shared" si="2"/>
        <v>0.11818556087362304</v>
      </c>
    </row>
    <row r="47" spans="1:6" s="17" customFormat="1" ht="15.75">
      <c r="A47" s="14" t="s">
        <v>67</v>
      </c>
      <c r="B47" s="59">
        <f>SUM(B$10:B$46)</f>
        <v>2724493181.100001</v>
      </c>
      <c r="C47" s="59">
        <f>SUM(C$10:C$46)</f>
        <v>2915310079.0499997</v>
      </c>
      <c r="D47" s="60">
        <f>$C47/$B47</f>
        <v>1.0700375758962104</v>
      </c>
      <c r="E47" s="60"/>
      <c r="F47" s="60"/>
    </row>
    <row r="48" ht="15.75">
      <c r="A48" s="6" t="s">
        <v>184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conditionalFormatting sqref="F10:F46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 horizontalCentered="1"/>
  <pageMargins left="0.15748031496062992" right="0.15748031496062992" top="0.32" bottom="0.15748031496062992" header="0.15748031496062992" footer="0.1574803149606299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29.421875" style="0" customWidth="1"/>
    <col min="3" max="3" width="19.00390625" style="0" customWidth="1"/>
    <col min="4" max="4" width="34.28125" style="0" customWidth="1"/>
    <col min="5" max="6" width="9.00390625" style="0" bestFit="1" customWidth="1"/>
    <col min="7" max="7" width="19.28125" style="0" customWidth="1"/>
  </cols>
  <sheetData>
    <row r="1" spans="1:7" ht="37.5" customHeight="1">
      <c r="A1" s="112" t="s">
        <v>236</v>
      </c>
      <c r="B1" s="112"/>
      <c r="C1" s="112"/>
      <c r="D1" s="112"/>
      <c r="E1" s="112"/>
      <c r="F1" s="112"/>
      <c r="G1" s="112"/>
    </row>
    <row r="2" spans="1:7" ht="15.75">
      <c r="A2" s="39"/>
      <c r="B2" s="39"/>
      <c r="C2" s="39"/>
      <c r="D2" s="39"/>
      <c r="E2" s="39"/>
      <c r="F2" s="39"/>
      <c r="G2" s="39"/>
    </row>
    <row r="3" spans="1:7" ht="15.75">
      <c r="A3" s="10" t="s">
        <v>237</v>
      </c>
      <c r="B3" s="32">
        <v>1</v>
      </c>
      <c r="C3" s="30"/>
      <c r="D3" s="39"/>
      <c r="E3" s="39"/>
      <c r="F3" s="39"/>
      <c r="G3" s="39"/>
    </row>
    <row r="4" spans="1:7" ht="15.75">
      <c r="A4" s="11" t="s">
        <v>238</v>
      </c>
      <c r="B4" s="33">
        <v>0</v>
      </c>
      <c r="C4" s="31"/>
      <c r="D4" s="39"/>
      <c r="E4" s="39"/>
      <c r="F4" s="39"/>
      <c r="G4" s="39"/>
    </row>
    <row r="5" spans="1:7" ht="15.75">
      <c r="A5" s="12" t="s">
        <v>239</v>
      </c>
      <c r="B5" s="13" t="s">
        <v>42</v>
      </c>
      <c r="C5" s="24"/>
      <c r="D5" s="39"/>
      <c r="E5" s="39"/>
      <c r="F5" s="39"/>
      <c r="G5" s="39"/>
    </row>
    <row r="6" spans="1:7" ht="15.75">
      <c r="A6" s="39"/>
      <c r="B6" s="39"/>
      <c r="C6" s="39"/>
      <c r="D6" s="39"/>
      <c r="E6" s="39"/>
      <c r="F6" s="39"/>
      <c r="G6" s="39"/>
    </row>
    <row r="7" spans="1:7" ht="146.25" customHeight="1">
      <c r="A7" s="3" t="s">
        <v>38</v>
      </c>
      <c r="B7" s="3" t="s">
        <v>346</v>
      </c>
      <c r="C7" s="3" t="s">
        <v>347</v>
      </c>
      <c r="D7" s="3" t="s">
        <v>348</v>
      </c>
      <c r="E7" s="9" t="s">
        <v>240</v>
      </c>
      <c r="F7" s="9" t="s">
        <v>241</v>
      </c>
      <c r="G7" s="9" t="s">
        <v>242</v>
      </c>
    </row>
    <row r="8" spans="1:7" ht="15.75">
      <c r="A8" s="9">
        <v>1</v>
      </c>
      <c r="B8" s="9">
        <v>2</v>
      </c>
      <c r="C8" s="9">
        <v>3</v>
      </c>
      <c r="D8" s="9" t="s">
        <v>143</v>
      </c>
      <c r="E8" s="9">
        <v>5</v>
      </c>
      <c r="F8" s="9">
        <v>6</v>
      </c>
      <c r="G8" s="9">
        <v>7</v>
      </c>
    </row>
    <row r="9" spans="1:7" ht="15.75">
      <c r="A9" s="5" t="s">
        <v>0</v>
      </c>
      <c r="B9" s="45">
        <v>968803151.99</v>
      </c>
      <c r="C9" s="45">
        <v>1065927286.52</v>
      </c>
      <c r="D9" s="47">
        <f>IF(($B9-$C9)&gt;1000,$B9-$C9,0)</f>
        <v>0</v>
      </c>
      <c r="E9" s="48">
        <f>IF($D9&gt;0,1,0)</f>
        <v>0</v>
      </c>
      <c r="F9" s="48">
        <f>($E9-$B$4)/($B$3-$B$4)</f>
        <v>0</v>
      </c>
      <c r="G9" s="82">
        <f>$F9*$B$5</f>
        <v>0</v>
      </c>
    </row>
    <row r="10" spans="1:7" ht="15.75">
      <c r="A10" s="5" t="s">
        <v>1</v>
      </c>
      <c r="B10" s="45">
        <v>1006096017.61</v>
      </c>
      <c r="C10" s="45">
        <v>1018911954.5</v>
      </c>
      <c r="D10" s="47">
        <f aca="true" t="shared" si="0" ref="D10:D45">IF(($B10-$C10)&gt;1000,$B10-$C10,0)</f>
        <v>0</v>
      </c>
      <c r="E10" s="48">
        <f aca="true" t="shared" si="1" ref="E10:E45">IF($D10&gt;0,1,0)</f>
        <v>0</v>
      </c>
      <c r="F10" s="48">
        <f aca="true" t="shared" si="2" ref="F10:F45">($E10-$B$4)/($B$3-$B$4)</f>
        <v>0</v>
      </c>
      <c r="G10" s="82">
        <f aca="true" t="shared" si="3" ref="G10:G45">$F10*$B$5</f>
        <v>0</v>
      </c>
    </row>
    <row r="11" spans="1:7" ht="15.75">
      <c r="A11" s="5" t="s">
        <v>2</v>
      </c>
      <c r="B11" s="45">
        <v>351520216.87</v>
      </c>
      <c r="C11" s="45">
        <v>372908735.25</v>
      </c>
      <c r="D11" s="47">
        <f t="shared" si="0"/>
        <v>0</v>
      </c>
      <c r="E11" s="48">
        <f t="shared" si="1"/>
        <v>0</v>
      </c>
      <c r="F11" s="48">
        <f t="shared" si="2"/>
        <v>0</v>
      </c>
      <c r="G11" s="82">
        <f t="shared" si="3"/>
        <v>0</v>
      </c>
    </row>
    <row r="12" spans="1:7" ht="15.75">
      <c r="A12" s="5" t="s">
        <v>3</v>
      </c>
      <c r="B12" s="45">
        <v>195318000</v>
      </c>
      <c r="C12" s="45">
        <v>198906209.7</v>
      </c>
      <c r="D12" s="47">
        <f t="shared" si="0"/>
        <v>0</v>
      </c>
      <c r="E12" s="48">
        <f t="shared" si="1"/>
        <v>0</v>
      </c>
      <c r="F12" s="48">
        <f t="shared" si="2"/>
        <v>0</v>
      </c>
      <c r="G12" s="82">
        <f t="shared" si="3"/>
        <v>0</v>
      </c>
    </row>
    <row r="13" spans="1:7" ht="15.75">
      <c r="A13" s="5" t="s">
        <v>4</v>
      </c>
      <c r="B13" s="45">
        <v>94330870.55</v>
      </c>
      <c r="C13" s="45">
        <v>201068153.68</v>
      </c>
      <c r="D13" s="47">
        <f t="shared" si="0"/>
        <v>0</v>
      </c>
      <c r="E13" s="48">
        <f t="shared" si="1"/>
        <v>0</v>
      </c>
      <c r="F13" s="48">
        <f t="shared" si="2"/>
        <v>0</v>
      </c>
      <c r="G13" s="82">
        <f t="shared" si="3"/>
        <v>0</v>
      </c>
    </row>
    <row r="14" spans="1:7" ht="15.75">
      <c r="A14" s="5" t="s">
        <v>5</v>
      </c>
      <c r="B14" s="45">
        <v>77746170.27</v>
      </c>
      <c r="C14" s="45">
        <v>149668156.8</v>
      </c>
      <c r="D14" s="47">
        <f t="shared" si="0"/>
        <v>0</v>
      </c>
      <c r="E14" s="48">
        <f t="shared" si="1"/>
        <v>0</v>
      </c>
      <c r="F14" s="48">
        <f t="shared" si="2"/>
        <v>0</v>
      </c>
      <c r="G14" s="82">
        <f t="shared" si="3"/>
        <v>0</v>
      </c>
    </row>
    <row r="15" spans="1:7" ht="15.75">
      <c r="A15" s="5" t="s">
        <v>6</v>
      </c>
      <c r="B15" s="45">
        <v>52295169.35</v>
      </c>
      <c r="C15" s="45">
        <v>52802839.07</v>
      </c>
      <c r="D15" s="47">
        <f t="shared" si="0"/>
        <v>0</v>
      </c>
      <c r="E15" s="48">
        <f t="shared" si="1"/>
        <v>0</v>
      </c>
      <c r="F15" s="48">
        <f t="shared" si="2"/>
        <v>0</v>
      </c>
      <c r="G15" s="82">
        <f t="shared" si="3"/>
        <v>0</v>
      </c>
    </row>
    <row r="16" spans="1:7" ht="15.75">
      <c r="A16" s="5" t="s">
        <v>7</v>
      </c>
      <c r="B16" s="45">
        <v>40030995.73</v>
      </c>
      <c r="C16" s="45">
        <v>40030995.73</v>
      </c>
      <c r="D16" s="47">
        <f t="shared" si="0"/>
        <v>0</v>
      </c>
      <c r="E16" s="48">
        <f t="shared" si="1"/>
        <v>0</v>
      </c>
      <c r="F16" s="48">
        <f t="shared" si="2"/>
        <v>0</v>
      </c>
      <c r="G16" s="82">
        <f t="shared" si="3"/>
        <v>0</v>
      </c>
    </row>
    <row r="17" spans="1:7" ht="15.75">
      <c r="A17" s="5" t="s">
        <v>8</v>
      </c>
      <c r="B17" s="45">
        <v>76331342.51</v>
      </c>
      <c r="C17" s="45">
        <v>290076470.92</v>
      </c>
      <c r="D17" s="47">
        <f t="shared" si="0"/>
        <v>0</v>
      </c>
      <c r="E17" s="48">
        <f t="shared" si="1"/>
        <v>0</v>
      </c>
      <c r="F17" s="48">
        <f t="shared" si="2"/>
        <v>0</v>
      </c>
      <c r="G17" s="82">
        <f t="shared" si="3"/>
        <v>0</v>
      </c>
    </row>
    <row r="18" spans="1:7" ht="15.75">
      <c r="A18" s="5" t="s">
        <v>9</v>
      </c>
      <c r="B18" s="45">
        <v>8277569.66</v>
      </c>
      <c r="C18" s="45">
        <v>13790065.3</v>
      </c>
      <c r="D18" s="47">
        <f t="shared" si="0"/>
        <v>0</v>
      </c>
      <c r="E18" s="48">
        <f t="shared" si="1"/>
        <v>0</v>
      </c>
      <c r="F18" s="48">
        <f t="shared" si="2"/>
        <v>0</v>
      </c>
      <c r="G18" s="82">
        <f t="shared" si="3"/>
        <v>0</v>
      </c>
    </row>
    <row r="19" spans="1:7" ht="15.75">
      <c r="A19" s="5" t="s">
        <v>10</v>
      </c>
      <c r="B19" s="45">
        <v>42506892.26</v>
      </c>
      <c r="C19" s="45">
        <v>48198206.13</v>
      </c>
      <c r="D19" s="47">
        <f t="shared" si="0"/>
        <v>0</v>
      </c>
      <c r="E19" s="48">
        <f t="shared" si="1"/>
        <v>0</v>
      </c>
      <c r="F19" s="48">
        <f t="shared" si="2"/>
        <v>0</v>
      </c>
      <c r="G19" s="82">
        <f t="shared" si="3"/>
        <v>0</v>
      </c>
    </row>
    <row r="20" spans="1:7" ht="15.75">
      <c r="A20" s="5" t="s">
        <v>11</v>
      </c>
      <c r="B20" s="45">
        <v>53981006.46</v>
      </c>
      <c r="C20" s="45">
        <v>78264481.46</v>
      </c>
      <c r="D20" s="47">
        <f t="shared" si="0"/>
        <v>0</v>
      </c>
      <c r="E20" s="48">
        <f t="shared" si="1"/>
        <v>0</v>
      </c>
      <c r="F20" s="48">
        <f t="shared" si="2"/>
        <v>0</v>
      </c>
      <c r="G20" s="82">
        <f t="shared" si="3"/>
        <v>0</v>
      </c>
    </row>
    <row r="21" spans="1:7" ht="15.75">
      <c r="A21" s="5" t="s">
        <v>12</v>
      </c>
      <c r="B21" s="45">
        <v>11048729.82</v>
      </c>
      <c r="C21" s="45">
        <v>46491066.01</v>
      </c>
      <c r="D21" s="47">
        <f t="shared" si="0"/>
        <v>0</v>
      </c>
      <c r="E21" s="48">
        <f t="shared" si="1"/>
        <v>0</v>
      </c>
      <c r="F21" s="48">
        <f t="shared" si="2"/>
        <v>0</v>
      </c>
      <c r="G21" s="82">
        <f t="shared" si="3"/>
        <v>0</v>
      </c>
    </row>
    <row r="22" spans="1:7" ht="15.75">
      <c r="A22" s="5" t="s">
        <v>13</v>
      </c>
      <c r="B22" s="45">
        <v>42538688.08</v>
      </c>
      <c r="C22" s="45">
        <v>87355189.29</v>
      </c>
      <c r="D22" s="47">
        <f t="shared" si="0"/>
        <v>0</v>
      </c>
      <c r="E22" s="48">
        <f t="shared" si="1"/>
        <v>0</v>
      </c>
      <c r="F22" s="48">
        <f t="shared" si="2"/>
        <v>0</v>
      </c>
      <c r="G22" s="82">
        <f t="shared" si="3"/>
        <v>0</v>
      </c>
    </row>
    <row r="23" spans="1:7" ht="15.75">
      <c r="A23" s="5" t="s">
        <v>14</v>
      </c>
      <c r="B23" s="45">
        <v>14746269.23</v>
      </c>
      <c r="C23" s="45">
        <v>30903219.32</v>
      </c>
      <c r="D23" s="47">
        <f t="shared" si="0"/>
        <v>0</v>
      </c>
      <c r="E23" s="48">
        <f t="shared" si="1"/>
        <v>0</v>
      </c>
      <c r="F23" s="48">
        <f t="shared" si="2"/>
        <v>0</v>
      </c>
      <c r="G23" s="82">
        <f t="shared" si="3"/>
        <v>0</v>
      </c>
    </row>
    <row r="24" spans="1:7" ht="15.75">
      <c r="A24" s="5" t="s">
        <v>15</v>
      </c>
      <c r="B24" s="45">
        <v>23378275.06</v>
      </c>
      <c r="C24" s="45">
        <v>28907285.84</v>
      </c>
      <c r="D24" s="47">
        <f t="shared" si="0"/>
        <v>0</v>
      </c>
      <c r="E24" s="48">
        <f t="shared" si="1"/>
        <v>0</v>
      </c>
      <c r="F24" s="48">
        <f t="shared" si="2"/>
        <v>0</v>
      </c>
      <c r="G24" s="82">
        <f t="shared" si="3"/>
        <v>0</v>
      </c>
    </row>
    <row r="25" spans="1:7" ht="15.75">
      <c r="A25" s="5" t="s">
        <v>16</v>
      </c>
      <c r="B25" s="45">
        <v>24689970</v>
      </c>
      <c r="C25" s="45">
        <v>334982868.38</v>
      </c>
      <c r="D25" s="47">
        <f t="shared" si="0"/>
        <v>0</v>
      </c>
      <c r="E25" s="48">
        <f t="shared" si="1"/>
        <v>0</v>
      </c>
      <c r="F25" s="48">
        <f t="shared" si="2"/>
        <v>0</v>
      </c>
      <c r="G25" s="82">
        <f t="shared" si="3"/>
        <v>0</v>
      </c>
    </row>
    <row r="26" spans="1:7" ht="15.75">
      <c r="A26" s="5" t="s">
        <v>17</v>
      </c>
      <c r="B26" s="45">
        <v>5621035.31</v>
      </c>
      <c r="C26" s="45">
        <v>5621035.31</v>
      </c>
      <c r="D26" s="47">
        <f t="shared" si="0"/>
        <v>0</v>
      </c>
      <c r="E26" s="48">
        <f t="shared" si="1"/>
        <v>0</v>
      </c>
      <c r="F26" s="48">
        <f t="shared" si="2"/>
        <v>0</v>
      </c>
      <c r="G26" s="82">
        <f t="shared" si="3"/>
        <v>0</v>
      </c>
    </row>
    <row r="27" spans="1:7" ht="15.75">
      <c r="A27" s="5" t="s">
        <v>18</v>
      </c>
      <c r="B27" s="45">
        <v>17723974.18</v>
      </c>
      <c r="C27" s="45">
        <v>28847585.51</v>
      </c>
      <c r="D27" s="47">
        <f t="shared" si="0"/>
        <v>0</v>
      </c>
      <c r="E27" s="48">
        <f t="shared" si="1"/>
        <v>0</v>
      </c>
      <c r="F27" s="48">
        <f t="shared" si="2"/>
        <v>0</v>
      </c>
      <c r="G27" s="82">
        <f t="shared" si="3"/>
        <v>0</v>
      </c>
    </row>
    <row r="28" spans="1:7" ht="15.75">
      <c r="A28" s="5" t="s">
        <v>19</v>
      </c>
      <c r="B28" s="45">
        <v>68614691.91</v>
      </c>
      <c r="C28" s="45">
        <v>99072742.27</v>
      </c>
      <c r="D28" s="47">
        <f t="shared" si="0"/>
        <v>0</v>
      </c>
      <c r="E28" s="48">
        <f t="shared" si="1"/>
        <v>0</v>
      </c>
      <c r="F28" s="48">
        <f t="shared" si="2"/>
        <v>0</v>
      </c>
      <c r="G28" s="82">
        <f t="shared" si="3"/>
        <v>0</v>
      </c>
    </row>
    <row r="29" spans="1:7" ht="15.75">
      <c r="A29" s="5" t="s">
        <v>20</v>
      </c>
      <c r="B29" s="45">
        <v>144662881.37</v>
      </c>
      <c r="C29" s="45">
        <v>144662881.37</v>
      </c>
      <c r="D29" s="47">
        <f t="shared" si="0"/>
        <v>0</v>
      </c>
      <c r="E29" s="48">
        <f t="shared" si="1"/>
        <v>0</v>
      </c>
      <c r="F29" s="48">
        <f t="shared" si="2"/>
        <v>0</v>
      </c>
      <c r="G29" s="82">
        <f t="shared" si="3"/>
        <v>0</v>
      </c>
    </row>
    <row r="30" spans="1:7" ht="15.75">
      <c r="A30" s="5" t="s">
        <v>21</v>
      </c>
      <c r="B30" s="45">
        <v>26408407.91</v>
      </c>
      <c r="C30" s="45">
        <v>33408407.91</v>
      </c>
      <c r="D30" s="47">
        <f t="shared" si="0"/>
        <v>0</v>
      </c>
      <c r="E30" s="48">
        <f t="shared" si="1"/>
        <v>0</v>
      </c>
      <c r="F30" s="48">
        <f t="shared" si="2"/>
        <v>0</v>
      </c>
      <c r="G30" s="82">
        <f t="shared" si="3"/>
        <v>0</v>
      </c>
    </row>
    <row r="31" spans="1:7" ht="15.75">
      <c r="A31" s="5" t="s">
        <v>22</v>
      </c>
      <c r="B31" s="45">
        <v>23007877.09</v>
      </c>
      <c r="C31" s="45">
        <v>25151516.05</v>
      </c>
      <c r="D31" s="47">
        <f t="shared" si="0"/>
        <v>0</v>
      </c>
      <c r="E31" s="48">
        <f t="shared" si="1"/>
        <v>0</v>
      </c>
      <c r="F31" s="48">
        <f t="shared" si="2"/>
        <v>0</v>
      </c>
      <c r="G31" s="82">
        <f t="shared" si="3"/>
        <v>0</v>
      </c>
    </row>
    <row r="32" spans="1:7" ht="15.75">
      <c r="A32" s="5" t="s">
        <v>23</v>
      </c>
      <c r="B32" s="45">
        <v>37015508.75</v>
      </c>
      <c r="C32" s="45">
        <v>37265218.75</v>
      </c>
      <c r="D32" s="47">
        <f t="shared" si="0"/>
        <v>0</v>
      </c>
      <c r="E32" s="48">
        <f t="shared" si="1"/>
        <v>0</v>
      </c>
      <c r="F32" s="48">
        <f t="shared" si="2"/>
        <v>0</v>
      </c>
      <c r="G32" s="82">
        <f t="shared" si="3"/>
        <v>0</v>
      </c>
    </row>
    <row r="33" spans="1:7" ht="15.75">
      <c r="A33" s="5" t="s">
        <v>24</v>
      </c>
      <c r="B33" s="45">
        <v>88605389.3</v>
      </c>
      <c r="C33" s="45">
        <v>88612075.23</v>
      </c>
      <c r="D33" s="47">
        <f t="shared" si="0"/>
        <v>0</v>
      </c>
      <c r="E33" s="48">
        <f t="shared" si="1"/>
        <v>0</v>
      </c>
      <c r="F33" s="48">
        <f t="shared" si="2"/>
        <v>0</v>
      </c>
      <c r="G33" s="82">
        <f t="shared" si="3"/>
        <v>0</v>
      </c>
    </row>
    <row r="34" spans="1:7" ht="15.75">
      <c r="A34" s="5" t="s">
        <v>25</v>
      </c>
      <c r="B34" s="45">
        <v>16050650.99</v>
      </c>
      <c r="C34" s="45">
        <v>16445702.32</v>
      </c>
      <c r="D34" s="47">
        <f t="shared" si="0"/>
        <v>0</v>
      </c>
      <c r="E34" s="48">
        <f t="shared" si="1"/>
        <v>0</v>
      </c>
      <c r="F34" s="48">
        <f t="shared" si="2"/>
        <v>0</v>
      </c>
      <c r="G34" s="82">
        <f t="shared" si="3"/>
        <v>0</v>
      </c>
    </row>
    <row r="35" spans="1:7" ht="15.75">
      <c r="A35" s="5" t="s">
        <v>26</v>
      </c>
      <c r="B35" s="45">
        <v>46832501.7</v>
      </c>
      <c r="C35" s="45">
        <v>46928549.19</v>
      </c>
      <c r="D35" s="47">
        <f t="shared" si="0"/>
        <v>0</v>
      </c>
      <c r="E35" s="48">
        <f t="shared" si="1"/>
        <v>0</v>
      </c>
      <c r="F35" s="48">
        <f t="shared" si="2"/>
        <v>0</v>
      </c>
      <c r="G35" s="82">
        <f t="shared" si="3"/>
        <v>0</v>
      </c>
    </row>
    <row r="36" spans="1:7" ht="15.75">
      <c r="A36" s="5" t="s">
        <v>27</v>
      </c>
      <c r="B36" s="45">
        <v>22015721.98</v>
      </c>
      <c r="C36" s="45">
        <v>70489992.92</v>
      </c>
      <c r="D36" s="47">
        <f t="shared" si="0"/>
        <v>0</v>
      </c>
      <c r="E36" s="48">
        <f t="shared" si="1"/>
        <v>0</v>
      </c>
      <c r="F36" s="48">
        <f t="shared" si="2"/>
        <v>0</v>
      </c>
      <c r="G36" s="82">
        <f t="shared" si="3"/>
        <v>0</v>
      </c>
    </row>
    <row r="37" spans="1:7" ht="15.75">
      <c r="A37" s="5" t="s">
        <v>28</v>
      </c>
      <c r="B37" s="45">
        <v>40911882</v>
      </c>
      <c r="C37" s="45">
        <v>184261695.13</v>
      </c>
      <c r="D37" s="47">
        <f t="shared" si="0"/>
        <v>0</v>
      </c>
      <c r="E37" s="48">
        <f t="shared" si="1"/>
        <v>0</v>
      </c>
      <c r="F37" s="48">
        <f t="shared" si="2"/>
        <v>0</v>
      </c>
      <c r="G37" s="82">
        <f t="shared" si="3"/>
        <v>0</v>
      </c>
    </row>
    <row r="38" spans="1:7" ht="15.75">
      <c r="A38" s="5" t="s">
        <v>29</v>
      </c>
      <c r="B38" s="45">
        <v>10526610.33</v>
      </c>
      <c r="C38" s="45">
        <v>10526610.33</v>
      </c>
      <c r="D38" s="47">
        <f t="shared" si="0"/>
        <v>0</v>
      </c>
      <c r="E38" s="48">
        <f t="shared" si="1"/>
        <v>0</v>
      </c>
      <c r="F38" s="48">
        <f t="shared" si="2"/>
        <v>0</v>
      </c>
      <c r="G38" s="82">
        <f t="shared" si="3"/>
        <v>0</v>
      </c>
    </row>
    <row r="39" spans="1:7" ht="15.75">
      <c r="A39" s="5" t="s">
        <v>30</v>
      </c>
      <c r="B39" s="45">
        <v>65874184.66</v>
      </c>
      <c r="C39" s="45">
        <v>65886191.13</v>
      </c>
      <c r="D39" s="47">
        <f t="shared" si="0"/>
        <v>0</v>
      </c>
      <c r="E39" s="48">
        <f t="shared" si="1"/>
        <v>0</v>
      </c>
      <c r="F39" s="48">
        <f t="shared" si="2"/>
        <v>0</v>
      </c>
      <c r="G39" s="82">
        <f t="shared" si="3"/>
        <v>0</v>
      </c>
    </row>
    <row r="40" spans="1:7" ht="15.75">
      <c r="A40" s="5" t="s">
        <v>31</v>
      </c>
      <c r="B40" s="45">
        <v>124059729.43</v>
      </c>
      <c r="C40" s="45">
        <v>136700538.77</v>
      </c>
      <c r="D40" s="47">
        <f t="shared" si="0"/>
        <v>0</v>
      </c>
      <c r="E40" s="48">
        <f t="shared" si="1"/>
        <v>0</v>
      </c>
      <c r="F40" s="48">
        <f t="shared" si="2"/>
        <v>0</v>
      </c>
      <c r="G40" s="82">
        <f t="shared" si="3"/>
        <v>0</v>
      </c>
    </row>
    <row r="41" spans="1:7" ht="15.75">
      <c r="A41" s="5" t="s">
        <v>32</v>
      </c>
      <c r="B41" s="45">
        <v>11233519.66</v>
      </c>
      <c r="C41" s="45">
        <v>12051526.73</v>
      </c>
      <c r="D41" s="47">
        <f t="shared" si="0"/>
        <v>0</v>
      </c>
      <c r="E41" s="48">
        <f t="shared" si="1"/>
        <v>0</v>
      </c>
      <c r="F41" s="48">
        <f t="shared" si="2"/>
        <v>0</v>
      </c>
      <c r="G41" s="82">
        <f t="shared" si="3"/>
        <v>0</v>
      </c>
    </row>
    <row r="42" spans="1:7" ht="15.75">
      <c r="A42" s="5" t="s">
        <v>33</v>
      </c>
      <c r="B42" s="45">
        <v>13076899.46</v>
      </c>
      <c r="C42" s="45">
        <v>13365095.67</v>
      </c>
      <c r="D42" s="47">
        <f t="shared" si="0"/>
        <v>0</v>
      </c>
      <c r="E42" s="48">
        <f t="shared" si="1"/>
        <v>0</v>
      </c>
      <c r="F42" s="48">
        <f t="shared" si="2"/>
        <v>0</v>
      </c>
      <c r="G42" s="82">
        <f t="shared" si="3"/>
        <v>0</v>
      </c>
    </row>
    <row r="43" spans="1:7" ht="15.75">
      <c r="A43" s="5" t="s">
        <v>34</v>
      </c>
      <c r="B43" s="45">
        <v>10366095.71</v>
      </c>
      <c r="C43" s="45">
        <v>57030275.17</v>
      </c>
      <c r="D43" s="47">
        <f t="shared" si="0"/>
        <v>0</v>
      </c>
      <c r="E43" s="48">
        <f t="shared" si="1"/>
        <v>0</v>
      </c>
      <c r="F43" s="48">
        <f t="shared" si="2"/>
        <v>0</v>
      </c>
      <c r="G43" s="82">
        <f t="shared" si="3"/>
        <v>0</v>
      </c>
    </row>
    <row r="44" spans="1:7" ht="15.75">
      <c r="A44" s="5" t="s">
        <v>35</v>
      </c>
      <c r="B44" s="45">
        <v>2888000</v>
      </c>
      <c r="C44" s="45">
        <v>89643647.62</v>
      </c>
      <c r="D44" s="47">
        <f t="shared" si="0"/>
        <v>0</v>
      </c>
      <c r="E44" s="48">
        <f t="shared" si="1"/>
        <v>0</v>
      </c>
      <c r="F44" s="48">
        <f t="shared" si="2"/>
        <v>0</v>
      </c>
      <c r="G44" s="82">
        <f t="shared" si="3"/>
        <v>0</v>
      </c>
    </row>
    <row r="45" spans="1:7" ht="15.75">
      <c r="A45" s="5" t="s">
        <v>36</v>
      </c>
      <c r="B45" s="45">
        <v>53508403.55</v>
      </c>
      <c r="C45" s="45">
        <v>67956692.12</v>
      </c>
      <c r="D45" s="47">
        <f t="shared" si="0"/>
        <v>0</v>
      </c>
      <c r="E45" s="48">
        <f t="shared" si="1"/>
        <v>0</v>
      </c>
      <c r="F45" s="48">
        <f t="shared" si="2"/>
        <v>0</v>
      </c>
      <c r="G45" s="82">
        <f t="shared" si="3"/>
        <v>0</v>
      </c>
    </row>
    <row r="46" spans="1:7" ht="15.75">
      <c r="A46" s="14" t="s">
        <v>67</v>
      </c>
      <c r="B46" s="15">
        <f>SUM(B$9:B$45)</f>
        <v>3912643300.7399993</v>
      </c>
      <c r="C46" s="15">
        <f>SUM(C$9:C$45)</f>
        <v>5293121163.400001</v>
      </c>
      <c r="D46" s="49"/>
      <c r="E46" s="15"/>
      <c r="F46" s="16"/>
      <c r="G46" s="16"/>
    </row>
    <row r="47" spans="1:7" ht="15.75">
      <c r="A47" s="39"/>
      <c r="B47" s="39"/>
      <c r="C47" s="39"/>
      <c r="D47" s="39"/>
      <c r="E47" s="39"/>
      <c r="F47" s="39"/>
      <c r="G47" s="39"/>
    </row>
    <row r="48" spans="1:7" ht="15.75">
      <c r="A48" s="39"/>
      <c r="B48" s="39"/>
      <c r="C48" s="39"/>
      <c r="D48" s="39"/>
      <c r="E48" s="39"/>
      <c r="F48" s="39"/>
      <c r="G48" s="39"/>
    </row>
  </sheetData>
  <sheetProtection/>
  <mergeCells count="1">
    <mergeCell ref="A1:G1"/>
  </mergeCells>
  <conditionalFormatting sqref="G9:G45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19.00390625" style="0" customWidth="1"/>
    <col min="3" max="3" width="20.7109375" style="0" customWidth="1"/>
    <col min="4" max="4" width="17.28125" style="0" customWidth="1"/>
    <col min="5" max="5" width="14.7109375" style="0" customWidth="1"/>
    <col min="6" max="6" width="18.421875" style="0" customWidth="1"/>
    <col min="7" max="7" width="26.57421875" style="0" customWidth="1"/>
    <col min="8" max="8" width="11.140625" style="0" customWidth="1"/>
    <col min="9" max="9" width="21.8515625" style="0" bestFit="1" customWidth="1"/>
  </cols>
  <sheetData>
    <row r="1" spans="1:9" ht="21" customHeight="1">
      <c r="A1" s="112" t="s">
        <v>302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0" t="s">
        <v>303</v>
      </c>
      <c r="B3" s="26">
        <f>MAX($G$9:$G$45)</f>
        <v>730.6624551920263</v>
      </c>
      <c r="C3" s="79"/>
      <c r="D3" s="79"/>
      <c r="E3" s="30"/>
      <c r="F3" s="39"/>
      <c r="G3" s="39"/>
      <c r="H3" s="39"/>
      <c r="I3" s="39"/>
    </row>
    <row r="4" spans="1:9" ht="15.75">
      <c r="A4" s="11" t="s">
        <v>304</v>
      </c>
      <c r="B4" s="27">
        <f>MIN($G$9:$G$45)</f>
        <v>0</v>
      </c>
      <c r="C4" s="52"/>
      <c r="D4" s="52"/>
      <c r="E4" s="31"/>
      <c r="F4" s="39"/>
      <c r="G4" s="39"/>
      <c r="H4" s="39"/>
      <c r="I4" s="39"/>
    </row>
    <row r="5" spans="1:9" ht="15.75">
      <c r="A5" s="12" t="s">
        <v>305</v>
      </c>
      <c r="B5" s="13" t="s">
        <v>40</v>
      </c>
      <c r="C5" s="24"/>
      <c r="D5" s="24"/>
      <c r="E5" s="24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146.25" customHeight="1">
      <c r="A7" s="3" t="s">
        <v>38</v>
      </c>
      <c r="B7" s="3" t="s">
        <v>350</v>
      </c>
      <c r="C7" s="3" t="s">
        <v>351</v>
      </c>
      <c r="D7" s="3" t="s">
        <v>301</v>
      </c>
      <c r="E7" s="3" t="s">
        <v>337</v>
      </c>
      <c r="F7" s="3" t="s">
        <v>300</v>
      </c>
      <c r="G7" s="3" t="s">
        <v>308</v>
      </c>
      <c r="H7" s="9" t="s">
        <v>306</v>
      </c>
      <c r="I7" s="9" t="s">
        <v>307</v>
      </c>
    </row>
    <row r="8" spans="1:9" ht="15.75">
      <c r="A8" s="9">
        <v>1</v>
      </c>
      <c r="B8" s="9">
        <v>2</v>
      </c>
      <c r="C8" s="9">
        <v>3</v>
      </c>
      <c r="D8" s="9" t="s">
        <v>299</v>
      </c>
      <c r="E8" s="9">
        <v>5</v>
      </c>
      <c r="F8" s="9" t="s">
        <v>298</v>
      </c>
      <c r="G8" s="88" t="s">
        <v>297</v>
      </c>
      <c r="H8" s="9">
        <v>8</v>
      </c>
      <c r="I8" s="9">
        <v>9</v>
      </c>
    </row>
    <row r="9" spans="1:9" ht="15.75">
      <c r="A9" s="5" t="s">
        <v>0</v>
      </c>
      <c r="B9" s="45">
        <v>968803151.99</v>
      </c>
      <c r="C9" s="45">
        <v>353902300</v>
      </c>
      <c r="D9" s="45">
        <f>IF((B9-C9)&gt;0,B9-C9,0)</f>
        <v>614900851.99</v>
      </c>
      <c r="E9" s="84">
        <v>1163724</v>
      </c>
      <c r="F9" s="47">
        <f>D9/E9</f>
        <v>528.3906252599413</v>
      </c>
      <c r="G9" s="47">
        <f>IF(F9&gt;$F$46*3,F9-$F$46*3,0)</f>
        <v>0</v>
      </c>
      <c r="H9" s="34">
        <f>($G9-$B$4)/($B$3-$B$4)</f>
        <v>0</v>
      </c>
      <c r="I9" s="87">
        <f>$H9*$B$5</f>
        <v>0</v>
      </c>
    </row>
    <row r="10" spans="1:9" ht="15.75">
      <c r="A10" s="5" t="s">
        <v>1</v>
      </c>
      <c r="B10" s="45">
        <v>1006096017.61</v>
      </c>
      <c r="C10" s="45">
        <v>71360310</v>
      </c>
      <c r="D10" s="45">
        <f aca="true" t="shared" si="0" ref="D10:D45">IF((B10-C10)&gt;0,B10-C10,0)</f>
        <v>934735707.61</v>
      </c>
      <c r="E10" s="84">
        <v>674630</v>
      </c>
      <c r="F10" s="47">
        <f aca="true" t="shared" si="1" ref="F10:F45">D10/E10</f>
        <v>1385.5531292856826</v>
      </c>
      <c r="G10" s="47">
        <f aca="true" t="shared" si="2" ref="G10:G45">IF(F10&gt;$F$46*3,F10-$F$46*3,0)</f>
        <v>0</v>
      </c>
      <c r="H10" s="34">
        <f aca="true" t="shared" si="3" ref="H10:H45">($G10-$B$4)/($B$3-$B$4)</f>
        <v>0</v>
      </c>
      <c r="I10" s="87">
        <f aca="true" t="shared" si="4" ref="I10:I45">$H10*$B$5</f>
        <v>0</v>
      </c>
    </row>
    <row r="11" spans="1:9" ht="15.75">
      <c r="A11" s="5" t="s">
        <v>2</v>
      </c>
      <c r="B11" s="45">
        <v>351520216.87</v>
      </c>
      <c r="C11" s="45">
        <v>118893200</v>
      </c>
      <c r="D11" s="45">
        <f t="shared" si="0"/>
        <v>232627016.87</v>
      </c>
      <c r="E11" s="84">
        <v>164066</v>
      </c>
      <c r="F11" s="47">
        <f t="shared" si="1"/>
        <v>1417.8868069557373</v>
      </c>
      <c r="G11" s="47">
        <f t="shared" si="2"/>
        <v>0</v>
      </c>
      <c r="H11" s="34">
        <f t="shared" si="3"/>
        <v>0</v>
      </c>
      <c r="I11" s="87">
        <f t="shared" si="4"/>
        <v>0</v>
      </c>
    </row>
    <row r="12" spans="1:9" ht="15.75">
      <c r="A12" s="5" t="s">
        <v>3</v>
      </c>
      <c r="B12" s="45">
        <v>195318000</v>
      </c>
      <c r="C12" s="45">
        <v>4742000</v>
      </c>
      <c r="D12" s="45">
        <f t="shared" si="0"/>
        <v>190576000</v>
      </c>
      <c r="E12" s="84">
        <v>99247</v>
      </c>
      <c r="F12" s="47">
        <f t="shared" si="1"/>
        <v>1920.2192509597267</v>
      </c>
      <c r="G12" s="47">
        <f t="shared" si="2"/>
        <v>0</v>
      </c>
      <c r="H12" s="34">
        <f t="shared" si="3"/>
        <v>0</v>
      </c>
      <c r="I12" s="87">
        <f t="shared" si="4"/>
        <v>0</v>
      </c>
    </row>
    <row r="13" spans="1:9" ht="15.75">
      <c r="A13" s="5" t="s">
        <v>4</v>
      </c>
      <c r="B13" s="45">
        <v>94330870.55</v>
      </c>
      <c r="C13" s="45">
        <v>115847090</v>
      </c>
      <c r="D13" s="45">
        <f t="shared" si="0"/>
        <v>0</v>
      </c>
      <c r="E13" s="84">
        <v>69177</v>
      </c>
      <c r="F13" s="47">
        <f t="shared" si="1"/>
        <v>0</v>
      </c>
      <c r="G13" s="47">
        <f t="shared" si="2"/>
        <v>0</v>
      </c>
      <c r="H13" s="34">
        <f t="shared" si="3"/>
        <v>0</v>
      </c>
      <c r="I13" s="87">
        <f t="shared" si="4"/>
        <v>0</v>
      </c>
    </row>
    <row r="14" spans="1:9" ht="15.75">
      <c r="A14" s="5" t="s">
        <v>5</v>
      </c>
      <c r="B14" s="45">
        <v>77746170.27</v>
      </c>
      <c r="C14" s="45">
        <v>54480020.00000001</v>
      </c>
      <c r="D14" s="45">
        <f t="shared" si="0"/>
        <v>23266150.26999999</v>
      </c>
      <c r="E14" s="84">
        <v>46755</v>
      </c>
      <c r="F14" s="47">
        <f t="shared" si="1"/>
        <v>497.61844230563554</v>
      </c>
      <c r="G14" s="47">
        <f t="shared" si="2"/>
        <v>0</v>
      </c>
      <c r="H14" s="34">
        <f t="shared" si="3"/>
        <v>0</v>
      </c>
      <c r="I14" s="87">
        <f t="shared" si="4"/>
        <v>0</v>
      </c>
    </row>
    <row r="15" spans="1:9" ht="15.75">
      <c r="A15" s="5" t="s">
        <v>6</v>
      </c>
      <c r="B15" s="45">
        <v>52295169.35</v>
      </c>
      <c r="C15" s="45">
        <v>2100230</v>
      </c>
      <c r="D15" s="45">
        <f t="shared" si="0"/>
        <v>50194939.35</v>
      </c>
      <c r="E15" s="84">
        <v>52957</v>
      </c>
      <c r="F15" s="47">
        <f t="shared" si="1"/>
        <v>947.8433323262269</v>
      </c>
      <c r="G15" s="47">
        <f t="shared" si="2"/>
        <v>0</v>
      </c>
      <c r="H15" s="34">
        <f t="shared" si="3"/>
        <v>0</v>
      </c>
      <c r="I15" s="87">
        <f t="shared" si="4"/>
        <v>0</v>
      </c>
    </row>
    <row r="16" spans="1:9" ht="15.75">
      <c r="A16" s="5" t="s">
        <v>7</v>
      </c>
      <c r="B16" s="45">
        <v>40030995.73</v>
      </c>
      <c r="C16" s="45">
        <v>1567300</v>
      </c>
      <c r="D16" s="45">
        <f t="shared" si="0"/>
        <v>38463695.73</v>
      </c>
      <c r="E16" s="84">
        <v>20190</v>
      </c>
      <c r="F16" s="47">
        <f t="shared" si="1"/>
        <v>1905.0864650817234</v>
      </c>
      <c r="G16" s="47">
        <f t="shared" si="2"/>
        <v>0</v>
      </c>
      <c r="H16" s="34">
        <f t="shared" si="3"/>
        <v>0</v>
      </c>
      <c r="I16" s="87">
        <f t="shared" si="4"/>
        <v>0</v>
      </c>
    </row>
    <row r="17" spans="1:9" ht="15.75">
      <c r="A17" s="5" t="s">
        <v>8</v>
      </c>
      <c r="B17" s="45">
        <v>76331342.51</v>
      </c>
      <c r="C17" s="45">
        <v>219139750</v>
      </c>
      <c r="D17" s="45">
        <f t="shared" si="0"/>
        <v>0</v>
      </c>
      <c r="E17" s="84">
        <v>57729</v>
      </c>
      <c r="F17" s="47">
        <f t="shared" si="1"/>
        <v>0</v>
      </c>
      <c r="G17" s="47">
        <f t="shared" si="2"/>
        <v>0</v>
      </c>
      <c r="H17" s="34">
        <f t="shared" si="3"/>
        <v>0</v>
      </c>
      <c r="I17" s="87">
        <f t="shared" si="4"/>
        <v>0</v>
      </c>
    </row>
    <row r="18" spans="1:9" ht="15.75">
      <c r="A18" s="5" t="s">
        <v>9</v>
      </c>
      <c r="B18" s="45">
        <v>8277569.66</v>
      </c>
      <c r="C18" s="45">
        <v>1268970</v>
      </c>
      <c r="D18" s="45">
        <f t="shared" si="0"/>
        <v>7008599.66</v>
      </c>
      <c r="E18" s="84">
        <v>27913</v>
      </c>
      <c r="F18" s="47">
        <f t="shared" si="1"/>
        <v>251.0872948088704</v>
      </c>
      <c r="G18" s="47">
        <f t="shared" si="2"/>
        <v>0</v>
      </c>
      <c r="H18" s="34">
        <f t="shared" si="3"/>
        <v>0</v>
      </c>
      <c r="I18" s="87">
        <f t="shared" si="4"/>
        <v>0</v>
      </c>
    </row>
    <row r="19" spans="1:9" ht="15.75">
      <c r="A19" s="5" t="s">
        <v>10</v>
      </c>
      <c r="B19" s="45">
        <v>42506892.26</v>
      </c>
      <c r="C19" s="45">
        <v>3915200</v>
      </c>
      <c r="D19" s="45">
        <f t="shared" si="0"/>
        <v>38591692.26</v>
      </c>
      <c r="E19" s="84">
        <v>10649</v>
      </c>
      <c r="F19" s="47">
        <f t="shared" si="1"/>
        <v>3623.9733552446237</v>
      </c>
      <c r="G19" s="47">
        <f t="shared" si="2"/>
        <v>730.6624551920263</v>
      </c>
      <c r="H19" s="34">
        <f t="shared" si="3"/>
        <v>1</v>
      </c>
      <c r="I19" s="87">
        <f t="shared" si="4"/>
        <v>-1</v>
      </c>
    </row>
    <row r="20" spans="1:9" ht="15.75">
      <c r="A20" s="5" t="s">
        <v>11</v>
      </c>
      <c r="B20" s="45">
        <v>53981006.46</v>
      </c>
      <c r="C20" s="45">
        <v>324300</v>
      </c>
      <c r="D20" s="45">
        <f t="shared" si="0"/>
        <v>53656706.46</v>
      </c>
      <c r="E20" s="84">
        <v>36495</v>
      </c>
      <c r="F20" s="47">
        <f t="shared" si="1"/>
        <v>1470.248156185779</v>
      </c>
      <c r="G20" s="47">
        <f t="shared" si="2"/>
        <v>0</v>
      </c>
      <c r="H20" s="34">
        <f t="shared" si="3"/>
        <v>0</v>
      </c>
      <c r="I20" s="87">
        <f t="shared" si="4"/>
        <v>0</v>
      </c>
    </row>
    <row r="21" spans="1:9" ht="15.75">
      <c r="A21" s="5" t="s">
        <v>12</v>
      </c>
      <c r="B21" s="45">
        <v>11048729.82</v>
      </c>
      <c r="C21" s="45">
        <v>43920</v>
      </c>
      <c r="D21" s="45">
        <f t="shared" si="0"/>
        <v>11004809.82</v>
      </c>
      <c r="E21" s="84">
        <v>13077</v>
      </c>
      <c r="F21" s="47">
        <f t="shared" si="1"/>
        <v>841.5393301215876</v>
      </c>
      <c r="G21" s="47">
        <f t="shared" si="2"/>
        <v>0</v>
      </c>
      <c r="H21" s="34">
        <f t="shared" si="3"/>
        <v>0</v>
      </c>
      <c r="I21" s="87">
        <f t="shared" si="4"/>
        <v>0</v>
      </c>
    </row>
    <row r="22" spans="1:9" ht="15.75">
      <c r="A22" s="5" t="s">
        <v>13</v>
      </c>
      <c r="B22" s="45">
        <v>42538688.08</v>
      </c>
      <c r="C22" s="45">
        <v>25470190</v>
      </c>
      <c r="D22" s="45">
        <f t="shared" si="0"/>
        <v>17068498.08</v>
      </c>
      <c r="E22" s="84">
        <v>18041</v>
      </c>
      <c r="F22" s="47">
        <f t="shared" si="1"/>
        <v>946.0948993958206</v>
      </c>
      <c r="G22" s="47">
        <f t="shared" si="2"/>
        <v>0</v>
      </c>
      <c r="H22" s="34">
        <f t="shared" si="3"/>
        <v>0</v>
      </c>
      <c r="I22" s="87">
        <f t="shared" si="4"/>
        <v>0</v>
      </c>
    </row>
    <row r="23" spans="1:9" ht="15.75">
      <c r="A23" s="5" t="s">
        <v>14</v>
      </c>
      <c r="B23" s="45">
        <v>14746269.23</v>
      </c>
      <c r="C23" s="45">
        <v>1061750</v>
      </c>
      <c r="D23" s="45">
        <f t="shared" si="0"/>
        <v>13684519.23</v>
      </c>
      <c r="E23" s="84">
        <v>17336</v>
      </c>
      <c r="F23" s="47">
        <f t="shared" si="1"/>
        <v>789.3700524919243</v>
      </c>
      <c r="G23" s="47">
        <f t="shared" si="2"/>
        <v>0</v>
      </c>
      <c r="H23" s="34">
        <f t="shared" si="3"/>
        <v>0</v>
      </c>
      <c r="I23" s="87">
        <f t="shared" si="4"/>
        <v>0</v>
      </c>
    </row>
    <row r="24" spans="1:9" ht="15.75">
      <c r="A24" s="5" t="s">
        <v>15</v>
      </c>
      <c r="B24" s="45">
        <v>23378275.06</v>
      </c>
      <c r="C24" s="45">
        <v>625400</v>
      </c>
      <c r="D24" s="45">
        <f t="shared" si="0"/>
        <v>22752875.06</v>
      </c>
      <c r="E24" s="84">
        <v>22484</v>
      </c>
      <c r="F24" s="47">
        <f t="shared" si="1"/>
        <v>1011.9585064935064</v>
      </c>
      <c r="G24" s="47">
        <f t="shared" si="2"/>
        <v>0</v>
      </c>
      <c r="H24" s="34">
        <f t="shared" si="3"/>
        <v>0</v>
      </c>
      <c r="I24" s="87">
        <f t="shared" si="4"/>
        <v>0</v>
      </c>
    </row>
    <row r="25" spans="1:9" ht="15.75">
      <c r="A25" s="5" t="s">
        <v>16</v>
      </c>
      <c r="B25" s="45">
        <v>24689970</v>
      </c>
      <c r="C25" s="45">
        <v>87199720</v>
      </c>
      <c r="D25" s="45">
        <f t="shared" si="0"/>
        <v>0</v>
      </c>
      <c r="E25" s="84">
        <v>127070</v>
      </c>
      <c r="F25" s="47">
        <f t="shared" si="1"/>
        <v>0</v>
      </c>
      <c r="G25" s="47">
        <f t="shared" si="2"/>
        <v>0</v>
      </c>
      <c r="H25" s="34">
        <f t="shared" si="3"/>
        <v>0</v>
      </c>
      <c r="I25" s="87">
        <f t="shared" si="4"/>
        <v>0</v>
      </c>
    </row>
    <row r="26" spans="1:9" ht="15.75">
      <c r="A26" s="5" t="s">
        <v>17</v>
      </c>
      <c r="B26" s="45">
        <v>5621035.31</v>
      </c>
      <c r="C26" s="45">
        <v>0</v>
      </c>
      <c r="D26" s="45">
        <f t="shared" si="0"/>
        <v>5621035.31</v>
      </c>
      <c r="E26" s="84">
        <v>9309</v>
      </c>
      <c r="F26" s="47">
        <f t="shared" si="1"/>
        <v>603.8280491996992</v>
      </c>
      <c r="G26" s="47">
        <f t="shared" si="2"/>
        <v>0</v>
      </c>
      <c r="H26" s="34">
        <f t="shared" si="3"/>
        <v>0</v>
      </c>
      <c r="I26" s="87">
        <f t="shared" si="4"/>
        <v>0</v>
      </c>
    </row>
    <row r="27" spans="1:9" ht="15.75">
      <c r="A27" s="5" t="s">
        <v>18</v>
      </c>
      <c r="B27" s="45">
        <v>17723974.18</v>
      </c>
      <c r="C27" s="45">
        <v>0</v>
      </c>
      <c r="D27" s="45">
        <f t="shared" si="0"/>
        <v>17723974.18</v>
      </c>
      <c r="E27" s="84">
        <v>12390</v>
      </c>
      <c r="F27" s="47">
        <f t="shared" si="1"/>
        <v>1430.506390637611</v>
      </c>
      <c r="G27" s="47">
        <f t="shared" si="2"/>
        <v>0</v>
      </c>
      <c r="H27" s="34">
        <f t="shared" si="3"/>
        <v>0</v>
      </c>
      <c r="I27" s="87">
        <f t="shared" si="4"/>
        <v>0</v>
      </c>
    </row>
    <row r="28" spans="1:9" ht="15.75">
      <c r="A28" s="5" t="s">
        <v>19</v>
      </c>
      <c r="B28" s="45">
        <v>68614691.91</v>
      </c>
      <c r="C28" s="45">
        <v>251100</v>
      </c>
      <c r="D28" s="45">
        <f t="shared" si="0"/>
        <v>68363591.91</v>
      </c>
      <c r="E28" s="84">
        <v>30535</v>
      </c>
      <c r="F28" s="47">
        <f t="shared" si="1"/>
        <v>2238.8600592762405</v>
      </c>
      <c r="G28" s="47">
        <f t="shared" si="2"/>
        <v>0</v>
      </c>
      <c r="H28" s="34">
        <f t="shared" si="3"/>
        <v>0</v>
      </c>
      <c r="I28" s="87">
        <f t="shared" si="4"/>
        <v>0</v>
      </c>
    </row>
    <row r="29" spans="1:9" ht="15.75">
      <c r="A29" s="5" t="s">
        <v>20</v>
      </c>
      <c r="B29" s="45">
        <v>144662881.37</v>
      </c>
      <c r="C29" s="45">
        <v>8970</v>
      </c>
      <c r="D29" s="45">
        <f t="shared" si="0"/>
        <v>144653911.37</v>
      </c>
      <c r="E29" s="84">
        <v>41008</v>
      </c>
      <c r="F29" s="47">
        <f t="shared" si="1"/>
        <v>3527.455895678892</v>
      </c>
      <c r="G29" s="47">
        <f t="shared" si="2"/>
        <v>634.1449956262945</v>
      </c>
      <c r="H29" s="34">
        <f t="shared" si="3"/>
        <v>0.8679041753413128</v>
      </c>
      <c r="I29" s="87">
        <f t="shared" si="4"/>
        <v>-0.8679041753413128</v>
      </c>
    </row>
    <row r="30" spans="1:9" ht="15.75">
      <c r="A30" s="5" t="s">
        <v>21</v>
      </c>
      <c r="B30" s="45">
        <v>26408407.91</v>
      </c>
      <c r="C30" s="45">
        <v>85030490</v>
      </c>
      <c r="D30" s="45">
        <f t="shared" si="0"/>
        <v>0</v>
      </c>
      <c r="E30" s="84">
        <v>14206</v>
      </c>
      <c r="F30" s="47">
        <f t="shared" si="1"/>
        <v>0</v>
      </c>
      <c r="G30" s="47">
        <f t="shared" si="2"/>
        <v>0</v>
      </c>
      <c r="H30" s="34">
        <f t="shared" si="3"/>
        <v>0</v>
      </c>
      <c r="I30" s="87">
        <f t="shared" si="4"/>
        <v>0</v>
      </c>
    </row>
    <row r="31" spans="1:9" ht="15.75">
      <c r="A31" s="5" t="s">
        <v>22</v>
      </c>
      <c r="B31" s="45">
        <v>23007877.09</v>
      </c>
      <c r="C31" s="45">
        <v>42739.99999999999</v>
      </c>
      <c r="D31" s="45">
        <f t="shared" si="0"/>
        <v>22965137.09</v>
      </c>
      <c r="E31" s="84">
        <v>21056</v>
      </c>
      <c r="F31" s="47">
        <f t="shared" si="1"/>
        <v>1090.6695046542552</v>
      </c>
      <c r="G31" s="47">
        <f t="shared" si="2"/>
        <v>0</v>
      </c>
      <c r="H31" s="34">
        <f t="shared" si="3"/>
        <v>0</v>
      </c>
      <c r="I31" s="87">
        <f t="shared" si="4"/>
        <v>0</v>
      </c>
    </row>
    <row r="32" spans="1:9" ht="15.75">
      <c r="A32" s="5" t="s">
        <v>23</v>
      </c>
      <c r="B32" s="45">
        <v>37015508.75</v>
      </c>
      <c r="C32" s="45">
        <v>8998600</v>
      </c>
      <c r="D32" s="45">
        <f t="shared" si="0"/>
        <v>28016908.75</v>
      </c>
      <c r="E32" s="84">
        <v>16013</v>
      </c>
      <c r="F32" s="47">
        <f t="shared" si="1"/>
        <v>1749.6352182601636</v>
      </c>
      <c r="G32" s="47">
        <f t="shared" si="2"/>
        <v>0</v>
      </c>
      <c r="H32" s="34">
        <f t="shared" si="3"/>
        <v>0</v>
      </c>
      <c r="I32" s="87">
        <f t="shared" si="4"/>
        <v>0</v>
      </c>
    </row>
    <row r="33" spans="1:9" ht="15.75">
      <c r="A33" s="5" t="s">
        <v>24</v>
      </c>
      <c r="B33" s="45">
        <v>88605389.3</v>
      </c>
      <c r="C33" s="45">
        <v>1038920.0000000001</v>
      </c>
      <c r="D33" s="45">
        <f t="shared" si="0"/>
        <v>87566469.3</v>
      </c>
      <c r="E33" s="84">
        <v>56520</v>
      </c>
      <c r="F33" s="47">
        <f t="shared" si="1"/>
        <v>1549.3005891719745</v>
      </c>
      <c r="G33" s="47">
        <f t="shared" si="2"/>
        <v>0</v>
      </c>
      <c r="H33" s="34">
        <f t="shared" si="3"/>
        <v>0</v>
      </c>
      <c r="I33" s="87">
        <f t="shared" si="4"/>
        <v>0</v>
      </c>
    </row>
    <row r="34" spans="1:9" ht="15.75">
      <c r="A34" s="5" t="s">
        <v>25</v>
      </c>
      <c r="B34" s="45">
        <v>16050650.99</v>
      </c>
      <c r="C34" s="45">
        <v>360310</v>
      </c>
      <c r="D34" s="45">
        <f t="shared" si="0"/>
        <v>15690340.99</v>
      </c>
      <c r="E34" s="84">
        <v>10541</v>
      </c>
      <c r="F34" s="47">
        <f t="shared" si="1"/>
        <v>1488.5059282800494</v>
      </c>
      <c r="G34" s="47">
        <f t="shared" si="2"/>
        <v>0</v>
      </c>
      <c r="H34" s="34">
        <f t="shared" si="3"/>
        <v>0</v>
      </c>
      <c r="I34" s="87">
        <f t="shared" si="4"/>
        <v>0</v>
      </c>
    </row>
    <row r="35" spans="1:9" ht="15.75">
      <c r="A35" s="5" t="s">
        <v>26</v>
      </c>
      <c r="B35" s="45">
        <v>46832501.7</v>
      </c>
      <c r="C35" s="45">
        <v>3905550</v>
      </c>
      <c r="D35" s="45">
        <f t="shared" si="0"/>
        <v>42926951.7</v>
      </c>
      <c r="E35" s="84">
        <v>32051</v>
      </c>
      <c r="F35" s="47">
        <f t="shared" si="1"/>
        <v>1339.3326791675768</v>
      </c>
      <c r="G35" s="47">
        <f t="shared" si="2"/>
        <v>0</v>
      </c>
      <c r="H35" s="34">
        <f t="shared" si="3"/>
        <v>0</v>
      </c>
      <c r="I35" s="87">
        <f t="shared" si="4"/>
        <v>0</v>
      </c>
    </row>
    <row r="36" spans="1:9" ht="15.75">
      <c r="A36" s="5" t="s">
        <v>27</v>
      </c>
      <c r="B36" s="45">
        <v>22015721.98</v>
      </c>
      <c r="C36" s="45">
        <v>0</v>
      </c>
      <c r="D36" s="45">
        <f t="shared" si="0"/>
        <v>22015721.98</v>
      </c>
      <c r="E36" s="84">
        <v>14590</v>
      </c>
      <c r="F36" s="47">
        <f t="shared" si="1"/>
        <v>1508.959697052776</v>
      </c>
      <c r="G36" s="47">
        <f t="shared" si="2"/>
        <v>0</v>
      </c>
      <c r="H36" s="34">
        <f t="shared" si="3"/>
        <v>0</v>
      </c>
      <c r="I36" s="87">
        <f t="shared" si="4"/>
        <v>0</v>
      </c>
    </row>
    <row r="37" spans="1:9" ht="15.75">
      <c r="A37" s="5" t="s">
        <v>28</v>
      </c>
      <c r="B37" s="45">
        <v>40911882</v>
      </c>
      <c r="C37" s="45">
        <v>0</v>
      </c>
      <c r="D37" s="45">
        <f t="shared" si="0"/>
        <v>40911882</v>
      </c>
      <c r="E37" s="84">
        <v>25962</v>
      </c>
      <c r="F37" s="47">
        <f t="shared" si="1"/>
        <v>1575.8370695632077</v>
      </c>
      <c r="G37" s="47">
        <f t="shared" si="2"/>
        <v>0</v>
      </c>
      <c r="H37" s="34">
        <f t="shared" si="3"/>
        <v>0</v>
      </c>
      <c r="I37" s="87">
        <f t="shared" si="4"/>
        <v>0</v>
      </c>
    </row>
    <row r="38" spans="1:9" ht="15.75">
      <c r="A38" s="5" t="s">
        <v>29</v>
      </c>
      <c r="B38" s="45">
        <v>10526610.33</v>
      </c>
      <c r="C38" s="45">
        <v>0</v>
      </c>
      <c r="D38" s="45">
        <f t="shared" si="0"/>
        <v>10526610.33</v>
      </c>
      <c r="E38" s="84">
        <v>21741</v>
      </c>
      <c r="F38" s="47">
        <f t="shared" si="1"/>
        <v>484.1824354905478</v>
      </c>
      <c r="G38" s="47">
        <f t="shared" si="2"/>
        <v>0</v>
      </c>
      <c r="H38" s="34">
        <f t="shared" si="3"/>
        <v>0</v>
      </c>
      <c r="I38" s="87">
        <f t="shared" si="4"/>
        <v>0</v>
      </c>
    </row>
    <row r="39" spans="1:9" ht="15.75">
      <c r="A39" s="5" t="s">
        <v>30</v>
      </c>
      <c r="B39" s="45">
        <v>65874184.66</v>
      </c>
      <c r="C39" s="45">
        <v>1512170</v>
      </c>
      <c r="D39" s="45">
        <f t="shared" si="0"/>
        <v>64362014.66</v>
      </c>
      <c r="E39" s="84">
        <v>44027</v>
      </c>
      <c r="F39" s="47">
        <f t="shared" si="1"/>
        <v>1461.8760001817066</v>
      </c>
      <c r="G39" s="47">
        <f t="shared" si="2"/>
        <v>0</v>
      </c>
      <c r="H39" s="34">
        <f t="shared" si="3"/>
        <v>0</v>
      </c>
      <c r="I39" s="87">
        <f t="shared" si="4"/>
        <v>0</v>
      </c>
    </row>
    <row r="40" spans="1:9" ht="15.75">
      <c r="A40" s="5" t="s">
        <v>31</v>
      </c>
      <c r="B40" s="45">
        <v>124059729.43</v>
      </c>
      <c r="C40" s="45">
        <v>950730</v>
      </c>
      <c r="D40" s="45">
        <f t="shared" si="0"/>
        <v>123108999.43</v>
      </c>
      <c r="E40" s="84">
        <v>84781</v>
      </c>
      <c r="F40" s="47">
        <f t="shared" si="1"/>
        <v>1452.0824174048432</v>
      </c>
      <c r="G40" s="47">
        <f t="shared" si="2"/>
        <v>0</v>
      </c>
      <c r="H40" s="34">
        <f t="shared" si="3"/>
        <v>0</v>
      </c>
      <c r="I40" s="87">
        <f t="shared" si="4"/>
        <v>0</v>
      </c>
    </row>
    <row r="41" spans="1:9" ht="15.75">
      <c r="A41" s="5" t="s">
        <v>32</v>
      </c>
      <c r="B41" s="45">
        <v>11233519.66</v>
      </c>
      <c r="C41" s="45">
        <v>123280</v>
      </c>
      <c r="D41" s="45">
        <f t="shared" si="0"/>
        <v>11110239.66</v>
      </c>
      <c r="E41" s="84">
        <v>23643</v>
      </c>
      <c r="F41" s="47">
        <f t="shared" si="1"/>
        <v>469.9166628600432</v>
      </c>
      <c r="G41" s="47">
        <f t="shared" si="2"/>
        <v>0</v>
      </c>
      <c r="H41" s="34">
        <f t="shared" si="3"/>
        <v>0</v>
      </c>
      <c r="I41" s="87">
        <f t="shared" si="4"/>
        <v>0</v>
      </c>
    </row>
    <row r="42" spans="1:9" ht="15.75">
      <c r="A42" s="5" t="s">
        <v>33</v>
      </c>
      <c r="B42" s="45">
        <v>13076899.46</v>
      </c>
      <c r="C42" s="45">
        <v>179500</v>
      </c>
      <c r="D42" s="45">
        <f t="shared" si="0"/>
        <v>12897399.46</v>
      </c>
      <c r="E42" s="84">
        <v>15910</v>
      </c>
      <c r="F42" s="47">
        <f t="shared" si="1"/>
        <v>810.6473576367065</v>
      </c>
      <c r="G42" s="47">
        <f t="shared" si="2"/>
        <v>0</v>
      </c>
      <c r="H42" s="34">
        <f t="shared" si="3"/>
        <v>0</v>
      </c>
      <c r="I42" s="87">
        <f t="shared" si="4"/>
        <v>0</v>
      </c>
    </row>
    <row r="43" spans="1:9" ht="15.75">
      <c r="A43" s="5" t="s">
        <v>34</v>
      </c>
      <c r="B43" s="45">
        <v>10366095.71</v>
      </c>
      <c r="C43" s="45">
        <v>219570</v>
      </c>
      <c r="D43" s="45">
        <f t="shared" si="0"/>
        <v>10146525.71</v>
      </c>
      <c r="E43" s="84">
        <v>14672</v>
      </c>
      <c r="F43" s="47">
        <f t="shared" si="1"/>
        <v>691.5570958287896</v>
      </c>
      <c r="G43" s="47">
        <f t="shared" si="2"/>
        <v>0</v>
      </c>
      <c r="H43" s="34">
        <f t="shared" si="3"/>
        <v>0</v>
      </c>
      <c r="I43" s="87">
        <f t="shared" si="4"/>
        <v>0</v>
      </c>
    </row>
    <row r="44" spans="1:9" ht="15.75">
      <c r="A44" s="5" t="s">
        <v>35</v>
      </c>
      <c r="B44" s="45">
        <v>2888000</v>
      </c>
      <c r="C44" s="45">
        <v>2446040</v>
      </c>
      <c r="D44" s="45">
        <f t="shared" si="0"/>
        <v>441960</v>
      </c>
      <c r="E44" s="84">
        <v>12745</v>
      </c>
      <c r="F44" s="47">
        <f t="shared" si="1"/>
        <v>34.677128285602194</v>
      </c>
      <c r="G44" s="47">
        <f t="shared" si="2"/>
        <v>0</v>
      </c>
      <c r="H44" s="34">
        <f t="shared" si="3"/>
        <v>0</v>
      </c>
      <c r="I44" s="87">
        <f t="shared" si="4"/>
        <v>0</v>
      </c>
    </row>
    <row r="45" spans="1:9" ht="15.75">
      <c r="A45" s="5" t="s">
        <v>36</v>
      </c>
      <c r="B45" s="45">
        <v>53508403.55</v>
      </c>
      <c r="C45" s="45">
        <v>170480</v>
      </c>
      <c r="D45" s="45">
        <f t="shared" si="0"/>
        <v>53337923.55</v>
      </c>
      <c r="E45" s="84">
        <v>19443</v>
      </c>
      <c r="F45" s="47">
        <f t="shared" si="1"/>
        <v>2743.2969989199196</v>
      </c>
      <c r="G45" s="47">
        <f t="shared" si="2"/>
        <v>0</v>
      </c>
      <c r="H45" s="34">
        <f t="shared" si="3"/>
        <v>0</v>
      </c>
      <c r="I45" s="87">
        <f t="shared" si="4"/>
        <v>0</v>
      </c>
    </row>
    <row r="46" spans="1:9" ht="15.75">
      <c r="A46" s="14" t="s">
        <v>67</v>
      </c>
      <c r="B46" s="15">
        <f>SUM(B$9:B$45)</f>
        <v>3912643300.7399993</v>
      </c>
      <c r="C46" s="15">
        <f>SUM(C$9:C$45)</f>
        <v>1167180100</v>
      </c>
      <c r="D46" s="15">
        <f>SUM(D$9:D$45)</f>
        <v>3030919659.769999</v>
      </c>
      <c r="E46" s="86">
        <f>SUM(E$9:E$45)</f>
        <v>3142683</v>
      </c>
      <c r="F46" s="49">
        <f>D46/E46</f>
        <v>964.4369666841991</v>
      </c>
      <c r="G46" s="15"/>
      <c r="H46" s="16"/>
      <c r="I46" s="16"/>
    </row>
    <row r="47" spans="1:9" ht="15.7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5.75">
      <c r="A48" s="39"/>
      <c r="B48" s="39"/>
      <c r="C48" s="39"/>
      <c r="D48" s="39"/>
      <c r="E48" s="39"/>
      <c r="F48" s="39"/>
      <c r="G48" s="39"/>
      <c r="H48" s="39"/>
      <c r="I48" s="39"/>
    </row>
  </sheetData>
  <sheetProtection/>
  <mergeCells count="1">
    <mergeCell ref="A1:I1"/>
  </mergeCells>
  <conditionalFormatting sqref="I9:I45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110" t="s">
        <v>296</v>
      </c>
      <c r="B1" s="114"/>
      <c r="C1" s="114"/>
      <c r="D1" s="114"/>
      <c r="E1" s="114"/>
    </row>
    <row r="3" spans="1:2" ht="15.75">
      <c r="A3" s="10" t="s">
        <v>126</v>
      </c>
      <c r="B3" s="10">
        <v>1</v>
      </c>
    </row>
    <row r="4" spans="1:2" ht="15.75">
      <c r="A4" s="11" t="s">
        <v>127</v>
      </c>
      <c r="B4" s="11">
        <v>0</v>
      </c>
    </row>
    <row r="5" spans="1:2" ht="15.75">
      <c r="A5" s="12" t="s">
        <v>128</v>
      </c>
      <c r="B5" s="13" t="s">
        <v>99</v>
      </c>
    </row>
    <row r="7" spans="1:5" s="8" customFormat="1" ht="99" customHeight="1">
      <c r="A7" s="3" t="s">
        <v>38</v>
      </c>
      <c r="B7" s="3" t="s">
        <v>352</v>
      </c>
      <c r="C7" s="9" t="s">
        <v>129</v>
      </c>
      <c r="D7" s="9" t="s">
        <v>130</v>
      </c>
      <c r="E7" s="9" t="s">
        <v>131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62" t="s">
        <v>37</v>
      </c>
      <c r="C9" s="19">
        <f>IF($B9="+",1,0)</f>
        <v>1</v>
      </c>
      <c r="D9" s="19">
        <f>($C9-$B$4)/($B$3-$B$4)</f>
        <v>1</v>
      </c>
      <c r="E9" s="19">
        <f>$D9*$B$5</f>
        <v>1</v>
      </c>
    </row>
    <row r="10" spans="1:5" ht="15.75">
      <c r="A10" s="5" t="s">
        <v>1</v>
      </c>
      <c r="B10" s="63" t="s">
        <v>37</v>
      </c>
      <c r="C10" s="19">
        <f aca="true" t="shared" si="0" ref="C10:C45">IF($B10="+",1,0)</f>
        <v>1</v>
      </c>
      <c r="D10" s="19">
        <f aca="true" t="shared" si="1" ref="D10:D45">($C10-$B$4)/($B$3-$B$4)</f>
        <v>1</v>
      </c>
      <c r="E10" s="19">
        <f aca="true" t="shared" si="2" ref="E10:E45">$D10*$B$5</f>
        <v>1</v>
      </c>
    </row>
    <row r="11" spans="1:5" ht="15.75">
      <c r="A11" s="5" t="s">
        <v>2</v>
      </c>
      <c r="B11" s="63" t="s">
        <v>37</v>
      </c>
      <c r="C11" s="19">
        <f t="shared" si="0"/>
        <v>1</v>
      </c>
      <c r="D11" s="19">
        <f t="shared" si="1"/>
        <v>1</v>
      </c>
      <c r="E11" s="19">
        <f t="shared" si="2"/>
        <v>1</v>
      </c>
    </row>
    <row r="12" spans="1:5" ht="15.75">
      <c r="A12" s="5" t="s">
        <v>3</v>
      </c>
      <c r="B12" s="63" t="s">
        <v>37</v>
      </c>
      <c r="C12" s="19">
        <f t="shared" si="0"/>
        <v>1</v>
      </c>
      <c r="D12" s="19">
        <f t="shared" si="1"/>
        <v>1</v>
      </c>
      <c r="E12" s="19">
        <f t="shared" si="2"/>
        <v>1</v>
      </c>
    </row>
    <row r="13" spans="1:5" ht="15.75">
      <c r="A13" s="5" t="s">
        <v>4</v>
      </c>
      <c r="B13" s="63" t="s">
        <v>37</v>
      </c>
      <c r="C13" s="19">
        <f t="shared" si="0"/>
        <v>1</v>
      </c>
      <c r="D13" s="19">
        <f t="shared" si="1"/>
        <v>1</v>
      </c>
      <c r="E13" s="19">
        <f t="shared" si="2"/>
        <v>1</v>
      </c>
    </row>
    <row r="14" spans="1:5" ht="15.75">
      <c r="A14" s="5" t="s">
        <v>5</v>
      </c>
      <c r="B14" s="63" t="s">
        <v>37</v>
      </c>
      <c r="C14" s="19">
        <f t="shared" si="0"/>
        <v>1</v>
      </c>
      <c r="D14" s="19">
        <f t="shared" si="1"/>
        <v>1</v>
      </c>
      <c r="E14" s="19">
        <f t="shared" si="2"/>
        <v>1</v>
      </c>
    </row>
    <row r="15" spans="1:5" ht="15.75">
      <c r="A15" s="5" t="s">
        <v>6</v>
      </c>
      <c r="B15" s="63" t="s">
        <v>37</v>
      </c>
      <c r="C15" s="19">
        <f t="shared" si="0"/>
        <v>1</v>
      </c>
      <c r="D15" s="19">
        <f t="shared" si="1"/>
        <v>1</v>
      </c>
      <c r="E15" s="19">
        <f t="shared" si="2"/>
        <v>1</v>
      </c>
    </row>
    <row r="16" spans="1:5" ht="15.75">
      <c r="A16" s="5" t="s">
        <v>7</v>
      </c>
      <c r="B16" s="63" t="s">
        <v>37</v>
      </c>
      <c r="C16" s="19">
        <f t="shared" si="0"/>
        <v>1</v>
      </c>
      <c r="D16" s="19">
        <f t="shared" si="1"/>
        <v>1</v>
      </c>
      <c r="E16" s="19">
        <f t="shared" si="2"/>
        <v>1</v>
      </c>
    </row>
    <row r="17" spans="1:5" ht="15.75">
      <c r="A17" s="5" t="s">
        <v>8</v>
      </c>
      <c r="B17" s="63" t="s">
        <v>37</v>
      </c>
      <c r="C17" s="19">
        <f t="shared" si="0"/>
        <v>1</v>
      </c>
      <c r="D17" s="19">
        <f t="shared" si="1"/>
        <v>1</v>
      </c>
      <c r="E17" s="19">
        <f t="shared" si="2"/>
        <v>1</v>
      </c>
    </row>
    <row r="18" spans="1:5" ht="15.75">
      <c r="A18" s="5" t="s">
        <v>9</v>
      </c>
      <c r="B18" s="63" t="s">
        <v>37</v>
      </c>
      <c r="C18" s="19">
        <f t="shared" si="0"/>
        <v>1</v>
      </c>
      <c r="D18" s="19">
        <f t="shared" si="1"/>
        <v>1</v>
      </c>
      <c r="E18" s="19">
        <f t="shared" si="2"/>
        <v>1</v>
      </c>
    </row>
    <row r="19" spans="1:5" ht="15.75">
      <c r="A19" s="5" t="s">
        <v>10</v>
      </c>
      <c r="B19" s="63" t="s">
        <v>37</v>
      </c>
      <c r="C19" s="19">
        <f t="shared" si="0"/>
        <v>1</v>
      </c>
      <c r="D19" s="19">
        <f t="shared" si="1"/>
        <v>1</v>
      </c>
      <c r="E19" s="19">
        <f t="shared" si="2"/>
        <v>1</v>
      </c>
    </row>
    <row r="20" spans="1:5" ht="15.75">
      <c r="A20" s="5" t="s">
        <v>11</v>
      </c>
      <c r="B20" s="63" t="s">
        <v>37</v>
      </c>
      <c r="C20" s="19">
        <f t="shared" si="0"/>
        <v>1</v>
      </c>
      <c r="D20" s="19">
        <f t="shared" si="1"/>
        <v>1</v>
      </c>
      <c r="E20" s="19">
        <f t="shared" si="2"/>
        <v>1</v>
      </c>
    </row>
    <row r="21" spans="1:5" ht="15.75">
      <c r="A21" s="5" t="s">
        <v>12</v>
      </c>
      <c r="B21" s="63" t="s">
        <v>37</v>
      </c>
      <c r="C21" s="19">
        <f t="shared" si="0"/>
        <v>1</v>
      </c>
      <c r="D21" s="19">
        <f t="shared" si="1"/>
        <v>1</v>
      </c>
      <c r="E21" s="19">
        <f t="shared" si="2"/>
        <v>1</v>
      </c>
    </row>
    <row r="22" spans="1:5" ht="15.75">
      <c r="A22" s="5" t="s">
        <v>13</v>
      </c>
      <c r="B22" s="63" t="s">
        <v>37</v>
      </c>
      <c r="C22" s="19">
        <f t="shared" si="0"/>
        <v>1</v>
      </c>
      <c r="D22" s="19">
        <f t="shared" si="1"/>
        <v>1</v>
      </c>
      <c r="E22" s="19">
        <f t="shared" si="2"/>
        <v>1</v>
      </c>
    </row>
    <row r="23" spans="1:5" ht="15.75">
      <c r="A23" s="5" t="s">
        <v>14</v>
      </c>
      <c r="B23" s="63" t="s">
        <v>37</v>
      </c>
      <c r="C23" s="19">
        <f t="shared" si="0"/>
        <v>1</v>
      </c>
      <c r="D23" s="19">
        <f t="shared" si="1"/>
        <v>1</v>
      </c>
      <c r="E23" s="19">
        <f t="shared" si="2"/>
        <v>1</v>
      </c>
    </row>
    <row r="24" spans="1:5" ht="15.75">
      <c r="A24" s="5" t="s">
        <v>15</v>
      </c>
      <c r="B24" s="63" t="s">
        <v>37</v>
      </c>
      <c r="C24" s="19">
        <f t="shared" si="0"/>
        <v>1</v>
      </c>
      <c r="D24" s="19">
        <f t="shared" si="1"/>
        <v>1</v>
      </c>
      <c r="E24" s="19">
        <f t="shared" si="2"/>
        <v>1</v>
      </c>
    </row>
    <row r="25" spans="1:5" ht="15.75">
      <c r="A25" s="5" t="s">
        <v>16</v>
      </c>
      <c r="B25" s="63" t="s">
        <v>37</v>
      </c>
      <c r="C25" s="19">
        <f t="shared" si="0"/>
        <v>1</v>
      </c>
      <c r="D25" s="19">
        <f t="shared" si="1"/>
        <v>1</v>
      </c>
      <c r="E25" s="19">
        <f t="shared" si="2"/>
        <v>1</v>
      </c>
    </row>
    <row r="26" spans="1:5" ht="15.75">
      <c r="A26" s="5" t="s">
        <v>17</v>
      </c>
      <c r="B26" s="63" t="s">
        <v>37</v>
      </c>
      <c r="C26" s="19">
        <f t="shared" si="0"/>
        <v>1</v>
      </c>
      <c r="D26" s="19">
        <f t="shared" si="1"/>
        <v>1</v>
      </c>
      <c r="E26" s="19">
        <f t="shared" si="2"/>
        <v>1</v>
      </c>
    </row>
    <row r="27" spans="1:5" ht="15.75">
      <c r="A27" s="5" t="s">
        <v>18</v>
      </c>
      <c r="B27" s="63" t="s">
        <v>37</v>
      </c>
      <c r="C27" s="19">
        <f t="shared" si="0"/>
        <v>1</v>
      </c>
      <c r="D27" s="19">
        <f t="shared" si="1"/>
        <v>1</v>
      </c>
      <c r="E27" s="19">
        <f t="shared" si="2"/>
        <v>1</v>
      </c>
    </row>
    <row r="28" spans="1:5" ht="15.75">
      <c r="A28" s="5" t="s">
        <v>19</v>
      </c>
      <c r="B28" s="63" t="s">
        <v>37</v>
      </c>
      <c r="C28" s="19">
        <f t="shared" si="0"/>
        <v>1</v>
      </c>
      <c r="D28" s="19">
        <f t="shared" si="1"/>
        <v>1</v>
      </c>
      <c r="E28" s="19">
        <f t="shared" si="2"/>
        <v>1</v>
      </c>
    </row>
    <row r="29" spans="1:5" ht="15.75">
      <c r="A29" s="5" t="s">
        <v>20</v>
      </c>
      <c r="B29" s="63" t="s">
        <v>37</v>
      </c>
      <c r="C29" s="19">
        <f t="shared" si="0"/>
        <v>1</v>
      </c>
      <c r="D29" s="19">
        <f t="shared" si="1"/>
        <v>1</v>
      </c>
      <c r="E29" s="19">
        <f t="shared" si="2"/>
        <v>1</v>
      </c>
    </row>
    <row r="30" spans="1:5" ht="15.75">
      <c r="A30" s="5" t="s">
        <v>21</v>
      </c>
      <c r="B30" s="63" t="s">
        <v>37</v>
      </c>
      <c r="C30" s="19">
        <f t="shared" si="0"/>
        <v>1</v>
      </c>
      <c r="D30" s="19">
        <f t="shared" si="1"/>
        <v>1</v>
      </c>
      <c r="E30" s="19">
        <f t="shared" si="2"/>
        <v>1</v>
      </c>
    </row>
    <row r="31" spans="1:5" ht="15.75">
      <c r="A31" s="5" t="s">
        <v>22</v>
      </c>
      <c r="B31" s="63" t="s">
        <v>37</v>
      </c>
      <c r="C31" s="19">
        <f t="shared" si="0"/>
        <v>1</v>
      </c>
      <c r="D31" s="19">
        <f t="shared" si="1"/>
        <v>1</v>
      </c>
      <c r="E31" s="19">
        <f t="shared" si="2"/>
        <v>1</v>
      </c>
    </row>
    <row r="32" spans="1:5" ht="15.75">
      <c r="A32" s="5" t="s">
        <v>23</v>
      </c>
      <c r="B32" s="63" t="s">
        <v>37</v>
      </c>
      <c r="C32" s="19">
        <f t="shared" si="0"/>
        <v>1</v>
      </c>
      <c r="D32" s="19">
        <f t="shared" si="1"/>
        <v>1</v>
      </c>
      <c r="E32" s="19">
        <f t="shared" si="2"/>
        <v>1</v>
      </c>
    </row>
    <row r="33" spans="1:5" ht="15.75">
      <c r="A33" s="5" t="s">
        <v>24</v>
      </c>
      <c r="B33" s="63" t="s">
        <v>37</v>
      </c>
      <c r="C33" s="19">
        <f t="shared" si="0"/>
        <v>1</v>
      </c>
      <c r="D33" s="19">
        <f t="shared" si="1"/>
        <v>1</v>
      </c>
      <c r="E33" s="19">
        <f t="shared" si="2"/>
        <v>1</v>
      </c>
    </row>
    <row r="34" spans="1:5" ht="15.75">
      <c r="A34" s="5" t="s">
        <v>25</v>
      </c>
      <c r="B34" s="63" t="s">
        <v>37</v>
      </c>
      <c r="C34" s="19">
        <f t="shared" si="0"/>
        <v>1</v>
      </c>
      <c r="D34" s="19">
        <f t="shared" si="1"/>
        <v>1</v>
      </c>
      <c r="E34" s="19">
        <f t="shared" si="2"/>
        <v>1</v>
      </c>
    </row>
    <row r="35" spans="1:5" ht="15.75">
      <c r="A35" s="5" t="s">
        <v>26</v>
      </c>
      <c r="B35" s="63" t="s">
        <v>37</v>
      </c>
      <c r="C35" s="19">
        <f t="shared" si="0"/>
        <v>1</v>
      </c>
      <c r="D35" s="19">
        <f t="shared" si="1"/>
        <v>1</v>
      </c>
      <c r="E35" s="19">
        <f t="shared" si="2"/>
        <v>1</v>
      </c>
    </row>
    <row r="36" spans="1:5" ht="15.75">
      <c r="A36" s="5" t="s">
        <v>27</v>
      </c>
      <c r="B36" s="63" t="s">
        <v>37</v>
      </c>
      <c r="C36" s="19">
        <f t="shared" si="0"/>
        <v>1</v>
      </c>
      <c r="D36" s="19">
        <f t="shared" si="1"/>
        <v>1</v>
      </c>
      <c r="E36" s="19">
        <f t="shared" si="2"/>
        <v>1</v>
      </c>
    </row>
    <row r="37" spans="1:5" ht="15.75">
      <c r="A37" s="5" t="s">
        <v>28</v>
      </c>
      <c r="B37" s="63" t="s">
        <v>37</v>
      </c>
      <c r="C37" s="19">
        <f t="shared" si="0"/>
        <v>1</v>
      </c>
      <c r="D37" s="19">
        <f t="shared" si="1"/>
        <v>1</v>
      </c>
      <c r="E37" s="19">
        <f t="shared" si="2"/>
        <v>1</v>
      </c>
    </row>
    <row r="38" spans="1:5" ht="15.75">
      <c r="A38" s="5" t="s">
        <v>29</v>
      </c>
      <c r="B38" s="63" t="s">
        <v>37</v>
      </c>
      <c r="C38" s="19">
        <f t="shared" si="0"/>
        <v>1</v>
      </c>
      <c r="D38" s="19">
        <f t="shared" si="1"/>
        <v>1</v>
      </c>
      <c r="E38" s="19">
        <f t="shared" si="2"/>
        <v>1</v>
      </c>
    </row>
    <row r="39" spans="1:5" ht="15.75">
      <c r="A39" s="5" t="s">
        <v>30</v>
      </c>
      <c r="B39" s="63" t="s">
        <v>37</v>
      </c>
      <c r="C39" s="19">
        <f t="shared" si="0"/>
        <v>1</v>
      </c>
      <c r="D39" s="19">
        <f t="shared" si="1"/>
        <v>1</v>
      </c>
      <c r="E39" s="19">
        <f t="shared" si="2"/>
        <v>1</v>
      </c>
    </row>
    <row r="40" spans="1:5" ht="15.75">
      <c r="A40" s="5" t="s">
        <v>31</v>
      </c>
      <c r="B40" s="63" t="s">
        <v>37</v>
      </c>
      <c r="C40" s="19">
        <f t="shared" si="0"/>
        <v>1</v>
      </c>
      <c r="D40" s="19">
        <f t="shared" si="1"/>
        <v>1</v>
      </c>
      <c r="E40" s="19">
        <f t="shared" si="2"/>
        <v>1</v>
      </c>
    </row>
    <row r="41" spans="1:5" ht="15.75">
      <c r="A41" s="5" t="s">
        <v>32</v>
      </c>
      <c r="B41" s="63" t="s">
        <v>37</v>
      </c>
      <c r="C41" s="19">
        <f t="shared" si="0"/>
        <v>1</v>
      </c>
      <c r="D41" s="19">
        <f t="shared" si="1"/>
        <v>1</v>
      </c>
      <c r="E41" s="19">
        <f t="shared" si="2"/>
        <v>1</v>
      </c>
    </row>
    <row r="42" spans="1:5" ht="15.75">
      <c r="A42" s="5" t="s">
        <v>33</v>
      </c>
      <c r="B42" s="63" t="s">
        <v>37</v>
      </c>
      <c r="C42" s="19">
        <f t="shared" si="0"/>
        <v>1</v>
      </c>
      <c r="D42" s="19">
        <f t="shared" si="1"/>
        <v>1</v>
      </c>
      <c r="E42" s="19">
        <f t="shared" si="2"/>
        <v>1</v>
      </c>
    </row>
    <row r="43" spans="1:5" ht="15.75">
      <c r="A43" s="5" t="s">
        <v>34</v>
      </c>
      <c r="B43" s="63" t="s">
        <v>37</v>
      </c>
      <c r="C43" s="19">
        <f t="shared" si="0"/>
        <v>1</v>
      </c>
      <c r="D43" s="19">
        <f t="shared" si="1"/>
        <v>1</v>
      </c>
      <c r="E43" s="19">
        <f t="shared" si="2"/>
        <v>1</v>
      </c>
    </row>
    <row r="44" spans="1:5" ht="15.75">
      <c r="A44" s="5" t="s">
        <v>35</v>
      </c>
      <c r="B44" s="63" t="s">
        <v>37</v>
      </c>
      <c r="C44" s="19">
        <f t="shared" si="0"/>
        <v>1</v>
      </c>
      <c r="D44" s="19">
        <f t="shared" si="1"/>
        <v>1</v>
      </c>
      <c r="E44" s="19">
        <f t="shared" si="2"/>
        <v>1</v>
      </c>
    </row>
    <row r="45" spans="1:5" ht="15.75">
      <c r="A45" s="5" t="s">
        <v>36</v>
      </c>
      <c r="B45" s="63" t="s">
        <v>37</v>
      </c>
      <c r="C45" s="19">
        <f t="shared" si="0"/>
        <v>1</v>
      </c>
      <c r="D45" s="19">
        <f t="shared" si="1"/>
        <v>1</v>
      </c>
      <c r="E45" s="19">
        <f t="shared" si="2"/>
        <v>1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3" operator="equal" stopIfTrue="1">
      <formula>0</formula>
    </cfRule>
    <cfRule type="cellIs" priority="2" dxfId="132" operator="equal" stopIfTrue="1">
      <formula>1</formula>
    </cfRule>
  </conditionalFormatting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1" customWidth="1"/>
    <col min="2" max="2" width="47.71093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112" t="s">
        <v>309</v>
      </c>
      <c r="B1" s="113"/>
      <c r="C1" s="113"/>
      <c r="D1" s="113"/>
      <c r="E1" s="113"/>
    </row>
    <row r="3" spans="1:2" ht="15.75">
      <c r="A3" s="10" t="s">
        <v>44</v>
      </c>
      <c r="B3" s="10">
        <v>1</v>
      </c>
    </row>
    <row r="4" spans="1:2" ht="15.75">
      <c r="A4" s="11" t="s">
        <v>45</v>
      </c>
      <c r="B4" s="11">
        <v>0</v>
      </c>
    </row>
    <row r="5" spans="1:2" ht="15.75">
      <c r="A5" s="12" t="s">
        <v>46</v>
      </c>
      <c r="B5" s="13" t="s">
        <v>40</v>
      </c>
    </row>
    <row r="7" spans="1:5" s="8" customFormat="1" ht="191.25" customHeight="1">
      <c r="A7" s="3" t="s">
        <v>38</v>
      </c>
      <c r="B7" s="3" t="s">
        <v>377</v>
      </c>
      <c r="C7" s="9" t="s">
        <v>61</v>
      </c>
      <c r="D7" s="9" t="s">
        <v>62</v>
      </c>
      <c r="E7" s="9" t="s">
        <v>63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8"/>
      <c r="C9" s="19">
        <f>IF($B9="+",1,0)</f>
        <v>0</v>
      </c>
      <c r="D9" s="19">
        <f>($C9-$B$4)/($B$3-$B$4)</f>
        <v>0</v>
      </c>
      <c r="E9" s="80">
        <f>$D9*$B$5</f>
        <v>0</v>
      </c>
    </row>
    <row r="10" spans="1:5" ht="15.75">
      <c r="A10" s="5" t="s">
        <v>1</v>
      </c>
      <c r="B10" s="18"/>
      <c r="C10" s="19">
        <f aca="true" t="shared" si="0" ref="C10:C45">IF($B10="+",1,0)</f>
        <v>0</v>
      </c>
      <c r="D10" s="19">
        <f aca="true" t="shared" si="1" ref="D10:D45">($C10-$B$4)/($B$3-$B$4)</f>
        <v>0</v>
      </c>
      <c r="E10" s="80">
        <f aca="true" t="shared" si="2" ref="E10:E45">$D10*$B$5</f>
        <v>0</v>
      </c>
    </row>
    <row r="11" spans="1:5" ht="15.75">
      <c r="A11" s="5" t="s">
        <v>2</v>
      </c>
      <c r="B11" s="18"/>
      <c r="C11" s="19">
        <f t="shared" si="0"/>
        <v>0</v>
      </c>
      <c r="D11" s="19">
        <f t="shared" si="1"/>
        <v>0</v>
      </c>
      <c r="E11" s="80">
        <f t="shared" si="2"/>
        <v>0</v>
      </c>
    </row>
    <row r="12" spans="1:5" ht="15.75">
      <c r="A12" s="5" t="s">
        <v>3</v>
      </c>
      <c r="B12" s="18"/>
      <c r="C12" s="19">
        <f t="shared" si="0"/>
        <v>0</v>
      </c>
      <c r="D12" s="19">
        <f t="shared" si="1"/>
        <v>0</v>
      </c>
      <c r="E12" s="80">
        <f t="shared" si="2"/>
        <v>0</v>
      </c>
    </row>
    <row r="13" spans="1:5" ht="15.75">
      <c r="A13" s="5" t="s">
        <v>4</v>
      </c>
      <c r="B13" s="18"/>
      <c r="C13" s="19">
        <f t="shared" si="0"/>
        <v>0</v>
      </c>
      <c r="D13" s="19">
        <f t="shared" si="1"/>
        <v>0</v>
      </c>
      <c r="E13" s="80">
        <f t="shared" si="2"/>
        <v>0</v>
      </c>
    </row>
    <row r="14" spans="1:5" ht="15.75">
      <c r="A14" s="5" t="s">
        <v>5</v>
      </c>
      <c r="B14" s="18"/>
      <c r="C14" s="19">
        <f t="shared" si="0"/>
        <v>0</v>
      </c>
      <c r="D14" s="19">
        <f t="shared" si="1"/>
        <v>0</v>
      </c>
      <c r="E14" s="80">
        <f t="shared" si="2"/>
        <v>0</v>
      </c>
    </row>
    <row r="15" spans="1:5" ht="15.75">
      <c r="A15" s="5" t="s">
        <v>6</v>
      </c>
      <c r="B15" s="34"/>
      <c r="C15" s="19">
        <f t="shared" si="0"/>
        <v>0</v>
      </c>
      <c r="D15" s="19">
        <f t="shared" si="1"/>
        <v>0</v>
      </c>
      <c r="E15" s="80">
        <f t="shared" si="2"/>
        <v>0</v>
      </c>
    </row>
    <row r="16" spans="1:5" ht="15.75">
      <c r="A16" s="5" t="s">
        <v>7</v>
      </c>
      <c r="B16" s="34"/>
      <c r="C16" s="19">
        <f t="shared" si="0"/>
        <v>0</v>
      </c>
      <c r="D16" s="19">
        <f t="shared" si="1"/>
        <v>0</v>
      </c>
      <c r="E16" s="80">
        <f t="shared" si="2"/>
        <v>0</v>
      </c>
    </row>
    <row r="17" spans="1:5" ht="15.75">
      <c r="A17" s="5" t="s">
        <v>8</v>
      </c>
      <c r="B17" s="18"/>
      <c r="C17" s="19">
        <f t="shared" si="0"/>
        <v>0</v>
      </c>
      <c r="D17" s="19">
        <f t="shared" si="1"/>
        <v>0</v>
      </c>
      <c r="E17" s="80">
        <f t="shared" si="2"/>
        <v>0</v>
      </c>
    </row>
    <row r="18" spans="1:5" ht="15.75">
      <c r="A18" s="5" t="s">
        <v>9</v>
      </c>
      <c r="B18" s="34"/>
      <c r="C18" s="19">
        <f t="shared" si="0"/>
        <v>0</v>
      </c>
      <c r="D18" s="19">
        <f t="shared" si="1"/>
        <v>0</v>
      </c>
      <c r="E18" s="80">
        <f t="shared" si="2"/>
        <v>0</v>
      </c>
    </row>
    <row r="19" spans="1:5" ht="15.75">
      <c r="A19" s="5" t="s">
        <v>10</v>
      </c>
      <c r="B19" s="34"/>
      <c r="C19" s="19">
        <f t="shared" si="0"/>
        <v>0</v>
      </c>
      <c r="D19" s="19">
        <f t="shared" si="1"/>
        <v>0</v>
      </c>
      <c r="E19" s="80">
        <f t="shared" si="2"/>
        <v>0</v>
      </c>
    </row>
    <row r="20" spans="1:5" ht="15.75">
      <c r="A20" s="5" t="s">
        <v>11</v>
      </c>
      <c r="B20" s="34"/>
      <c r="C20" s="19">
        <f t="shared" si="0"/>
        <v>0</v>
      </c>
      <c r="D20" s="19">
        <f t="shared" si="1"/>
        <v>0</v>
      </c>
      <c r="E20" s="80">
        <f t="shared" si="2"/>
        <v>0</v>
      </c>
    </row>
    <row r="21" spans="1:5" ht="15.75">
      <c r="A21" s="5" t="s">
        <v>12</v>
      </c>
      <c r="B21" s="34"/>
      <c r="C21" s="19">
        <f t="shared" si="0"/>
        <v>0</v>
      </c>
      <c r="D21" s="19">
        <f t="shared" si="1"/>
        <v>0</v>
      </c>
      <c r="E21" s="80">
        <f t="shared" si="2"/>
        <v>0</v>
      </c>
    </row>
    <row r="22" spans="1:5" ht="15.75">
      <c r="A22" s="5" t="s">
        <v>13</v>
      </c>
      <c r="B22" s="34"/>
      <c r="C22" s="19">
        <f t="shared" si="0"/>
        <v>0</v>
      </c>
      <c r="D22" s="19">
        <f t="shared" si="1"/>
        <v>0</v>
      </c>
      <c r="E22" s="80">
        <f t="shared" si="2"/>
        <v>0</v>
      </c>
    </row>
    <row r="23" spans="1:5" ht="15.75">
      <c r="A23" s="5" t="s">
        <v>14</v>
      </c>
      <c r="B23" s="18"/>
      <c r="C23" s="19">
        <f t="shared" si="0"/>
        <v>0</v>
      </c>
      <c r="D23" s="19">
        <f t="shared" si="1"/>
        <v>0</v>
      </c>
      <c r="E23" s="80">
        <f t="shared" si="2"/>
        <v>0</v>
      </c>
    </row>
    <row r="24" spans="1:5" ht="15.75">
      <c r="A24" s="5" t="s">
        <v>15</v>
      </c>
      <c r="B24" s="34"/>
      <c r="C24" s="19">
        <f t="shared" si="0"/>
        <v>0</v>
      </c>
      <c r="D24" s="19">
        <f t="shared" si="1"/>
        <v>0</v>
      </c>
      <c r="E24" s="80">
        <f t="shared" si="2"/>
        <v>0</v>
      </c>
    </row>
    <row r="25" spans="1:5" ht="15.75">
      <c r="A25" s="5" t="s">
        <v>16</v>
      </c>
      <c r="B25" s="34"/>
      <c r="C25" s="19">
        <f t="shared" si="0"/>
        <v>0</v>
      </c>
      <c r="D25" s="19">
        <f t="shared" si="1"/>
        <v>0</v>
      </c>
      <c r="E25" s="80">
        <f t="shared" si="2"/>
        <v>0</v>
      </c>
    </row>
    <row r="26" spans="1:5" ht="15.75">
      <c r="A26" s="5" t="s">
        <v>17</v>
      </c>
      <c r="B26" s="34"/>
      <c r="C26" s="19">
        <f t="shared" si="0"/>
        <v>0</v>
      </c>
      <c r="D26" s="19">
        <f t="shared" si="1"/>
        <v>0</v>
      </c>
      <c r="E26" s="80">
        <f t="shared" si="2"/>
        <v>0</v>
      </c>
    </row>
    <row r="27" spans="1:5" ht="15.75">
      <c r="A27" s="5" t="s">
        <v>18</v>
      </c>
      <c r="B27" s="18"/>
      <c r="C27" s="19">
        <f t="shared" si="0"/>
        <v>0</v>
      </c>
      <c r="D27" s="19">
        <f t="shared" si="1"/>
        <v>0</v>
      </c>
      <c r="E27" s="80">
        <f t="shared" si="2"/>
        <v>0</v>
      </c>
    </row>
    <row r="28" spans="1:5" ht="15.75">
      <c r="A28" s="5" t="s">
        <v>19</v>
      </c>
      <c r="B28" s="34"/>
      <c r="C28" s="19">
        <f t="shared" si="0"/>
        <v>0</v>
      </c>
      <c r="D28" s="19">
        <f t="shared" si="1"/>
        <v>0</v>
      </c>
      <c r="E28" s="80">
        <f t="shared" si="2"/>
        <v>0</v>
      </c>
    </row>
    <row r="29" spans="1:5" ht="15.75">
      <c r="A29" s="5" t="s">
        <v>20</v>
      </c>
      <c r="B29" s="34"/>
      <c r="C29" s="19">
        <f t="shared" si="0"/>
        <v>0</v>
      </c>
      <c r="D29" s="19">
        <f t="shared" si="1"/>
        <v>0</v>
      </c>
      <c r="E29" s="80">
        <f t="shared" si="2"/>
        <v>0</v>
      </c>
    </row>
    <row r="30" spans="1:5" ht="15.75">
      <c r="A30" s="5" t="s">
        <v>21</v>
      </c>
      <c r="B30" s="34"/>
      <c r="C30" s="19">
        <f t="shared" si="0"/>
        <v>0</v>
      </c>
      <c r="D30" s="19">
        <f t="shared" si="1"/>
        <v>0</v>
      </c>
      <c r="E30" s="80">
        <f t="shared" si="2"/>
        <v>0</v>
      </c>
    </row>
    <row r="31" spans="1:5" ht="15.75">
      <c r="A31" s="5" t="s">
        <v>22</v>
      </c>
      <c r="B31" s="34"/>
      <c r="C31" s="19">
        <f t="shared" si="0"/>
        <v>0</v>
      </c>
      <c r="D31" s="19">
        <f t="shared" si="1"/>
        <v>0</v>
      </c>
      <c r="E31" s="80">
        <f t="shared" si="2"/>
        <v>0</v>
      </c>
    </row>
    <row r="32" spans="1:5" ht="15.75">
      <c r="A32" s="5" t="s">
        <v>23</v>
      </c>
      <c r="B32" s="18"/>
      <c r="C32" s="19">
        <f t="shared" si="0"/>
        <v>0</v>
      </c>
      <c r="D32" s="19">
        <f t="shared" si="1"/>
        <v>0</v>
      </c>
      <c r="E32" s="80">
        <f t="shared" si="2"/>
        <v>0</v>
      </c>
    </row>
    <row r="33" spans="1:5" ht="15.75">
      <c r="A33" s="5" t="s">
        <v>24</v>
      </c>
      <c r="B33" s="18"/>
      <c r="C33" s="19">
        <f t="shared" si="0"/>
        <v>0</v>
      </c>
      <c r="D33" s="19">
        <f t="shared" si="1"/>
        <v>0</v>
      </c>
      <c r="E33" s="80">
        <f t="shared" si="2"/>
        <v>0</v>
      </c>
    </row>
    <row r="34" spans="1:5" ht="15.75">
      <c r="A34" s="5" t="s">
        <v>25</v>
      </c>
      <c r="B34" s="18"/>
      <c r="C34" s="19">
        <f t="shared" si="0"/>
        <v>0</v>
      </c>
      <c r="D34" s="19">
        <f t="shared" si="1"/>
        <v>0</v>
      </c>
      <c r="E34" s="80">
        <f t="shared" si="2"/>
        <v>0</v>
      </c>
    </row>
    <row r="35" spans="1:5" ht="15.75">
      <c r="A35" s="5" t="s">
        <v>26</v>
      </c>
      <c r="B35" s="18"/>
      <c r="C35" s="19">
        <f t="shared" si="0"/>
        <v>0</v>
      </c>
      <c r="D35" s="19">
        <f t="shared" si="1"/>
        <v>0</v>
      </c>
      <c r="E35" s="80">
        <f t="shared" si="2"/>
        <v>0</v>
      </c>
    </row>
    <row r="36" spans="1:5" ht="15.75">
      <c r="A36" s="5" t="s">
        <v>27</v>
      </c>
      <c r="B36" s="34"/>
      <c r="C36" s="19">
        <f t="shared" si="0"/>
        <v>0</v>
      </c>
      <c r="D36" s="19">
        <f t="shared" si="1"/>
        <v>0</v>
      </c>
      <c r="E36" s="80">
        <f t="shared" si="2"/>
        <v>0</v>
      </c>
    </row>
    <row r="37" spans="1:5" ht="15.75">
      <c r="A37" s="5" t="s">
        <v>28</v>
      </c>
      <c r="B37" s="18"/>
      <c r="C37" s="19">
        <f t="shared" si="0"/>
        <v>0</v>
      </c>
      <c r="D37" s="19">
        <f t="shared" si="1"/>
        <v>0</v>
      </c>
      <c r="E37" s="80">
        <f t="shared" si="2"/>
        <v>0</v>
      </c>
    </row>
    <row r="38" spans="1:5" ht="15.75">
      <c r="A38" s="5" t="s">
        <v>29</v>
      </c>
      <c r="B38" s="34"/>
      <c r="C38" s="19">
        <f t="shared" si="0"/>
        <v>0</v>
      </c>
      <c r="D38" s="19">
        <f t="shared" si="1"/>
        <v>0</v>
      </c>
      <c r="E38" s="80">
        <f t="shared" si="2"/>
        <v>0</v>
      </c>
    </row>
    <row r="39" spans="1:5" ht="15.75">
      <c r="A39" s="5" t="s">
        <v>30</v>
      </c>
      <c r="B39" s="18"/>
      <c r="C39" s="19">
        <f t="shared" si="0"/>
        <v>0</v>
      </c>
      <c r="D39" s="19">
        <f t="shared" si="1"/>
        <v>0</v>
      </c>
      <c r="E39" s="80">
        <f t="shared" si="2"/>
        <v>0</v>
      </c>
    </row>
    <row r="40" spans="1:5" ht="15.75">
      <c r="A40" s="5" t="s">
        <v>31</v>
      </c>
      <c r="B40" s="34"/>
      <c r="C40" s="19">
        <f t="shared" si="0"/>
        <v>0</v>
      </c>
      <c r="D40" s="19">
        <f t="shared" si="1"/>
        <v>0</v>
      </c>
      <c r="E40" s="80">
        <f t="shared" si="2"/>
        <v>0</v>
      </c>
    </row>
    <row r="41" spans="1:5" ht="15.75">
      <c r="A41" s="5" t="s">
        <v>32</v>
      </c>
      <c r="B41" s="34"/>
      <c r="C41" s="19">
        <f t="shared" si="0"/>
        <v>0</v>
      </c>
      <c r="D41" s="19">
        <f t="shared" si="1"/>
        <v>0</v>
      </c>
      <c r="E41" s="80">
        <f t="shared" si="2"/>
        <v>0</v>
      </c>
    </row>
    <row r="42" spans="1:5" ht="15.75">
      <c r="A42" s="5" t="s">
        <v>33</v>
      </c>
      <c r="B42" s="34"/>
      <c r="C42" s="19">
        <f t="shared" si="0"/>
        <v>0</v>
      </c>
      <c r="D42" s="19">
        <f t="shared" si="1"/>
        <v>0</v>
      </c>
      <c r="E42" s="80">
        <f t="shared" si="2"/>
        <v>0</v>
      </c>
    </row>
    <row r="43" spans="1:5" ht="15.75">
      <c r="A43" s="5" t="s">
        <v>34</v>
      </c>
      <c r="B43" s="34"/>
      <c r="C43" s="19">
        <f t="shared" si="0"/>
        <v>0</v>
      </c>
      <c r="D43" s="19">
        <f t="shared" si="1"/>
        <v>0</v>
      </c>
      <c r="E43" s="80">
        <f t="shared" si="2"/>
        <v>0</v>
      </c>
    </row>
    <row r="44" spans="1:5" ht="15.75">
      <c r="A44" s="5" t="s">
        <v>35</v>
      </c>
      <c r="B44" s="34"/>
      <c r="C44" s="19">
        <f t="shared" si="0"/>
        <v>0</v>
      </c>
      <c r="D44" s="19">
        <f t="shared" si="1"/>
        <v>0</v>
      </c>
      <c r="E44" s="80">
        <f t="shared" si="2"/>
        <v>0</v>
      </c>
    </row>
    <row r="45" spans="1:5" ht="15.75">
      <c r="A45" s="5" t="s">
        <v>36</v>
      </c>
      <c r="B45" s="34"/>
      <c r="C45" s="19">
        <f t="shared" si="0"/>
        <v>0</v>
      </c>
      <c r="D45" s="19">
        <f t="shared" si="1"/>
        <v>0</v>
      </c>
      <c r="E45" s="80">
        <f t="shared" si="2"/>
        <v>0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 horizontalCentered="1"/>
  <pageMargins left="0.15748031496062992" right="0.1968503937007874" top="0.37" bottom="0.2362204724409449" header="0.15748031496062992" footer="0.2362204724409449"/>
  <pageSetup fitToHeight="1" fitToWidth="1"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selection activeCell="A7" sqref="A7"/>
    </sheetView>
  </sheetViews>
  <sheetFormatPr defaultColWidth="8.7109375" defaultRowHeight="15"/>
  <cols>
    <col min="1" max="1" width="24.421875" style="39" customWidth="1"/>
    <col min="2" max="2" width="41.57421875" style="39" customWidth="1"/>
    <col min="3" max="3" width="9.57421875" style="39" customWidth="1"/>
    <col min="4" max="4" width="9.140625" style="39" customWidth="1"/>
    <col min="5" max="5" width="18.140625" style="39" customWidth="1"/>
    <col min="6" max="16384" width="8.7109375" style="39" customWidth="1"/>
  </cols>
  <sheetData>
    <row r="1" spans="1:5" ht="48.75" customHeight="1">
      <c r="A1" s="112" t="s">
        <v>310</v>
      </c>
      <c r="B1" s="112"/>
      <c r="C1" s="112"/>
      <c r="D1" s="112"/>
      <c r="E1" s="112"/>
    </row>
    <row r="2" spans="1:5" ht="15.75">
      <c r="A2" s="89"/>
      <c r="B2" s="89"/>
      <c r="C2" s="89"/>
      <c r="D2" s="89"/>
      <c r="E2" s="89"/>
    </row>
    <row r="3" spans="1:5" ht="15.75">
      <c r="A3" s="10" t="s">
        <v>311</v>
      </c>
      <c r="B3" s="26">
        <f>MAX($C$9:$C$45)</f>
        <v>1</v>
      </c>
      <c r="C3" s="30"/>
      <c r="D3" s="90"/>
      <c r="E3" s="79"/>
    </row>
    <row r="4" spans="1:5" ht="15.75">
      <c r="A4" s="11" t="s">
        <v>312</v>
      </c>
      <c r="B4" s="27">
        <f>MIN($C$9:$C$45)</f>
        <v>0.3333333333333333</v>
      </c>
      <c r="C4" s="31"/>
      <c r="D4" s="91"/>
      <c r="E4" s="52"/>
    </row>
    <row r="5" spans="1:3" ht="15.75">
      <c r="A5" s="12" t="s">
        <v>313</v>
      </c>
      <c r="B5" s="13" t="s">
        <v>99</v>
      </c>
      <c r="C5" s="24"/>
    </row>
    <row r="7" spans="1:5" s="8" customFormat="1" ht="95.25" customHeight="1">
      <c r="A7" s="3" t="s">
        <v>38</v>
      </c>
      <c r="B7" s="105" t="s">
        <v>378</v>
      </c>
      <c r="C7" s="93" t="s">
        <v>314</v>
      </c>
      <c r="D7" s="9" t="s">
        <v>315</v>
      </c>
      <c r="E7" s="9" t="s">
        <v>316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94">
        <v>1</v>
      </c>
      <c r="C9" s="92">
        <f>1/$B9</f>
        <v>1</v>
      </c>
      <c r="D9" s="92">
        <f>($C9-$B$4)/($B$3-$B$4)</f>
        <v>1</v>
      </c>
      <c r="E9" s="92">
        <f>$D9*$B$5</f>
        <v>1</v>
      </c>
    </row>
    <row r="10" spans="1:5" ht="15.75">
      <c r="A10" s="5" t="s">
        <v>1</v>
      </c>
      <c r="B10" s="94">
        <v>2</v>
      </c>
      <c r="C10" s="92">
        <f aca="true" t="shared" si="0" ref="C10:C45">1/$B10</f>
        <v>0.5</v>
      </c>
      <c r="D10" s="92">
        <f aca="true" t="shared" si="1" ref="D10:D45">($C10-$B$4)/($B$3-$B$4)</f>
        <v>0.25</v>
      </c>
      <c r="E10" s="92">
        <f aca="true" t="shared" si="2" ref="E10:E45">$D10*$B$5</f>
        <v>0.25</v>
      </c>
    </row>
    <row r="11" spans="1:5" ht="15.75">
      <c r="A11" s="5" t="s">
        <v>2</v>
      </c>
      <c r="B11" s="94">
        <v>2</v>
      </c>
      <c r="C11" s="92">
        <f t="shared" si="0"/>
        <v>0.5</v>
      </c>
      <c r="D11" s="92">
        <f t="shared" si="1"/>
        <v>0.25</v>
      </c>
      <c r="E11" s="92">
        <f t="shared" si="2"/>
        <v>0.25</v>
      </c>
    </row>
    <row r="12" spans="1:5" ht="15.75">
      <c r="A12" s="5" t="s">
        <v>3</v>
      </c>
      <c r="B12" s="94">
        <v>1</v>
      </c>
      <c r="C12" s="92">
        <f t="shared" si="0"/>
        <v>1</v>
      </c>
      <c r="D12" s="92">
        <f t="shared" si="1"/>
        <v>1</v>
      </c>
      <c r="E12" s="92">
        <f t="shared" si="2"/>
        <v>1</v>
      </c>
    </row>
    <row r="13" spans="1:5" ht="15.75">
      <c r="A13" s="5" t="s">
        <v>4</v>
      </c>
      <c r="B13" s="94">
        <v>1</v>
      </c>
      <c r="C13" s="92">
        <f t="shared" si="0"/>
        <v>1</v>
      </c>
      <c r="D13" s="92">
        <f t="shared" si="1"/>
        <v>1</v>
      </c>
      <c r="E13" s="92">
        <f t="shared" si="2"/>
        <v>1</v>
      </c>
    </row>
    <row r="14" spans="1:5" ht="15.75">
      <c r="A14" s="5" t="s">
        <v>5</v>
      </c>
      <c r="B14" s="94">
        <v>1</v>
      </c>
      <c r="C14" s="92">
        <f t="shared" si="0"/>
        <v>1</v>
      </c>
      <c r="D14" s="92">
        <f t="shared" si="1"/>
        <v>1</v>
      </c>
      <c r="E14" s="92">
        <f t="shared" si="2"/>
        <v>1</v>
      </c>
    </row>
    <row r="15" spans="1:5" ht="15.75">
      <c r="A15" s="5" t="s">
        <v>6</v>
      </c>
      <c r="B15" s="94">
        <v>2</v>
      </c>
      <c r="C15" s="92">
        <f t="shared" si="0"/>
        <v>0.5</v>
      </c>
      <c r="D15" s="92">
        <f t="shared" si="1"/>
        <v>0.25</v>
      </c>
      <c r="E15" s="92">
        <f t="shared" si="2"/>
        <v>0.25</v>
      </c>
    </row>
    <row r="16" spans="1:5" ht="15.75">
      <c r="A16" s="5" t="s">
        <v>7</v>
      </c>
      <c r="B16" s="94">
        <v>1</v>
      </c>
      <c r="C16" s="92">
        <f t="shared" si="0"/>
        <v>1</v>
      </c>
      <c r="D16" s="92">
        <f t="shared" si="1"/>
        <v>1</v>
      </c>
      <c r="E16" s="92">
        <f t="shared" si="2"/>
        <v>1</v>
      </c>
    </row>
    <row r="17" spans="1:5" ht="15.75">
      <c r="A17" s="5" t="s">
        <v>8</v>
      </c>
      <c r="B17" s="94">
        <v>1</v>
      </c>
      <c r="C17" s="92">
        <f t="shared" si="0"/>
        <v>1</v>
      </c>
      <c r="D17" s="92">
        <f t="shared" si="1"/>
        <v>1</v>
      </c>
      <c r="E17" s="92">
        <f t="shared" si="2"/>
        <v>1</v>
      </c>
    </row>
    <row r="18" spans="1:5" ht="15.75">
      <c r="A18" s="5" t="s">
        <v>9</v>
      </c>
      <c r="B18" s="94">
        <v>2</v>
      </c>
      <c r="C18" s="92">
        <f t="shared" si="0"/>
        <v>0.5</v>
      </c>
      <c r="D18" s="92">
        <f t="shared" si="1"/>
        <v>0.25</v>
      </c>
      <c r="E18" s="92">
        <f t="shared" si="2"/>
        <v>0.25</v>
      </c>
    </row>
    <row r="19" spans="1:5" ht="15.75">
      <c r="A19" s="5" t="s">
        <v>10</v>
      </c>
      <c r="B19" s="94">
        <v>2</v>
      </c>
      <c r="C19" s="92">
        <f t="shared" si="0"/>
        <v>0.5</v>
      </c>
      <c r="D19" s="92">
        <f t="shared" si="1"/>
        <v>0.25</v>
      </c>
      <c r="E19" s="92">
        <f t="shared" si="2"/>
        <v>0.25</v>
      </c>
    </row>
    <row r="20" spans="1:5" ht="15.75">
      <c r="A20" s="5" t="s">
        <v>11</v>
      </c>
      <c r="B20" s="94">
        <v>1</v>
      </c>
      <c r="C20" s="92">
        <f t="shared" si="0"/>
        <v>1</v>
      </c>
      <c r="D20" s="92">
        <f t="shared" si="1"/>
        <v>1</v>
      </c>
      <c r="E20" s="92">
        <f t="shared" si="2"/>
        <v>1</v>
      </c>
    </row>
    <row r="21" spans="1:5" ht="15.75">
      <c r="A21" s="5" t="s">
        <v>12</v>
      </c>
      <c r="B21" s="94">
        <v>2</v>
      </c>
      <c r="C21" s="92">
        <f t="shared" si="0"/>
        <v>0.5</v>
      </c>
      <c r="D21" s="92">
        <f t="shared" si="1"/>
        <v>0.25</v>
      </c>
      <c r="E21" s="92">
        <f t="shared" si="2"/>
        <v>0.25</v>
      </c>
    </row>
    <row r="22" spans="1:5" ht="15.75">
      <c r="A22" s="5" t="s">
        <v>13</v>
      </c>
      <c r="B22" s="94">
        <v>1</v>
      </c>
      <c r="C22" s="92">
        <f t="shared" si="0"/>
        <v>1</v>
      </c>
      <c r="D22" s="92">
        <f t="shared" si="1"/>
        <v>1</v>
      </c>
      <c r="E22" s="92">
        <f t="shared" si="2"/>
        <v>1</v>
      </c>
    </row>
    <row r="23" spans="1:5" ht="15.75">
      <c r="A23" s="5" t="s">
        <v>14</v>
      </c>
      <c r="B23" s="94">
        <v>2</v>
      </c>
      <c r="C23" s="92">
        <f t="shared" si="0"/>
        <v>0.5</v>
      </c>
      <c r="D23" s="92">
        <f t="shared" si="1"/>
        <v>0.25</v>
      </c>
      <c r="E23" s="92">
        <f t="shared" si="2"/>
        <v>0.25</v>
      </c>
    </row>
    <row r="24" spans="1:5" ht="15.75">
      <c r="A24" s="5" t="s">
        <v>15</v>
      </c>
      <c r="B24" s="94">
        <v>1</v>
      </c>
      <c r="C24" s="92">
        <f t="shared" si="0"/>
        <v>1</v>
      </c>
      <c r="D24" s="92">
        <f t="shared" si="1"/>
        <v>1</v>
      </c>
      <c r="E24" s="92">
        <f t="shared" si="2"/>
        <v>1</v>
      </c>
    </row>
    <row r="25" spans="1:5" ht="15.75">
      <c r="A25" s="5" t="s">
        <v>16</v>
      </c>
      <c r="B25" s="94">
        <v>2</v>
      </c>
      <c r="C25" s="92">
        <f t="shared" si="0"/>
        <v>0.5</v>
      </c>
      <c r="D25" s="92">
        <f t="shared" si="1"/>
        <v>0.25</v>
      </c>
      <c r="E25" s="92">
        <f t="shared" si="2"/>
        <v>0.25</v>
      </c>
    </row>
    <row r="26" spans="1:5" ht="15.75">
      <c r="A26" s="5" t="s">
        <v>17</v>
      </c>
      <c r="B26" s="94">
        <v>2</v>
      </c>
      <c r="C26" s="92">
        <f t="shared" si="0"/>
        <v>0.5</v>
      </c>
      <c r="D26" s="92">
        <f t="shared" si="1"/>
        <v>0.25</v>
      </c>
      <c r="E26" s="92">
        <f t="shared" si="2"/>
        <v>0.25</v>
      </c>
    </row>
    <row r="27" spans="1:5" ht="15.75">
      <c r="A27" s="5" t="s">
        <v>18</v>
      </c>
      <c r="B27" s="94">
        <v>3</v>
      </c>
      <c r="C27" s="92">
        <f t="shared" si="0"/>
        <v>0.3333333333333333</v>
      </c>
      <c r="D27" s="92">
        <f t="shared" si="1"/>
        <v>0</v>
      </c>
      <c r="E27" s="92">
        <f t="shared" si="2"/>
        <v>0</v>
      </c>
    </row>
    <row r="28" spans="1:5" ht="15.75">
      <c r="A28" s="5" t="s">
        <v>19</v>
      </c>
      <c r="B28" s="94">
        <v>2</v>
      </c>
      <c r="C28" s="92">
        <f t="shared" si="0"/>
        <v>0.5</v>
      </c>
      <c r="D28" s="92">
        <f t="shared" si="1"/>
        <v>0.25</v>
      </c>
      <c r="E28" s="92">
        <f t="shared" si="2"/>
        <v>0.25</v>
      </c>
    </row>
    <row r="29" spans="1:5" ht="15.75">
      <c r="A29" s="5" t="s">
        <v>20</v>
      </c>
      <c r="B29" s="94">
        <v>2</v>
      </c>
      <c r="C29" s="92">
        <f t="shared" si="0"/>
        <v>0.5</v>
      </c>
      <c r="D29" s="92">
        <f t="shared" si="1"/>
        <v>0.25</v>
      </c>
      <c r="E29" s="92">
        <f t="shared" si="2"/>
        <v>0.25</v>
      </c>
    </row>
    <row r="30" spans="1:5" ht="15.75">
      <c r="A30" s="5" t="s">
        <v>21</v>
      </c>
      <c r="B30" s="94">
        <v>2</v>
      </c>
      <c r="C30" s="92">
        <f t="shared" si="0"/>
        <v>0.5</v>
      </c>
      <c r="D30" s="92">
        <f t="shared" si="1"/>
        <v>0.25</v>
      </c>
      <c r="E30" s="92">
        <f t="shared" si="2"/>
        <v>0.25</v>
      </c>
    </row>
    <row r="31" spans="1:5" ht="15.75">
      <c r="A31" s="5" t="s">
        <v>22</v>
      </c>
      <c r="B31" s="94">
        <v>1</v>
      </c>
      <c r="C31" s="92">
        <f t="shared" si="0"/>
        <v>1</v>
      </c>
      <c r="D31" s="92">
        <f t="shared" si="1"/>
        <v>1</v>
      </c>
      <c r="E31" s="92">
        <f t="shared" si="2"/>
        <v>1</v>
      </c>
    </row>
    <row r="32" spans="1:5" ht="15.75">
      <c r="A32" s="5" t="s">
        <v>23</v>
      </c>
      <c r="B32" s="94">
        <v>2</v>
      </c>
      <c r="C32" s="92">
        <f t="shared" si="0"/>
        <v>0.5</v>
      </c>
      <c r="D32" s="92">
        <f t="shared" si="1"/>
        <v>0.25</v>
      </c>
      <c r="E32" s="92">
        <f t="shared" si="2"/>
        <v>0.25</v>
      </c>
    </row>
    <row r="33" spans="1:5" ht="15.75">
      <c r="A33" s="5" t="s">
        <v>24</v>
      </c>
      <c r="B33" s="94">
        <v>2</v>
      </c>
      <c r="C33" s="92">
        <f t="shared" si="0"/>
        <v>0.5</v>
      </c>
      <c r="D33" s="92">
        <f t="shared" si="1"/>
        <v>0.25</v>
      </c>
      <c r="E33" s="92">
        <f t="shared" si="2"/>
        <v>0.25</v>
      </c>
    </row>
    <row r="34" spans="1:5" ht="15.75">
      <c r="A34" s="5" t="s">
        <v>25</v>
      </c>
      <c r="B34" s="94">
        <v>1</v>
      </c>
      <c r="C34" s="92">
        <f t="shared" si="0"/>
        <v>1</v>
      </c>
      <c r="D34" s="92">
        <f t="shared" si="1"/>
        <v>1</v>
      </c>
      <c r="E34" s="92">
        <f t="shared" si="2"/>
        <v>1</v>
      </c>
    </row>
    <row r="35" spans="1:5" ht="15.75">
      <c r="A35" s="5" t="s">
        <v>26</v>
      </c>
      <c r="B35" s="94">
        <v>2</v>
      </c>
      <c r="C35" s="92">
        <f t="shared" si="0"/>
        <v>0.5</v>
      </c>
      <c r="D35" s="92">
        <f t="shared" si="1"/>
        <v>0.25</v>
      </c>
      <c r="E35" s="92">
        <f t="shared" si="2"/>
        <v>0.25</v>
      </c>
    </row>
    <row r="36" spans="1:5" ht="15.75">
      <c r="A36" s="5" t="s">
        <v>27</v>
      </c>
      <c r="B36" s="94">
        <v>1</v>
      </c>
      <c r="C36" s="92">
        <f t="shared" si="0"/>
        <v>1</v>
      </c>
      <c r="D36" s="92">
        <f t="shared" si="1"/>
        <v>1</v>
      </c>
      <c r="E36" s="92">
        <f t="shared" si="2"/>
        <v>1</v>
      </c>
    </row>
    <row r="37" spans="1:5" ht="15.75">
      <c r="A37" s="5" t="s">
        <v>28</v>
      </c>
      <c r="B37" s="94">
        <v>1</v>
      </c>
      <c r="C37" s="92">
        <f t="shared" si="0"/>
        <v>1</v>
      </c>
      <c r="D37" s="92">
        <f t="shared" si="1"/>
        <v>1</v>
      </c>
      <c r="E37" s="92">
        <f t="shared" si="2"/>
        <v>1</v>
      </c>
    </row>
    <row r="38" spans="1:5" ht="15.75">
      <c r="A38" s="5" t="s">
        <v>29</v>
      </c>
      <c r="B38" s="94">
        <v>2</v>
      </c>
      <c r="C38" s="92">
        <f t="shared" si="0"/>
        <v>0.5</v>
      </c>
      <c r="D38" s="92">
        <f t="shared" si="1"/>
        <v>0.25</v>
      </c>
      <c r="E38" s="92">
        <f t="shared" si="2"/>
        <v>0.25</v>
      </c>
    </row>
    <row r="39" spans="1:5" ht="15.75">
      <c r="A39" s="5" t="s">
        <v>30</v>
      </c>
      <c r="B39" s="94">
        <v>2</v>
      </c>
      <c r="C39" s="92">
        <f t="shared" si="0"/>
        <v>0.5</v>
      </c>
      <c r="D39" s="92">
        <f t="shared" si="1"/>
        <v>0.25</v>
      </c>
      <c r="E39" s="92">
        <f t="shared" si="2"/>
        <v>0.25</v>
      </c>
    </row>
    <row r="40" spans="1:5" ht="15.75">
      <c r="A40" s="5" t="s">
        <v>31</v>
      </c>
      <c r="B40" s="94">
        <v>3</v>
      </c>
      <c r="C40" s="92">
        <f t="shared" si="0"/>
        <v>0.3333333333333333</v>
      </c>
      <c r="D40" s="92">
        <f t="shared" si="1"/>
        <v>0</v>
      </c>
      <c r="E40" s="92">
        <f t="shared" si="2"/>
        <v>0</v>
      </c>
    </row>
    <row r="41" spans="1:5" ht="15.75">
      <c r="A41" s="5" t="s">
        <v>32</v>
      </c>
      <c r="B41" s="94">
        <v>2</v>
      </c>
      <c r="C41" s="92">
        <f t="shared" si="0"/>
        <v>0.5</v>
      </c>
      <c r="D41" s="92">
        <f t="shared" si="1"/>
        <v>0.25</v>
      </c>
      <c r="E41" s="92">
        <f t="shared" si="2"/>
        <v>0.25</v>
      </c>
    </row>
    <row r="42" spans="1:5" ht="15.75">
      <c r="A42" s="5" t="s">
        <v>33</v>
      </c>
      <c r="B42" s="94">
        <v>1</v>
      </c>
      <c r="C42" s="92">
        <f t="shared" si="0"/>
        <v>1</v>
      </c>
      <c r="D42" s="92">
        <f t="shared" si="1"/>
        <v>1</v>
      </c>
      <c r="E42" s="92">
        <f t="shared" si="2"/>
        <v>1</v>
      </c>
    </row>
    <row r="43" spans="1:5" ht="15.75">
      <c r="A43" s="5" t="s">
        <v>34</v>
      </c>
      <c r="B43" s="94">
        <v>2</v>
      </c>
      <c r="C43" s="92">
        <f t="shared" si="0"/>
        <v>0.5</v>
      </c>
      <c r="D43" s="92">
        <f t="shared" si="1"/>
        <v>0.25</v>
      </c>
      <c r="E43" s="92">
        <f t="shared" si="2"/>
        <v>0.25</v>
      </c>
    </row>
    <row r="44" spans="1:5" ht="15.75">
      <c r="A44" s="5" t="s">
        <v>35</v>
      </c>
      <c r="B44" s="94">
        <v>2</v>
      </c>
      <c r="C44" s="92">
        <f t="shared" si="0"/>
        <v>0.5</v>
      </c>
      <c r="D44" s="92">
        <f t="shared" si="1"/>
        <v>0.25</v>
      </c>
      <c r="E44" s="92">
        <f t="shared" si="2"/>
        <v>0.25</v>
      </c>
    </row>
    <row r="45" spans="1:5" ht="15.75">
      <c r="A45" s="5" t="s">
        <v>36</v>
      </c>
      <c r="B45" s="94">
        <v>1</v>
      </c>
      <c r="C45" s="92">
        <f t="shared" si="0"/>
        <v>1</v>
      </c>
      <c r="D45" s="92">
        <f t="shared" si="1"/>
        <v>1</v>
      </c>
      <c r="E45" s="92">
        <f t="shared" si="2"/>
        <v>1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AB42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B4"/>
    </sheetView>
  </sheetViews>
  <sheetFormatPr defaultColWidth="9.140625" defaultRowHeight="15"/>
  <cols>
    <col min="1" max="1" width="5.00390625" style="1" customWidth="1"/>
    <col min="2" max="2" width="22.140625" style="1" customWidth="1"/>
    <col min="3" max="3" width="6.7109375" style="1" customWidth="1"/>
    <col min="4" max="7" width="6.7109375" style="2" customWidth="1"/>
    <col min="8" max="8" width="6.7109375" style="1" customWidth="1"/>
    <col min="9" max="10" width="6.7109375" style="2" customWidth="1"/>
    <col min="11" max="11" width="8.421875" style="2" customWidth="1"/>
    <col min="12" max="13" width="6.7109375" style="2" customWidth="1"/>
    <col min="14" max="17" width="6.7109375" style="1" customWidth="1"/>
    <col min="18" max="18" width="7.28125" style="1" customWidth="1"/>
    <col min="19" max="19" width="6.7109375" style="1" customWidth="1"/>
    <col min="20" max="23" width="6.7109375" style="2" customWidth="1"/>
    <col min="24" max="24" width="6.7109375" style="1" customWidth="1"/>
    <col min="25" max="26" width="6.7109375" style="2" customWidth="1"/>
    <col min="27" max="27" width="18.57421875" style="1" customWidth="1"/>
    <col min="28" max="16384" width="9.140625" style="1" customWidth="1"/>
  </cols>
  <sheetData>
    <row r="1" spans="2:27" ht="17.25" customHeight="1">
      <c r="B1" s="110" t="s">
        <v>379</v>
      </c>
      <c r="C1" s="114"/>
      <c r="D1" s="114"/>
      <c r="E1" s="114"/>
      <c r="F1" s="114"/>
      <c r="G1" s="11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3" spans="1:28" s="8" customFormat="1" ht="70.5" customHeight="1">
      <c r="A3" s="107" t="s">
        <v>38</v>
      </c>
      <c r="B3" s="107"/>
      <c r="C3" s="107" t="s">
        <v>86</v>
      </c>
      <c r="D3" s="107"/>
      <c r="E3" s="107"/>
      <c r="F3" s="107"/>
      <c r="G3" s="107"/>
      <c r="H3" s="107" t="s">
        <v>87</v>
      </c>
      <c r="I3" s="107"/>
      <c r="J3" s="107"/>
      <c r="K3" s="107"/>
      <c r="L3" s="107"/>
      <c r="M3" s="107"/>
      <c r="N3" s="107" t="s">
        <v>133</v>
      </c>
      <c r="O3" s="107"/>
      <c r="P3" s="107"/>
      <c r="Q3" s="107"/>
      <c r="R3" s="107"/>
      <c r="S3" s="107"/>
      <c r="T3" s="107"/>
      <c r="U3" s="107"/>
      <c r="V3" s="107"/>
      <c r="W3" s="107"/>
      <c r="X3" s="107" t="s">
        <v>132</v>
      </c>
      <c r="Y3" s="107"/>
      <c r="Z3" s="107"/>
      <c r="AA3" s="107" t="s">
        <v>88</v>
      </c>
      <c r="AB3" s="21"/>
    </row>
    <row r="4" spans="1:27" s="8" customFormat="1" ht="23.25" customHeight="1">
      <c r="A4" s="107"/>
      <c r="B4" s="107"/>
      <c r="C4" s="3">
        <v>1</v>
      </c>
      <c r="D4" s="9">
        <v>2</v>
      </c>
      <c r="E4" s="9">
        <v>3</v>
      </c>
      <c r="F4" s="9">
        <v>4</v>
      </c>
      <c r="G4" s="9">
        <v>5</v>
      </c>
      <c r="H4" s="3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</v>
      </c>
      <c r="Y4" s="9">
        <v>2</v>
      </c>
      <c r="Z4" s="9">
        <v>3</v>
      </c>
      <c r="AA4" s="124"/>
    </row>
    <row r="5" spans="1:28" ht="15.75">
      <c r="A5" s="19">
        <v>1</v>
      </c>
      <c r="B5" s="5" t="s">
        <v>244</v>
      </c>
      <c r="C5" s="18">
        <f>'I (1)'!$F10</f>
        <v>1.1943837049780934</v>
      </c>
      <c r="D5" s="18">
        <f>'I (2)'!$F10</f>
        <v>0.3317618917530156</v>
      </c>
      <c r="E5" s="18">
        <f>'I (3)'!$G10</f>
        <v>0</v>
      </c>
      <c r="F5" s="19">
        <f>'I (4)'!$E9</f>
        <v>0</v>
      </c>
      <c r="G5" s="18">
        <f>'I (5)'!$G10</f>
        <v>1</v>
      </c>
      <c r="H5" s="19">
        <f>'II (1)'!$G9</f>
        <v>0</v>
      </c>
      <c r="I5" s="18">
        <f>'II (2)'!$I12</f>
        <v>-0.4768211914508278</v>
      </c>
      <c r="J5" s="34">
        <f>'II (3)'!$I12</f>
        <v>-0.041321617630777435</v>
      </c>
      <c r="K5" s="18">
        <f>'II (4)'!$F9</f>
        <v>-0.1327333373497176</v>
      </c>
      <c r="L5" s="28">
        <f>'II (5)'!$H10</f>
        <v>0</v>
      </c>
      <c r="M5" s="63">
        <f>'II (6)'!$F10</f>
        <v>0.8016604786491586</v>
      </c>
      <c r="N5" s="28">
        <f>'III (1)'!$L10</f>
        <v>0</v>
      </c>
      <c r="O5" s="28">
        <f>'III (2)'!$I10</f>
        <v>0</v>
      </c>
      <c r="P5" s="28">
        <f>'III (3)'!$H9</f>
        <v>0</v>
      </c>
      <c r="Q5" s="28">
        <f>'III (4)'!$I9</f>
        <v>0</v>
      </c>
      <c r="R5" s="18">
        <f>'III (5)'!$L10</f>
        <v>-0.8600630953691031</v>
      </c>
      <c r="S5" s="18">
        <f>'III (6)'!$J10</f>
        <v>-1.4428472991804142</v>
      </c>
      <c r="T5" s="28">
        <f>'III (7)'!$E9</f>
        <v>0</v>
      </c>
      <c r="U5" s="18">
        <f>'III (8)'!$J10</f>
        <v>0.14340632135018433</v>
      </c>
      <c r="V5" s="28">
        <f>'III (9)'!$G9</f>
        <v>0</v>
      </c>
      <c r="W5" s="18">
        <f>'III (10)'!$I9</f>
        <v>0</v>
      </c>
      <c r="X5" s="19">
        <f>'IV (1)'!$E9</f>
        <v>1</v>
      </c>
      <c r="Y5" s="19">
        <f>'IV (2)'!$E9</f>
        <v>0</v>
      </c>
      <c r="Z5" s="18">
        <f>'IV (3)'!$E9</f>
        <v>1</v>
      </c>
      <c r="AA5" s="78">
        <f>SUM($C5:$Z5)</f>
        <v>2.517425855749612</v>
      </c>
      <c r="AB5" s="1">
        <f>RANK(AA5,$AA$5:$AA$41,0)</f>
        <v>32</v>
      </c>
    </row>
    <row r="6" spans="1:28" ht="15.75">
      <c r="A6" s="19">
        <v>2</v>
      </c>
      <c r="B6" s="5" t="s">
        <v>245</v>
      </c>
      <c r="C6" s="18">
        <f>'I (1)'!$F11</f>
        <v>1.178028946268061</v>
      </c>
      <c r="D6" s="18">
        <f>'I (2)'!$F11</f>
        <v>0.35965632696579597</v>
      </c>
      <c r="E6" s="18">
        <f>'I (3)'!$G11</f>
        <v>0</v>
      </c>
      <c r="F6" s="19">
        <f>'I (4)'!$E10</f>
        <v>0</v>
      </c>
      <c r="G6" s="18">
        <f>'I (5)'!$G11</f>
        <v>0.8354942882742608</v>
      </c>
      <c r="H6" s="19">
        <f>'II (1)'!$G10</f>
        <v>0</v>
      </c>
      <c r="I6" s="18">
        <f>'II (2)'!$I13</f>
        <v>0</v>
      </c>
      <c r="J6" s="34">
        <f>'II (3)'!$I13</f>
        <v>0</v>
      </c>
      <c r="K6" s="18">
        <f>'II (4)'!$F10</f>
        <v>-0.38893646168089197</v>
      </c>
      <c r="L6" s="28">
        <f>'II (5)'!$H11</f>
        <v>0</v>
      </c>
      <c r="M6" s="63">
        <f>'II (6)'!$F11</f>
        <v>1.8293241417201913</v>
      </c>
      <c r="N6" s="28">
        <f>'III (1)'!$L11</f>
        <v>0</v>
      </c>
      <c r="O6" s="28">
        <f>'III (2)'!$I11</f>
        <v>0</v>
      </c>
      <c r="P6" s="28">
        <f>'III (3)'!$H10</f>
        <v>0</v>
      </c>
      <c r="Q6" s="28">
        <f>'III (4)'!$I10</f>
        <v>0</v>
      </c>
      <c r="R6" s="18">
        <f>'III (5)'!$L11</f>
        <v>0</v>
      </c>
      <c r="S6" s="18">
        <f>'III (6)'!$J11</f>
        <v>-1.4856632809735029</v>
      </c>
      <c r="T6" s="28">
        <f>'III (7)'!$E10</f>
        <v>0</v>
      </c>
      <c r="U6" s="18">
        <f>'III (8)'!$J11</f>
        <v>0.11856461380737762</v>
      </c>
      <c r="V6" s="28">
        <f>'III (9)'!$G10</f>
        <v>0</v>
      </c>
      <c r="W6" s="18">
        <f>'III (10)'!$I10</f>
        <v>0</v>
      </c>
      <c r="X6" s="19">
        <f>'IV (1)'!$E10</f>
        <v>1</v>
      </c>
      <c r="Y6" s="19">
        <f>'IV (2)'!$E10</f>
        <v>0</v>
      </c>
      <c r="Z6" s="18">
        <f>'IV (3)'!$E10</f>
        <v>0.25</v>
      </c>
      <c r="AA6" s="78">
        <f aca="true" t="shared" si="0" ref="AA6:AA41">SUM($C6:$Z6)</f>
        <v>3.6964685743812917</v>
      </c>
      <c r="AB6" s="1">
        <f aca="true" t="shared" si="1" ref="AB6:AB41">RANK(AA6,$AA$5:$AA$41,0)</f>
        <v>24</v>
      </c>
    </row>
    <row r="7" spans="1:28" ht="15.75">
      <c r="A7" s="19">
        <v>3</v>
      </c>
      <c r="B7" s="5" t="s">
        <v>246</v>
      </c>
      <c r="C7" s="18">
        <f>'I (1)'!$F12</f>
        <v>1.8448667221908666</v>
      </c>
      <c r="D7" s="18">
        <f>'I (2)'!$F12</f>
        <v>0.26315359062178384</v>
      </c>
      <c r="E7" s="18">
        <f>'I (3)'!$G12</f>
        <v>0</v>
      </c>
      <c r="F7" s="19">
        <f>'I (4)'!$E11</f>
        <v>0</v>
      </c>
      <c r="G7" s="18">
        <f>'I (5)'!$G12</f>
        <v>0.9375475290958261</v>
      </c>
      <c r="H7" s="19">
        <f>'II (1)'!$G11</f>
        <v>0</v>
      </c>
      <c r="I7" s="18">
        <f>'II (2)'!$I14</f>
        <v>-0.41276985652480463</v>
      </c>
      <c r="J7" s="34">
        <f>'II (3)'!$I14</f>
        <v>-0.15552751358465144</v>
      </c>
      <c r="K7" s="18">
        <f>'II (4)'!$F11</f>
        <v>-1</v>
      </c>
      <c r="L7" s="28">
        <f>'II (5)'!$H12</f>
        <v>0</v>
      </c>
      <c r="M7" s="63">
        <f>'II (6)'!$F12</f>
        <v>1.5962408185479302</v>
      </c>
      <c r="N7" s="28">
        <f>'III (1)'!$L12</f>
        <v>0</v>
      </c>
      <c r="O7" s="28">
        <f>'III (2)'!$I12</f>
        <v>0</v>
      </c>
      <c r="P7" s="28">
        <f>'III (3)'!$H11</f>
        <v>0</v>
      </c>
      <c r="Q7" s="28">
        <f>'III (4)'!$I11</f>
        <v>0</v>
      </c>
      <c r="R7" s="18">
        <f>'III (5)'!$L12</f>
        <v>0</v>
      </c>
      <c r="S7" s="18">
        <f>'III (6)'!$J12</f>
        <v>-0.5657959346719081</v>
      </c>
      <c r="T7" s="28">
        <f>'III (7)'!$E11</f>
        <v>0</v>
      </c>
      <c r="U7" s="18">
        <f>'III (8)'!$J12</f>
        <v>0.15822562389007455</v>
      </c>
      <c r="V7" s="28">
        <f>'III (9)'!$G11</f>
        <v>0</v>
      </c>
      <c r="W7" s="18">
        <f>'III (10)'!$I11</f>
        <v>0</v>
      </c>
      <c r="X7" s="19">
        <f>'IV (1)'!$E11</f>
        <v>1</v>
      </c>
      <c r="Y7" s="19">
        <f>'IV (2)'!$E11</f>
        <v>0</v>
      </c>
      <c r="Z7" s="18">
        <f>'IV (3)'!$E11</f>
        <v>0.25</v>
      </c>
      <c r="AA7" s="78">
        <f t="shared" si="0"/>
        <v>3.915940979565117</v>
      </c>
      <c r="AB7" s="1">
        <f t="shared" si="1"/>
        <v>20</v>
      </c>
    </row>
    <row r="8" spans="1:28" ht="15.75">
      <c r="A8" s="19">
        <v>4</v>
      </c>
      <c r="B8" s="5" t="s">
        <v>247</v>
      </c>
      <c r="C8" s="18">
        <f>'I (1)'!$F13</f>
        <v>0.9091996008406498</v>
      </c>
      <c r="D8" s="18">
        <f>'I (2)'!$F13</f>
        <v>0.24844103253865926</v>
      </c>
      <c r="E8" s="18">
        <f>'I (3)'!$G13</f>
        <v>0</v>
      </c>
      <c r="F8" s="19">
        <f>'I (4)'!$E12</f>
        <v>0</v>
      </c>
      <c r="G8" s="18">
        <f>'I (5)'!$G13</f>
        <v>1</v>
      </c>
      <c r="H8" s="19">
        <f>'II (1)'!$G12</f>
        <v>0</v>
      </c>
      <c r="I8" s="18">
        <f>'II (2)'!$I15</f>
        <v>-0.2231299879670645</v>
      </c>
      <c r="J8" s="34">
        <f>'II (3)'!$I15</f>
        <v>0</v>
      </c>
      <c r="K8" s="18">
        <f>'II (4)'!$F12</f>
        <v>-0.6712528598039316</v>
      </c>
      <c r="L8" s="28">
        <f>'II (5)'!$H13</f>
        <v>0</v>
      </c>
      <c r="M8" s="63">
        <f>'II (6)'!$F13</f>
        <v>1.6332545014214022</v>
      </c>
      <c r="N8" s="28">
        <f>'III (1)'!$L13</f>
        <v>0</v>
      </c>
      <c r="O8" s="28">
        <f>'III (2)'!$I13</f>
        <v>0</v>
      </c>
      <c r="P8" s="28">
        <f>'III (3)'!$H12</f>
        <v>0</v>
      </c>
      <c r="Q8" s="28">
        <f>'III (4)'!$I12</f>
        <v>0</v>
      </c>
      <c r="R8" s="18">
        <f>'III (5)'!$L13</f>
        <v>-0.9438277824877048</v>
      </c>
      <c r="S8" s="18">
        <f>'III (6)'!$J13</f>
        <v>-1.470536877931854</v>
      </c>
      <c r="T8" s="28">
        <f>'III (7)'!$E12</f>
        <v>0</v>
      </c>
      <c r="U8" s="18">
        <f>'III (8)'!$J13</f>
        <v>0.09950347030267434</v>
      </c>
      <c r="V8" s="28">
        <f>'III (9)'!$G12</f>
        <v>0</v>
      </c>
      <c r="W8" s="18">
        <f>'III (10)'!$I12</f>
        <v>0</v>
      </c>
      <c r="X8" s="19">
        <f>'IV (1)'!$E12</f>
        <v>1</v>
      </c>
      <c r="Y8" s="19">
        <f>'IV (2)'!$E12</f>
        <v>0</v>
      </c>
      <c r="Z8" s="18">
        <f>'IV (3)'!$E12</f>
        <v>1</v>
      </c>
      <c r="AA8" s="78">
        <f t="shared" si="0"/>
        <v>2.5816510969128306</v>
      </c>
      <c r="AB8" s="1">
        <f t="shared" si="1"/>
        <v>31</v>
      </c>
    </row>
    <row r="9" spans="1:28" ht="15.75">
      <c r="A9" s="19">
        <v>5</v>
      </c>
      <c r="B9" s="5" t="s">
        <v>248</v>
      </c>
      <c r="C9" s="18">
        <f>'I (1)'!$F14</f>
        <v>1.7406267041762975</v>
      </c>
      <c r="D9" s="18">
        <f>'I (2)'!$F14</f>
        <v>0.31142978026740487</v>
      </c>
      <c r="E9" s="18">
        <f>'I (3)'!$G14</f>
        <v>0</v>
      </c>
      <c r="F9" s="19">
        <f>'I (4)'!$E13</f>
        <v>0</v>
      </c>
      <c r="G9" s="18">
        <f>'I (5)'!$G14</f>
        <v>1</v>
      </c>
      <c r="H9" s="19">
        <f>'II (1)'!$G13</f>
        <v>0</v>
      </c>
      <c r="I9" s="18">
        <f>'II (2)'!$I16</f>
        <v>-0.15907678447980936</v>
      </c>
      <c r="J9" s="34">
        <f>'II (3)'!$I16</f>
        <v>0</v>
      </c>
      <c r="K9" s="18">
        <f>'II (4)'!$F13</f>
        <v>-0.1214157262998778</v>
      </c>
      <c r="L9" s="28">
        <f>'II (5)'!$H14</f>
        <v>0</v>
      </c>
      <c r="M9" s="63">
        <f>'II (6)'!$F14</f>
        <v>1.8126893189000133</v>
      </c>
      <c r="N9" s="28">
        <f>'III (1)'!$L14</f>
        <v>0</v>
      </c>
      <c r="O9" s="28">
        <f>'III (2)'!$I14</f>
        <v>0</v>
      </c>
      <c r="P9" s="28">
        <f>'III (3)'!$H13</f>
        <v>0</v>
      </c>
      <c r="Q9" s="28">
        <f>'III (4)'!$I13</f>
        <v>0</v>
      </c>
      <c r="R9" s="18">
        <f>'III (5)'!$L14</f>
        <v>0</v>
      </c>
      <c r="S9" s="18">
        <f>'III (6)'!$J14</f>
        <v>-0.05892207655415149</v>
      </c>
      <c r="T9" s="28">
        <f>'III (7)'!$E13</f>
        <v>0</v>
      </c>
      <c r="U9" s="18">
        <f>'III (8)'!$J14</f>
        <v>0.14650999608471182</v>
      </c>
      <c r="V9" s="28">
        <f>'III (9)'!$G13</f>
        <v>0</v>
      </c>
      <c r="W9" s="18">
        <f>'III (10)'!$I13</f>
        <v>0</v>
      </c>
      <c r="X9" s="19">
        <f>'IV (1)'!$E13</f>
        <v>1</v>
      </c>
      <c r="Y9" s="19">
        <f>'IV (2)'!$E13</f>
        <v>0</v>
      </c>
      <c r="Z9" s="18">
        <f>'IV (3)'!$E13</f>
        <v>1</v>
      </c>
      <c r="AA9" s="78">
        <f t="shared" si="0"/>
        <v>6.671841212094589</v>
      </c>
      <c r="AB9" s="1">
        <f t="shared" si="1"/>
        <v>3</v>
      </c>
    </row>
    <row r="10" spans="1:28" ht="15.75">
      <c r="A10" s="19">
        <v>6</v>
      </c>
      <c r="B10" s="5" t="s">
        <v>249</v>
      </c>
      <c r="C10" s="18">
        <f>'I (1)'!$F15</f>
        <v>1.1598035677317593</v>
      </c>
      <c r="D10" s="18">
        <f>'I (2)'!$F15</f>
        <v>0.05429759262511773</v>
      </c>
      <c r="E10" s="18">
        <f>'I (3)'!$G15</f>
        <v>-0.23138261727976578</v>
      </c>
      <c r="F10" s="19">
        <f>'I (4)'!$E14</f>
        <v>0</v>
      </c>
      <c r="G10" s="18">
        <f>'I (5)'!$G15</f>
        <v>0.690211229571062</v>
      </c>
      <c r="H10" s="19">
        <f>'II (1)'!$G14</f>
        <v>0</v>
      </c>
      <c r="I10" s="18">
        <f>'II (2)'!$I17</f>
        <v>0</v>
      </c>
      <c r="J10" s="34">
        <f>'II (3)'!$I17</f>
        <v>0</v>
      </c>
      <c r="K10" s="18">
        <f>'II (4)'!$F14</f>
        <v>-0.46587667766115404</v>
      </c>
      <c r="L10" s="28">
        <f>'II (5)'!$H15</f>
        <v>0</v>
      </c>
      <c r="M10" s="63">
        <f>'II (6)'!$F15</f>
        <v>1.6372310009638502</v>
      </c>
      <c r="N10" s="28">
        <f>'III (1)'!$L15</f>
        <v>0</v>
      </c>
      <c r="O10" s="28">
        <f>'III (2)'!$I15</f>
        <v>0</v>
      </c>
      <c r="P10" s="28">
        <f>'III (3)'!$H14</f>
        <v>0</v>
      </c>
      <c r="Q10" s="28">
        <f>'III (4)'!$I14</f>
        <v>0</v>
      </c>
      <c r="R10" s="18">
        <f>'III (5)'!$L15</f>
        <v>0</v>
      </c>
      <c r="S10" s="18">
        <f>'III (6)'!$J15</f>
        <v>0</v>
      </c>
      <c r="T10" s="28">
        <f>'III (7)'!$E14</f>
        <v>0</v>
      </c>
      <c r="U10" s="18">
        <f>'III (8)'!$J15</f>
        <v>0.2223385046265911</v>
      </c>
      <c r="V10" s="28">
        <f>'III (9)'!$G14</f>
        <v>0</v>
      </c>
      <c r="W10" s="18">
        <f>'III (10)'!$I14</f>
        <v>0</v>
      </c>
      <c r="X10" s="19">
        <f>'IV (1)'!$E14</f>
        <v>1</v>
      </c>
      <c r="Y10" s="19">
        <f>'IV (2)'!$E14</f>
        <v>0</v>
      </c>
      <c r="Z10" s="18">
        <f>'IV (3)'!$E14</f>
        <v>1</v>
      </c>
      <c r="AA10" s="78">
        <f t="shared" si="0"/>
        <v>5.06662260057746</v>
      </c>
      <c r="AB10" s="1">
        <f t="shared" si="1"/>
        <v>14</v>
      </c>
    </row>
    <row r="11" spans="1:28" ht="15.75">
      <c r="A11" s="19">
        <v>7</v>
      </c>
      <c r="B11" s="5" t="s">
        <v>250</v>
      </c>
      <c r="C11" s="18">
        <f>'I (1)'!$F16</f>
        <v>0.9024051224221639</v>
      </c>
      <c r="D11" s="18">
        <f>'I (2)'!$F16</f>
        <v>0.32331350526161323</v>
      </c>
      <c r="E11" s="18">
        <f>'I (3)'!$G16</f>
        <v>0</v>
      </c>
      <c r="F11" s="19">
        <f>'I (4)'!$E15</f>
        <v>0</v>
      </c>
      <c r="G11" s="18">
        <f>'I (5)'!$G16</f>
        <v>1</v>
      </c>
      <c r="H11" s="19">
        <f>'II (1)'!$G15</f>
        <v>0</v>
      </c>
      <c r="I11" s="18">
        <f>'II (2)'!$I18</f>
        <v>-0.35206276216394106</v>
      </c>
      <c r="J11" s="34">
        <f>'II (3)'!$I18</f>
        <v>0</v>
      </c>
      <c r="K11" s="18">
        <f>'II (4)'!$F15</f>
        <v>-0.1531309399539844</v>
      </c>
      <c r="L11" s="28">
        <f>'II (5)'!$H16</f>
        <v>0</v>
      </c>
      <c r="M11" s="63">
        <f>'II (6)'!$F16</f>
        <v>1.4320285831521173</v>
      </c>
      <c r="N11" s="28">
        <f>'III (1)'!$L16</f>
        <v>0</v>
      </c>
      <c r="O11" s="28">
        <f>'III (2)'!$I16</f>
        <v>0</v>
      </c>
      <c r="P11" s="28">
        <f>'III (3)'!$H15</f>
        <v>0</v>
      </c>
      <c r="Q11" s="28">
        <f>'III (4)'!$I15</f>
        <v>0</v>
      </c>
      <c r="R11" s="18">
        <f>'III (5)'!$L16</f>
        <v>-0.7299463617419208</v>
      </c>
      <c r="S11" s="18">
        <f>'III (6)'!$J16</f>
        <v>-0.3842608955114829</v>
      </c>
      <c r="T11" s="28">
        <f>'III (7)'!$E15</f>
        <v>0</v>
      </c>
      <c r="U11" s="18">
        <f>'III (8)'!$J16</f>
        <v>0.06811185886731058</v>
      </c>
      <c r="V11" s="28">
        <f>'III (9)'!$G15</f>
        <v>0</v>
      </c>
      <c r="W11" s="18">
        <f>'III (10)'!$I15</f>
        <v>0</v>
      </c>
      <c r="X11" s="19">
        <f>'IV (1)'!$E15</f>
        <v>1</v>
      </c>
      <c r="Y11" s="19">
        <f>'IV (2)'!$E15</f>
        <v>0</v>
      </c>
      <c r="Z11" s="18">
        <f>'IV (3)'!$E15</f>
        <v>0.25</v>
      </c>
      <c r="AA11" s="78">
        <f t="shared" si="0"/>
        <v>3.356458110331876</v>
      </c>
      <c r="AB11" s="1">
        <f t="shared" si="1"/>
        <v>28</v>
      </c>
    </row>
    <row r="12" spans="1:28" ht="15.75">
      <c r="A12" s="19">
        <v>8</v>
      </c>
      <c r="B12" s="5" t="s">
        <v>251</v>
      </c>
      <c r="C12" s="18">
        <f>'I (1)'!$F17</f>
        <v>1.2686807877652821</v>
      </c>
      <c r="D12" s="18">
        <f>'I (2)'!$F17</f>
        <v>0.25400245725284704</v>
      </c>
      <c r="E12" s="18">
        <f>'I (3)'!$G17</f>
        <v>0</v>
      </c>
      <c r="F12" s="19">
        <f>'I (4)'!$E16</f>
        <v>0</v>
      </c>
      <c r="G12" s="18">
        <f>'I (5)'!$G17</f>
        <v>0.20666903215263502</v>
      </c>
      <c r="H12" s="19">
        <f>'II (1)'!$G16</f>
        <v>0</v>
      </c>
      <c r="I12" s="18">
        <f>'II (2)'!$I19</f>
        <v>0</v>
      </c>
      <c r="J12" s="34">
        <f>'II (3)'!$I19</f>
        <v>0</v>
      </c>
      <c r="K12" s="18">
        <f>'II (4)'!$F16</f>
        <v>-0.029626483936348917</v>
      </c>
      <c r="L12" s="28">
        <f>'II (5)'!$H17</f>
        <v>0</v>
      </c>
      <c r="M12" s="63">
        <f>'II (6)'!$F17</f>
        <v>1.9872206790007372</v>
      </c>
      <c r="N12" s="28">
        <f>'III (1)'!$L17</f>
        <v>0</v>
      </c>
      <c r="O12" s="28">
        <f>'III (2)'!$I17</f>
        <v>0</v>
      </c>
      <c r="P12" s="28">
        <f>'III (3)'!$H16</f>
        <v>0</v>
      </c>
      <c r="Q12" s="28">
        <f>'III (4)'!$I16</f>
        <v>0</v>
      </c>
      <c r="R12" s="18">
        <f>'III (5)'!$L17</f>
        <v>-0.9318228938885533</v>
      </c>
      <c r="S12" s="18">
        <f>'III (6)'!$J17</f>
        <v>-1.6907643486320982</v>
      </c>
      <c r="T12" s="28">
        <f>'III (7)'!$E16</f>
        <v>0</v>
      </c>
      <c r="U12" s="18">
        <f>'III (8)'!$J17</f>
        <v>0.09537491916279461</v>
      </c>
      <c r="V12" s="28">
        <f>'III (9)'!$G16</f>
        <v>0</v>
      </c>
      <c r="W12" s="18">
        <f>'III (10)'!$I16</f>
        <v>0</v>
      </c>
      <c r="X12" s="19">
        <f>'IV (1)'!$E16</f>
        <v>1</v>
      </c>
      <c r="Y12" s="19">
        <f>'IV (2)'!$E16</f>
        <v>0</v>
      </c>
      <c r="Z12" s="18">
        <f>'IV (3)'!$E16</f>
        <v>1</v>
      </c>
      <c r="AA12" s="78">
        <f t="shared" si="0"/>
        <v>3.159734148877295</v>
      </c>
      <c r="AB12" s="1">
        <f t="shared" si="1"/>
        <v>29</v>
      </c>
    </row>
    <row r="13" spans="1:28" ht="15.75">
      <c r="A13" s="19">
        <v>9</v>
      </c>
      <c r="B13" s="5" t="s">
        <v>252</v>
      </c>
      <c r="C13" s="18">
        <f>'I (1)'!$F18</f>
        <v>1.09371107161354</v>
      </c>
      <c r="D13" s="18">
        <f>'I (2)'!$F18</f>
        <v>0.30979307983223126</v>
      </c>
      <c r="E13" s="18">
        <f>'I (3)'!$G18</f>
        <v>0</v>
      </c>
      <c r="F13" s="19">
        <f>'I (4)'!$E17</f>
        <v>0</v>
      </c>
      <c r="G13" s="18">
        <f>'I (5)'!$G18</f>
        <v>0.8343634353918237</v>
      </c>
      <c r="H13" s="19">
        <f>'II (1)'!$G17</f>
        <v>0</v>
      </c>
      <c r="I13" s="18">
        <f>'II (2)'!$I20</f>
        <v>0</v>
      </c>
      <c r="J13" s="34">
        <f>'II (3)'!$I20</f>
        <v>0</v>
      </c>
      <c r="K13" s="18">
        <f>'II (4)'!$F17</f>
        <v>-0.4724432338723827</v>
      </c>
      <c r="L13" s="28">
        <f>'II (5)'!$H18</f>
        <v>0</v>
      </c>
      <c r="M13" s="63">
        <f>'II (6)'!$F18</f>
        <v>1.7127067678764836</v>
      </c>
      <c r="N13" s="28">
        <f>'III (1)'!$L18</f>
        <v>0</v>
      </c>
      <c r="O13" s="28">
        <f>'III (2)'!$I18</f>
        <v>0</v>
      </c>
      <c r="P13" s="28">
        <f>'III (3)'!$H17</f>
        <v>0</v>
      </c>
      <c r="Q13" s="28">
        <f>'III (4)'!$I17</f>
        <v>0</v>
      </c>
      <c r="R13" s="18">
        <f>'III (5)'!$L18</f>
        <v>0</v>
      </c>
      <c r="S13" s="18">
        <f>'III (6)'!$J18</f>
        <v>-0.37730256336746193</v>
      </c>
      <c r="T13" s="28">
        <f>'III (7)'!$E17</f>
        <v>0</v>
      </c>
      <c r="U13" s="18">
        <f>'III (8)'!$J18</f>
        <v>0.2250687900079594</v>
      </c>
      <c r="V13" s="28">
        <f>'III (9)'!$G17</f>
        <v>0</v>
      </c>
      <c r="W13" s="18">
        <f>'III (10)'!$I17</f>
        <v>0</v>
      </c>
      <c r="X13" s="19">
        <f>'IV (1)'!$E17</f>
        <v>1</v>
      </c>
      <c r="Y13" s="19">
        <f>'IV (2)'!$E17</f>
        <v>0</v>
      </c>
      <c r="Z13" s="18">
        <f>'IV (3)'!$E17</f>
        <v>1</v>
      </c>
      <c r="AA13" s="78">
        <f t="shared" si="0"/>
        <v>5.325897347482194</v>
      </c>
      <c r="AB13" s="1">
        <f t="shared" si="1"/>
        <v>12</v>
      </c>
    </row>
    <row r="14" spans="1:28" ht="15.75">
      <c r="A14" s="19">
        <v>10</v>
      </c>
      <c r="B14" s="5" t="s">
        <v>253</v>
      </c>
      <c r="C14" s="18">
        <f>'I (1)'!$F19</f>
        <v>1.06083157391114</v>
      </c>
      <c r="D14" s="18">
        <f>'I (2)'!$F19</f>
        <v>0.14020496368725865</v>
      </c>
      <c r="E14" s="18">
        <f>'I (3)'!$G19</f>
        <v>-0.9535851817824689</v>
      </c>
      <c r="F14" s="19">
        <f>'I (4)'!$E18</f>
        <v>-1</v>
      </c>
      <c r="G14" s="18">
        <f>'I (5)'!$G19</f>
        <v>1</v>
      </c>
      <c r="H14" s="19">
        <f>'II (1)'!$G18</f>
        <v>0</v>
      </c>
      <c r="I14" s="18">
        <f>'II (2)'!$I21</f>
        <v>0</v>
      </c>
      <c r="J14" s="34">
        <f>'II (3)'!$I21</f>
        <v>0</v>
      </c>
      <c r="K14" s="18">
        <f>'II (4)'!$F18</f>
        <v>-0.8813587554595904</v>
      </c>
      <c r="L14" s="28">
        <f>'II (5)'!$H19</f>
        <v>0</v>
      </c>
      <c r="M14" s="63">
        <f>'II (6)'!$F19</f>
        <v>1.5737058305898386</v>
      </c>
      <c r="N14" s="28">
        <f>'III (1)'!$L19</f>
        <v>0</v>
      </c>
      <c r="O14" s="28">
        <f>'III (2)'!$I19</f>
        <v>0</v>
      </c>
      <c r="P14" s="28">
        <f>'III (3)'!$H18</f>
        <v>0</v>
      </c>
      <c r="Q14" s="28">
        <f>'III (4)'!$I18</f>
        <v>0</v>
      </c>
      <c r="R14" s="18">
        <f>'III (5)'!$L19</f>
        <v>-0.7105318511709272</v>
      </c>
      <c r="S14" s="18">
        <f>'III (6)'!$J19</f>
        <v>-1.1157467054423784</v>
      </c>
      <c r="T14" s="28">
        <f>'III (7)'!$E18</f>
        <v>0</v>
      </c>
      <c r="U14" s="18">
        <f>'III (8)'!$J19</f>
        <v>0</v>
      </c>
      <c r="V14" s="28">
        <f>'III (9)'!$G18</f>
        <v>0</v>
      </c>
      <c r="W14" s="18">
        <f>'III (10)'!$I18</f>
        <v>0</v>
      </c>
      <c r="X14" s="19">
        <f>'IV (1)'!$E18</f>
        <v>1</v>
      </c>
      <c r="Y14" s="19">
        <f>'IV (2)'!$E18</f>
        <v>0</v>
      </c>
      <c r="Z14" s="18">
        <f>'IV (3)'!$E18</f>
        <v>0.25</v>
      </c>
      <c r="AA14" s="78">
        <f t="shared" si="0"/>
        <v>0.36351987433287236</v>
      </c>
      <c r="AB14" s="1">
        <f t="shared" si="1"/>
        <v>37</v>
      </c>
    </row>
    <row r="15" spans="1:28" ht="15.75">
      <c r="A15" s="19">
        <v>11</v>
      </c>
      <c r="B15" s="5" t="s">
        <v>254</v>
      </c>
      <c r="C15" s="18">
        <f>'I (1)'!$F20</f>
        <v>1.3592929118300787</v>
      </c>
      <c r="D15" s="18">
        <f>'I (2)'!$F20</f>
        <v>0.09019706282192126</v>
      </c>
      <c r="E15" s="18">
        <f>'I (3)'!$G20</f>
        <v>0</v>
      </c>
      <c r="F15" s="19">
        <f>'I (4)'!$E19</f>
        <v>0</v>
      </c>
      <c r="G15" s="18">
        <f>'I (5)'!$G20</f>
        <v>0.3086479100117039</v>
      </c>
      <c r="H15" s="19">
        <f>'II (1)'!$G19</f>
        <v>0</v>
      </c>
      <c r="I15" s="18">
        <f>'II (2)'!$I22</f>
        <v>-0.22294066942419982</v>
      </c>
      <c r="J15" s="34">
        <f>'II (3)'!$I22</f>
        <v>-0.17907575390788943</v>
      </c>
      <c r="K15" s="99">
        <f>'II (4)'!$F19</f>
        <v>-0.0009428272201721739</v>
      </c>
      <c r="L15" s="28">
        <f>'II (5)'!$H20</f>
        <v>0</v>
      </c>
      <c r="M15" s="63">
        <f>'II (6)'!$F20</f>
        <v>1.9094182519243148</v>
      </c>
      <c r="N15" s="28">
        <f>'III (1)'!$L20</f>
        <v>0</v>
      </c>
      <c r="O15" s="28">
        <f>'III (2)'!$I20</f>
        <v>0</v>
      </c>
      <c r="P15" s="28">
        <f>'III (3)'!$H19</f>
        <v>0</v>
      </c>
      <c r="Q15" s="28">
        <f>'III (4)'!$I19</f>
        <v>0</v>
      </c>
      <c r="R15" s="18">
        <f>'III (5)'!$L20</f>
        <v>0</v>
      </c>
      <c r="S15" s="18">
        <f>'III (6)'!$J20</f>
        <v>0</v>
      </c>
      <c r="T15" s="28">
        <f>'III (7)'!$E19</f>
        <v>0</v>
      </c>
      <c r="U15" s="18">
        <f>'III (8)'!$J20</f>
        <v>0.3722929941428513</v>
      </c>
      <c r="V15" s="28">
        <f>'III (9)'!$G19</f>
        <v>0</v>
      </c>
      <c r="W15" s="18">
        <f>'III (10)'!$I19</f>
        <v>-1</v>
      </c>
      <c r="X15" s="19">
        <f>'IV (1)'!$E19</f>
        <v>1</v>
      </c>
      <c r="Y15" s="19">
        <f>'IV (2)'!$E19</f>
        <v>0</v>
      </c>
      <c r="Z15" s="18">
        <f>'IV (3)'!$E19</f>
        <v>0.25</v>
      </c>
      <c r="AA15" s="78">
        <f t="shared" si="0"/>
        <v>3.8868898801786087</v>
      </c>
      <c r="AB15" s="1">
        <f t="shared" si="1"/>
        <v>21</v>
      </c>
    </row>
    <row r="16" spans="1:28" ht="15.75">
      <c r="A16" s="19">
        <v>12</v>
      </c>
      <c r="B16" s="5" t="s">
        <v>255</v>
      </c>
      <c r="C16" s="18">
        <f>'I (1)'!$F21</f>
        <v>1.123614251454849</v>
      </c>
      <c r="D16" s="18">
        <f>'I (2)'!$F21</f>
        <v>0.5193460091386729</v>
      </c>
      <c r="E16" s="18">
        <f>'I (3)'!$G21</f>
        <v>0</v>
      </c>
      <c r="F16" s="19">
        <f>'I (4)'!$E20</f>
        <v>0</v>
      </c>
      <c r="G16" s="18">
        <f>'I (5)'!$G21</f>
        <v>0.8499460063872911</v>
      </c>
      <c r="H16" s="19">
        <f>'II (1)'!$G20</f>
        <v>0</v>
      </c>
      <c r="I16" s="18">
        <f>'II (2)'!$I23</f>
        <v>0</v>
      </c>
      <c r="J16" s="34">
        <f>'II (3)'!$I23</f>
        <v>-0.2954501559078069</v>
      </c>
      <c r="K16" s="100">
        <f>'II (4)'!$F20</f>
        <v>-0.00045174107811723867</v>
      </c>
      <c r="L16" s="28">
        <f>'II (5)'!$H21</f>
        <v>0</v>
      </c>
      <c r="M16" s="101">
        <f>'II (6)'!$F21</f>
        <v>1.996778509092131</v>
      </c>
      <c r="N16" s="28">
        <f>'III (1)'!$L21</f>
        <v>0</v>
      </c>
      <c r="O16" s="28">
        <f>'III (2)'!$I21</f>
        <v>0</v>
      </c>
      <c r="P16" s="28">
        <f>'III (3)'!$H20</f>
        <v>0</v>
      </c>
      <c r="Q16" s="28">
        <f>'III (4)'!$I20</f>
        <v>0</v>
      </c>
      <c r="R16" s="18">
        <f>'III (5)'!$L21</f>
        <v>0</v>
      </c>
      <c r="S16" s="18">
        <f>'III (6)'!$J21</f>
        <v>0</v>
      </c>
      <c r="T16" s="28">
        <f>'III (7)'!$E20</f>
        <v>0</v>
      </c>
      <c r="U16" s="18">
        <f>'III (8)'!$J21</f>
        <v>0.49844266476378024</v>
      </c>
      <c r="V16" s="28">
        <f>'III (9)'!$G20</f>
        <v>0</v>
      </c>
      <c r="W16" s="18">
        <f>'III (10)'!$I20</f>
        <v>0</v>
      </c>
      <c r="X16" s="19">
        <f>'IV (1)'!$E20</f>
        <v>1</v>
      </c>
      <c r="Y16" s="19">
        <f>'IV (2)'!$E20</f>
        <v>0</v>
      </c>
      <c r="Z16" s="18">
        <f>'IV (3)'!$E20</f>
        <v>1</v>
      </c>
      <c r="AA16" s="78">
        <f t="shared" si="0"/>
        <v>6.6922255438508005</v>
      </c>
      <c r="AB16" s="1">
        <f t="shared" si="1"/>
        <v>2</v>
      </c>
    </row>
    <row r="17" spans="1:28" ht="15.75">
      <c r="A17" s="19">
        <v>13</v>
      </c>
      <c r="B17" s="5" t="s">
        <v>256</v>
      </c>
      <c r="C17" s="18">
        <f>'I (1)'!$F22</f>
        <v>0.729717371260542</v>
      </c>
      <c r="D17" s="18">
        <f>'I (2)'!$F22</f>
        <v>0.13985928359721433</v>
      </c>
      <c r="E17" s="18">
        <f>'I (3)'!$G22</f>
        <v>0</v>
      </c>
      <c r="F17" s="19">
        <f>'I (4)'!$E21</f>
        <v>0</v>
      </c>
      <c r="G17" s="18">
        <f>'I (5)'!$G22</f>
        <v>1</v>
      </c>
      <c r="H17" s="19">
        <f>'II (1)'!$G21</f>
        <v>0</v>
      </c>
      <c r="I17" s="18">
        <f>'II (2)'!$I24</f>
        <v>-0.13805269931717343</v>
      </c>
      <c r="J17" s="34">
        <f>'II (3)'!$I24</f>
        <v>0</v>
      </c>
      <c r="K17" s="99">
        <f>'II (4)'!$F21</f>
        <v>-0.0011323372877711747</v>
      </c>
      <c r="L17" s="28">
        <f>'II (5)'!$H22</f>
        <v>0</v>
      </c>
      <c r="M17" s="63">
        <f>'II (6)'!$F22</f>
        <v>1.9737165874845877</v>
      </c>
      <c r="N17" s="28">
        <f>'III (1)'!$L22</f>
        <v>0</v>
      </c>
      <c r="O17" s="28">
        <f>'III (2)'!$I22</f>
        <v>0</v>
      </c>
      <c r="P17" s="28">
        <f>'III (3)'!$H21</f>
        <v>0</v>
      </c>
      <c r="Q17" s="28">
        <f>'III (4)'!$I21</f>
        <v>0</v>
      </c>
      <c r="R17" s="18">
        <f>'III (5)'!$L22</f>
        <v>-0.017227144883411878</v>
      </c>
      <c r="S17" s="18">
        <f>'III (6)'!$J22</f>
        <v>0</v>
      </c>
      <c r="T17" s="28">
        <f>'III (7)'!$E21</f>
        <v>0</v>
      </c>
      <c r="U17" s="18">
        <f>'III (8)'!$J22</f>
        <v>0.6253844492601093</v>
      </c>
      <c r="V17" s="28">
        <f>'III (9)'!$G21</f>
        <v>0</v>
      </c>
      <c r="W17" s="18">
        <f>'III (10)'!$I21</f>
        <v>0</v>
      </c>
      <c r="X17" s="19">
        <f>'IV (1)'!$E21</f>
        <v>1</v>
      </c>
      <c r="Y17" s="19">
        <f>'IV (2)'!$E21</f>
        <v>0</v>
      </c>
      <c r="Z17" s="18">
        <f>'IV (3)'!$E21</f>
        <v>0.25</v>
      </c>
      <c r="AA17" s="78">
        <f t="shared" si="0"/>
        <v>5.562265510114097</v>
      </c>
      <c r="AB17" s="1">
        <f t="shared" si="1"/>
        <v>10</v>
      </c>
    </row>
    <row r="18" spans="1:28" ht="15.75">
      <c r="A18" s="19">
        <v>14</v>
      </c>
      <c r="B18" s="5" t="s">
        <v>257</v>
      </c>
      <c r="C18" s="18">
        <f>'I (1)'!$F23</f>
        <v>1.6182321027386826</v>
      </c>
      <c r="D18" s="18">
        <f>'I (2)'!$F23</f>
        <v>0</v>
      </c>
      <c r="E18" s="18">
        <f>'I (3)'!$G23</f>
        <v>-0.11880234642637418</v>
      </c>
      <c r="F18" s="19">
        <f>'I (4)'!$E22</f>
        <v>0</v>
      </c>
      <c r="G18" s="18">
        <f>'I (5)'!$G23</f>
        <v>1</v>
      </c>
      <c r="H18" s="19">
        <f>'II (1)'!$G22</f>
        <v>0</v>
      </c>
      <c r="I18" s="18">
        <f>'II (2)'!$I25</f>
        <v>0</v>
      </c>
      <c r="J18" s="34">
        <f>'II (3)'!$I25</f>
        <v>0</v>
      </c>
      <c r="K18" s="18">
        <f>'II (4)'!$F22</f>
        <v>0</v>
      </c>
      <c r="L18" s="28">
        <f>'II (5)'!$H23</f>
        <v>0</v>
      </c>
      <c r="M18" s="63">
        <f>'II (6)'!$F23</f>
        <v>1.98604325009585</v>
      </c>
      <c r="N18" s="28">
        <f>'III (1)'!$L23</f>
        <v>0</v>
      </c>
      <c r="O18" s="28">
        <f>'III (2)'!$I23</f>
        <v>0</v>
      </c>
      <c r="P18" s="28">
        <f>'III (3)'!$H22</f>
        <v>0</v>
      </c>
      <c r="Q18" s="28">
        <f>'III (4)'!$I22</f>
        <v>0</v>
      </c>
      <c r="R18" s="18">
        <f>'III (5)'!$L23</f>
        <v>-0.9524656633352623</v>
      </c>
      <c r="S18" s="18">
        <f>'III (6)'!$J23</f>
        <v>-0.15839162863373377</v>
      </c>
      <c r="T18" s="28">
        <f>'III (7)'!$E22</f>
        <v>0</v>
      </c>
      <c r="U18" s="18">
        <f>'III (8)'!$J23</f>
        <v>0.7634038849071288</v>
      </c>
      <c r="V18" s="28">
        <f>'III (9)'!$G22</f>
        <v>0</v>
      </c>
      <c r="W18" s="18">
        <f>'III (10)'!$I22</f>
        <v>0</v>
      </c>
      <c r="X18" s="19">
        <f>'IV (1)'!$E22</f>
        <v>1</v>
      </c>
      <c r="Y18" s="19">
        <f>'IV (2)'!$E22</f>
        <v>0</v>
      </c>
      <c r="Z18" s="18">
        <f>'IV (3)'!$E22</f>
        <v>1</v>
      </c>
      <c r="AA18" s="78">
        <f t="shared" si="0"/>
        <v>6.138019599346291</v>
      </c>
      <c r="AB18" s="1">
        <f t="shared" si="1"/>
        <v>6</v>
      </c>
    </row>
    <row r="19" spans="1:28" ht="15.75">
      <c r="A19" s="19">
        <v>15</v>
      </c>
      <c r="B19" s="5" t="s">
        <v>258</v>
      </c>
      <c r="C19" s="18">
        <f>'I (1)'!$F24</f>
        <v>2</v>
      </c>
      <c r="D19" s="18">
        <f>'I (2)'!$F24</f>
        <v>0.4798313791557804</v>
      </c>
      <c r="E19" s="18">
        <f>'I (3)'!$G24</f>
        <v>-0.6274976477312655</v>
      </c>
      <c r="F19" s="19">
        <f>'I (4)'!$E23</f>
        <v>0</v>
      </c>
      <c r="G19" s="18">
        <f>'I (5)'!$G24</f>
        <v>1</v>
      </c>
      <c r="H19" s="19">
        <f>'II (1)'!$G23</f>
        <v>0</v>
      </c>
      <c r="I19" s="18">
        <f>'II (2)'!$I26</f>
        <v>-0.1576264552886639</v>
      </c>
      <c r="J19" s="34">
        <f>'II (3)'!$I26</f>
        <v>-0.32909320613900644</v>
      </c>
      <c r="K19" s="100">
        <f>'II (4)'!$F23</f>
        <v>-0.0002166619306339259</v>
      </c>
      <c r="L19" s="28">
        <f>'II (5)'!$H24</f>
        <v>0</v>
      </c>
      <c r="M19" s="63">
        <f>'II (6)'!$F24</f>
        <v>1.9820051872161204</v>
      </c>
      <c r="N19" s="28">
        <f>'III (1)'!$L24</f>
        <v>0</v>
      </c>
      <c r="O19" s="28">
        <f>'III (2)'!$I24</f>
        <v>0</v>
      </c>
      <c r="P19" s="28">
        <f>'III (3)'!$H23</f>
        <v>0</v>
      </c>
      <c r="Q19" s="28">
        <f>'III (4)'!$I23</f>
        <v>0</v>
      </c>
      <c r="R19" s="18">
        <f>'III (5)'!$L24</f>
        <v>0</v>
      </c>
      <c r="S19" s="18">
        <f>'III (6)'!$J24</f>
        <v>0</v>
      </c>
      <c r="T19" s="28">
        <f>'III (7)'!$E23</f>
        <v>0</v>
      </c>
      <c r="U19" s="18">
        <f>'III (8)'!$J24</f>
        <v>0.4182840373830865</v>
      </c>
      <c r="V19" s="28">
        <f>'III (9)'!$G23</f>
        <v>0</v>
      </c>
      <c r="W19" s="18">
        <f>'III (10)'!$I23</f>
        <v>0</v>
      </c>
      <c r="X19" s="19">
        <f>'IV (1)'!$E23</f>
        <v>1</v>
      </c>
      <c r="Y19" s="19">
        <f>'IV (2)'!$E23</f>
        <v>0</v>
      </c>
      <c r="Z19" s="18">
        <f>'IV (3)'!$E23</f>
        <v>0.25</v>
      </c>
      <c r="AA19" s="78">
        <f t="shared" si="0"/>
        <v>6.0156866326654175</v>
      </c>
      <c r="AB19" s="1">
        <f t="shared" si="1"/>
        <v>8</v>
      </c>
    </row>
    <row r="20" spans="1:28" ht="15.75">
      <c r="A20" s="19">
        <v>16</v>
      </c>
      <c r="B20" s="5" t="s">
        <v>259</v>
      </c>
      <c r="C20" s="18">
        <f>'I (1)'!$F25</f>
        <v>1.3334038674869824</v>
      </c>
      <c r="D20" s="18">
        <f>'I (2)'!$F25</f>
        <v>0.24450237320743878</v>
      </c>
      <c r="E20" s="18">
        <f>'I (3)'!$G25</f>
        <v>0</v>
      </c>
      <c r="F20" s="19">
        <f>'I (4)'!$E24</f>
        <v>0</v>
      </c>
      <c r="G20" s="18">
        <f>'I (5)'!$G25</f>
        <v>1</v>
      </c>
      <c r="H20" s="19">
        <f>'II (1)'!$G24</f>
        <v>0</v>
      </c>
      <c r="I20" s="18">
        <f>'II (2)'!$I27</f>
        <v>0</v>
      </c>
      <c r="J20" s="34">
        <f>'II (3)'!$I27</f>
        <v>-0.32112474288751913</v>
      </c>
      <c r="K20" s="18">
        <f>'II (4)'!$F24</f>
        <v>-0.03708923837231728</v>
      </c>
      <c r="L20" s="28">
        <f>'II (5)'!$H25</f>
        <v>0</v>
      </c>
      <c r="M20" s="63">
        <f>'II (6)'!$F25</f>
        <v>1.6908653541734504</v>
      </c>
      <c r="N20" s="28">
        <f>'III (1)'!$L25</f>
        <v>0</v>
      </c>
      <c r="O20" s="28">
        <f>'III (2)'!$I25</f>
        <v>0</v>
      </c>
      <c r="P20" s="28">
        <f>'III (3)'!$H24</f>
        <v>0</v>
      </c>
      <c r="Q20" s="28">
        <f>'III (4)'!$I24</f>
        <v>0</v>
      </c>
      <c r="R20" s="18">
        <f>'III (5)'!$L25</f>
        <v>0</v>
      </c>
      <c r="S20" s="18">
        <f>'III (6)'!$J25</f>
        <v>0</v>
      </c>
      <c r="T20" s="28">
        <f>'III (7)'!$E24</f>
        <v>0</v>
      </c>
      <c r="U20" s="18">
        <f>'III (8)'!$J25</f>
        <v>0.16013892541177355</v>
      </c>
      <c r="V20" s="28">
        <f>'III (9)'!$G24</f>
        <v>0</v>
      </c>
      <c r="W20" s="18">
        <f>'III (10)'!$I24</f>
        <v>0</v>
      </c>
      <c r="X20" s="19">
        <f>'IV (1)'!$E24</f>
        <v>1</v>
      </c>
      <c r="Y20" s="19">
        <f>'IV (2)'!$E24</f>
        <v>0</v>
      </c>
      <c r="Z20" s="18">
        <f>'IV (3)'!$E24</f>
        <v>1</v>
      </c>
      <c r="AA20" s="78">
        <f>SUM($C20:$Z20)</f>
        <v>6.070696539019809</v>
      </c>
      <c r="AB20" s="1">
        <f t="shared" si="1"/>
        <v>7</v>
      </c>
    </row>
    <row r="21" spans="1:28" ht="15.75">
      <c r="A21" s="19">
        <v>17</v>
      </c>
      <c r="B21" s="5" t="s">
        <v>260</v>
      </c>
      <c r="C21" s="18">
        <f>'I (1)'!$F26</f>
        <v>1.641931612403615</v>
      </c>
      <c r="D21" s="18">
        <f>'I (2)'!$F26</f>
        <v>0.26641239873504835</v>
      </c>
      <c r="E21" s="18">
        <f>'I (3)'!$G26</f>
        <v>-0.36219005294073514</v>
      </c>
      <c r="F21" s="19">
        <f>'I (4)'!$E25</f>
        <v>0</v>
      </c>
      <c r="G21" s="18">
        <f>'I (5)'!$G26</f>
        <v>1</v>
      </c>
      <c r="H21" s="19">
        <f>'II (1)'!$G25</f>
        <v>0</v>
      </c>
      <c r="I21" s="18">
        <f>'II (2)'!$I28</f>
        <v>0</v>
      </c>
      <c r="J21" s="34">
        <f>'II (3)'!$I28</f>
        <v>0</v>
      </c>
      <c r="K21" s="18">
        <f>'II (4)'!$F25</f>
        <v>-0.05341839381579783</v>
      </c>
      <c r="L21" s="28">
        <f>'II (5)'!$H26</f>
        <v>0</v>
      </c>
      <c r="M21" s="63">
        <f>'II (6)'!$F26</f>
        <v>0</v>
      </c>
      <c r="N21" s="28">
        <f>'III (1)'!$L26</f>
        <v>0</v>
      </c>
      <c r="O21" s="28">
        <f>'III (2)'!$I26</f>
        <v>0</v>
      </c>
      <c r="P21" s="28">
        <f>'III (3)'!$H25</f>
        <v>0</v>
      </c>
      <c r="Q21" s="28">
        <f>'III (4)'!$I25</f>
        <v>0</v>
      </c>
      <c r="R21" s="99">
        <f>'III (5)'!$L26</f>
        <v>-0.003739477858513432</v>
      </c>
      <c r="S21" s="18">
        <f>'III (6)'!$J26</f>
        <v>0</v>
      </c>
      <c r="T21" s="28">
        <f>'III (7)'!$E25</f>
        <v>0</v>
      </c>
      <c r="U21" s="18">
        <f>'III (8)'!$J26</f>
        <v>0.384763846668736</v>
      </c>
      <c r="V21" s="28">
        <f>'III (9)'!$G25</f>
        <v>0</v>
      </c>
      <c r="W21" s="18">
        <f>'III (10)'!$I25</f>
        <v>0</v>
      </c>
      <c r="X21" s="19">
        <f>'IV (1)'!$E25</f>
        <v>1</v>
      </c>
      <c r="Y21" s="19">
        <f>'IV (2)'!$E25</f>
        <v>0</v>
      </c>
      <c r="Z21" s="18">
        <f>'IV (3)'!$E25</f>
        <v>0.25</v>
      </c>
      <c r="AA21" s="78">
        <f t="shared" si="0"/>
        <v>4.123759933192353</v>
      </c>
      <c r="AB21" s="1">
        <f t="shared" si="1"/>
        <v>17</v>
      </c>
    </row>
    <row r="22" spans="1:28" ht="15.75">
      <c r="A22" s="19">
        <v>18</v>
      </c>
      <c r="B22" s="5" t="s">
        <v>261</v>
      </c>
      <c r="C22" s="18">
        <f>'I (1)'!$F27</f>
        <v>1.025464872814564</v>
      </c>
      <c r="D22" s="18">
        <f>'I (2)'!$F27</f>
        <v>0.7257461175126566</v>
      </c>
      <c r="E22" s="18">
        <f>'I (3)'!$G27</f>
        <v>-0.3995231075275779</v>
      </c>
      <c r="F22" s="19">
        <f>'I (4)'!$E26</f>
        <v>0</v>
      </c>
      <c r="G22" s="18">
        <f>'I (5)'!$G27</f>
        <v>0.43131807280406004</v>
      </c>
      <c r="H22" s="19">
        <f>'II (1)'!$G26</f>
        <v>0</v>
      </c>
      <c r="I22" s="18">
        <f>'II (2)'!$I29</f>
        <v>0</v>
      </c>
      <c r="J22" s="34">
        <f>'II (3)'!$I29</f>
        <v>0</v>
      </c>
      <c r="K22" s="18">
        <f>'II (4)'!$F26</f>
        <v>-0.23955080018969552</v>
      </c>
      <c r="L22" s="28">
        <f>'II (5)'!$H27</f>
        <v>0</v>
      </c>
      <c r="M22" s="63">
        <f>'II (6)'!$F27</f>
        <v>1.615587993124082</v>
      </c>
      <c r="N22" s="28">
        <f>'III (1)'!$L27</f>
        <v>0</v>
      </c>
      <c r="O22" s="28">
        <f>'III (2)'!$I27</f>
        <v>0</v>
      </c>
      <c r="P22" s="28">
        <f>'III (3)'!$H26</f>
        <v>0</v>
      </c>
      <c r="Q22" s="28">
        <f>'III (4)'!$I26</f>
        <v>0</v>
      </c>
      <c r="R22" s="18">
        <f>'III (5)'!$L27</f>
        <v>-0.8882494820676776</v>
      </c>
      <c r="S22" s="18">
        <f>'III (6)'!$J27</f>
        <v>0</v>
      </c>
      <c r="T22" s="28">
        <f>'III (7)'!$E26</f>
        <v>0</v>
      </c>
      <c r="U22" s="18">
        <f>'III (8)'!$J27</f>
        <v>0.25915740898242867</v>
      </c>
      <c r="V22" s="28">
        <f>'III (9)'!$G26</f>
        <v>0</v>
      </c>
      <c r="W22" s="18">
        <f>'III (10)'!$I26</f>
        <v>0</v>
      </c>
      <c r="X22" s="19">
        <f>'IV (1)'!$E26</f>
        <v>1</v>
      </c>
      <c r="Y22" s="19">
        <f>'IV (2)'!$E26</f>
        <v>0</v>
      </c>
      <c r="Z22" s="18">
        <f>'IV (3)'!$E26</f>
        <v>0.25</v>
      </c>
      <c r="AA22" s="78">
        <f t="shared" si="0"/>
        <v>3.77995107545284</v>
      </c>
      <c r="AB22" s="1">
        <f t="shared" si="1"/>
        <v>22</v>
      </c>
    </row>
    <row r="23" spans="1:28" ht="15.75">
      <c r="A23" s="19">
        <v>19</v>
      </c>
      <c r="B23" s="5" t="s">
        <v>262</v>
      </c>
      <c r="C23" s="18">
        <f>'I (1)'!$F28</f>
        <v>1.6669834504269148</v>
      </c>
      <c r="D23" s="18">
        <f>'I (2)'!$F28</f>
        <v>0.3004284085991185</v>
      </c>
      <c r="E23" s="18">
        <f>'I (3)'!$G28</f>
        <v>-0.2636058091696166</v>
      </c>
      <c r="F23" s="19">
        <f>'I (4)'!$E27</f>
        <v>0</v>
      </c>
      <c r="G23" s="18">
        <f>'I (5)'!$G28</f>
        <v>1</v>
      </c>
      <c r="H23" s="19">
        <f>'II (1)'!$G27</f>
        <v>0</v>
      </c>
      <c r="I23" s="18">
        <f>'II (2)'!$I30</f>
        <v>-0.17066603507620323</v>
      </c>
      <c r="J23" s="34">
        <f>'II (3)'!$I30</f>
        <v>0</v>
      </c>
      <c r="K23" s="18">
        <f>'II (4)'!$F27</f>
        <v>0</v>
      </c>
      <c r="L23" s="28">
        <f>'II (5)'!$H28</f>
        <v>0</v>
      </c>
      <c r="M23" s="63">
        <f>'II (6)'!$F28</f>
        <v>2</v>
      </c>
      <c r="N23" s="28">
        <f>'III (1)'!$L28</f>
        <v>0</v>
      </c>
      <c r="O23" s="28">
        <f>'III (2)'!$I28</f>
        <v>0</v>
      </c>
      <c r="P23" s="28">
        <f>'III (3)'!$H27</f>
        <v>0</v>
      </c>
      <c r="Q23" s="28">
        <f>'III (4)'!$I27</f>
        <v>0</v>
      </c>
      <c r="R23" s="18">
        <f>'III (5)'!$L28</f>
        <v>0</v>
      </c>
      <c r="S23" s="18">
        <f>'III (6)'!$J28</f>
        <v>0</v>
      </c>
      <c r="T23" s="28">
        <f>'III (7)'!$E27</f>
        <v>0</v>
      </c>
      <c r="U23" s="18">
        <f>'III (8)'!$J28</f>
        <v>0.33712406093857883</v>
      </c>
      <c r="V23" s="28">
        <f>'III (9)'!$G27</f>
        <v>0</v>
      </c>
      <c r="W23" s="18">
        <f>'III (10)'!$I27</f>
        <v>0</v>
      </c>
      <c r="X23" s="19">
        <f>'IV (1)'!$E27</f>
        <v>1</v>
      </c>
      <c r="Y23" s="19">
        <f>'IV (2)'!$E27</f>
        <v>0</v>
      </c>
      <c r="Z23" s="18">
        <f>'IV (3)'!$E27</f>
        <v>0</v>
      </c>
      <c r="AA23" s="78">
        <f t="shared" si="0"/>
        <v>5.870264075718793</v>
      </c>
      <c r="AB23" s="1">
        <f t="shared" si="1"/>
        <v>9</v>
      </c>
    </row>
    <row r="24" spans="1:28" ht="15.75">
      <c r="A24" s="19">
        <v>20</v>
      </c>
      <c r="B24" s="5" t="s">
        <v>263</v>
      </c>
      <c r="C24" s="18">
        <f>'I (1)'!$F29</f>
        <v>1.3874383332271305</v>
      </c>
      <c r="D24" s="18">
        <f>'I (2)'!$F29</f>
        <v>0.2891004084561728</v>
      </c>
      <c r="E24" s="18">
        <f>'I (3)'!$G29</f>
        <v>-0.3010137126820516</v>
      </c>
      <c r="F24" s="19">
        <f>'I (4)'!$E28</f>
        <v>0</v>
      </c>
      <c r="G24" s="18">
        <f>'I (5)'!$G29</f>
        <v>0.6016665150616061</v>
      </c>
      <c r="H24" s="19">
        <f>'II (1)'!$G28</f>
        <v>0</v>
      </c>
      <c r="I24" s="18">
        <f>'II (2)'!$I31</f>
        <v>0</v>
      </c>
      <c r="J24" s="34">
        <f>'II (3)'!$I31</f>
        <v>0</v>
      </c>
      <c r="K24" s="18">
        <f>'II (4)'!$F28</f>
        <v>-0.21571164436991425</v>
      </c>
      <c r="L24" s="28">
        <f>'II (5)'!$H29</f>
        <v>0</v>
      </c>
      <c r="M24" s="63">
        <f>'II (6)'!$F29</f>
        <v>1.147188949970549</v>
      </c>
      <c r="N24" s="28">
        <f>'III (1)'!$L29</f>
        <v>0</v>
      </c>
      <c r="O24" s="28">
        <f>'III (2)'!$I29</f>
        <v>0</v>
      </c>
      <c r="P24" s="28">
        <f>'III (3)'!$H28</f>
        <v>0</v>
      </c>
      <c r="Q24" s="28">
        <f>'III (4)'!$I28</f>
        <v>0</v>
      </c>
      <c r="R24" s="18">
        <f>'III (5)'!$L29</f>
        <v>-0.437994483237105</v>
      </c>
      <c r="S24" s="18">
        <f>'III (6)'!$J29</f>
        <v>0</v>
      </c>
      <c r="T24" s="28">
        <f>'III (7)'!$E28</f>
        <v>0</v>
      </c>
      <c r="U24" s="18">
        <f>'III (8)'!$J29</f>
        <v>0.4652182990979663</v>
      </c>
      <c r="V24" s="28">
        <f>'III (9)'!$G28</f>
        <v>0</v>
      </c>
      <c r="W24" s="18">
        <f>'III (10)'!$I28</f>
        <v>0</v>
      </c>
      <c r="X24" s="19">
        <f>'IV (1)'!$E28</f>
        <v>1</v>
      </c>
      <c r="Y24" s="19">
        <f>'IV (2)'!$E28</f>
        <v>0</v>
      </c>
      <c r="Z24" s="18">
        <f>'IV (3)'!$E28</f>
        <v>0.25</v>
      </c>
      <c r="AA24" s="78">
        <f t="shared" si="0"/>
        <v>4.185892665524354</v>
      </c>
      <c r="AB24" s="1">
        <f t="shared" si="1"/>
        <v>16</v>
      </c>
    </row>
    <row r="25" spans="1:28" ht="15.75">
      <c r="A25" s="19">
        <v>21</v>
      </c>
      <c r="B25" s="5" t="s">
        <v>264</v>
      </c>
      <c r="C25" s="18">
        <f>'I (1)'!$F30</f>
        <v>1.1127442064691921</v>
      </c>
      <c r="D25" s="18">
        <f>'I (2)'!$F30</f>
        <v>0.11918149026080356</v>
      </c>
      <c r="E25" s="18">
        <f>'I (3)'!$G30</f>
        <v>0</v>
      </c>
      <c r="F25" s="19">
        <f>'I (4)'!$E29</f>
        <v>0</v>
      </c>
      <c r="G25" s="18">
        <f>'I (5)'!$G30</f>
        <v>1</v>
      </c>
      <c r="H25" s="19">
        <f>'II (1)'!$G29</f>
        <v>0</v>
      </c>
      <c r="I25" s="18">
        <f>'II (2)'!$I32</f>
        <v>0</v>
      </c>
      <c r="J25" s="34">
        <f>'II (3)'!$I32</f>
        <v>-0.11532071116422525</v>
      </c>
      <c r="K25" s="18">
        <f>'II (4)'!$F29</f>
        <v>0</v>
      </c>
      <c r="L25" s="28">
        <f>'II (5)'!$H30</f>
        <v>0</v>
      </c>
      <c r="M25" s="63">
        <f>'II (6)'!$F30</f>
        <v>1.9932359111920233</v>
      </c>
      <c r="N25" s="28">
        <f>'III (1)'!$L30</f>
        <v>0</v>
      </c>
      <c r="O25" s="28">
        <f>'III (2)'!$I30</f>
        <v>0</v>
      </c>
      <c r="P25" s="28">
        <f>'III (3)'!$H29</f>
        <v>0</v>
      </c>
      <c r="Q25" s="28">
        <f>'III (4)'!$I29</f>
        <v>0</v>
      </c>
      <c r="R25" s="18">
        <f>'III (5)'!$L30</f>
        <v>-0.15702935977371088</v>
      </c>
      <c r="S25" s="18">
        <f>'III (6)'!$J30</f>
        <v>0</v>
      </c>
      <c r="T25" s="28">
        <f>'III (7)'!$E29</f>
        <v>0</v>
      </c>
      <c r="U25" s="18">
        <f>'III (8)'!$J30</f>
        <v>0.4607597984601418</v>
      </c>
      <c r="V25" s="28">
        <f>'III (9)'!$G29</f>
        <v>0</v>
      </c>
      <c r="W25" s="18">
        <f>'III (10)'!$I29</f>
        <v>-0.8679041753413128</v>
      </c>
      <c r="X25" s="19">
        <f>'IV (1)'!$E29</f>
        <v>1</v>
      </c>
      <c r="Y25" s="19">
        <f>'IV (2)'!$E29</f>
        <v>0</v>
      </c>
      <c r="Z25" s="18">
        <f>'IV (3)'!$E29</f>
        <v>0.25</v>
      </c>
      <c r="AA25" s="78">
        <f t="shared" si="0"/>
        <v>4.795667160102912</v>
      </c>
      <c r="AB25" s="1">
        <f t="shared" si="1"/>
        <v>15</v>
      </c>
    </row>
    <row r="26" spans="1:28" ht="15.75">
      <c r="A26" s="19">
        <v>22</v>
      </c>
      <c r="B26" s="5" t="s">
        <v>265</v>
      </c>
      <c r="C26" s="18">
        <f>'I (1)'!$F31</f>
        <v>1.1020027619898587</v>
      </c>
      <c r="D26" s="18">
        <f>'I (2)'!$F31</f>
        <v>0.4010401326523683</v>
      </c>
      <c r="E26" s="18">
        <f>'I (3)'!$G31</f>
        <v>-0.7150379855332937</v>
      </c>
      <c r="F26" s="19">
        <f>'I (4)'!$E30</f>
        <v>0</v>
      </c>
      <c r="G26" s="18">
        <f>'I (5)'!$G31</f>
        <v>0</v>
      </c>
      <c r="H26" s="19">
        <f>'II (1)'!$G30</f>
        <v>0</v>
      </c>
      <c r="I26" s="18">
        <f>'II (2)'!$I33</f>
        <v>0</v>
      </c>
      <c r="J26" s="34">
        <f>'II (3)'!$I33</f>
        <v>0</v>
      </c>
      <c r="K26" s="18">
        <f>'II (4)'!$F30</f>
        <v>-0.2630304805200858</v>
      </c>
      <c r="L26" s="28">
        <f>'II (5)'!$H31</f>
        <v>0</v>
      </c>
      <c r="M26" s="63">
        <f>'II (6)'!$F31</f>
        <v>2</v>
      </c>
      <c r="N26" s="28">
        <f>'III (1)'!$L31</f>
        <v>0</v>
      </c>
      <c r="O26" s="28">
        <f>'III (2)'!$I31</f>
        <v>0</v>
      </c>
      <c r="P26" s="28">
        <f>'III (3)'!$H30</f>
        <v>0</v>
      </c>
      <c r="Q26" s="28">
        <f>'III (4)'!$I30</f>
        <v>0</v>
      </c>
      <c r="R26" s="99">
        <f>'III (5)'!$L31</f>
        <v>-0.9971444211470756</v>
      </c>
      <c r="S26" s="18">
        <f>'III (6)'!$J31</f>
        <v>-2</v>
      </c>
      <c r="T26" s="28">
        <f>'III (7)'!$E30</f>
        <v>0</v>
      </c>
      <c r="U26" s="18">
        <f>'III (8)'!$J31</f>
        <v>0.061417190913000935</v>
      </c>
      <c r="V26" s="28">
        <f>'III (9)'!$G30</f>
        <v>0</v>
      </c>
      <c r="W26" s="18">
        <f>'III (10)'!$I30</f>
        <v>0</v>
      </c>
      <c r="X26" s="19">
        <f>'IV (1)'!$E30</f>
        <v>1</v>
      </c>
      <c r="Y26" s="19">
        <f>'IV (2)'!$E30</f>
        <v>0</v>
      </c>
      <c r="Z26" s="18">
        <f>'IV (3)'!$E30</f>
        <v>0.25</v>
      </c>
      <c r="AA26" s="78">
        <f t="shared" si="0"/>
        <v>0.8392471983547728</v>
      </c>
      <c r="AB26" s="1">
        <f t="shared" si="1"/>
        <v>36</v>
      </c>
    </row>
    <row r="27" spans="1:28" ht="15.75">
      <c r="A27" s="19">
        <v>23</v>
      </c>
      <c r="B27" s="5" t="s">
        <v>266</v>
      </c>
      <c r="C27" s="18">
        <f>'I (1)'!$F32</f>
        <v>1.5514619551064406</v>
      </c>
      <c r="D27" s="18">
        <f>'I (2)'!$F32</f>
        <v>0.4244882891643463</v>
      </c>
      <c r="E27" s="18">
        <f>'I (3)'!$G32</f>
        <v>-1</v>
      </c>
      <c r="F27" s="19">
        <f>'I (4)'!$E31</f>
        <v>0</v>
      </c>
      <c r="G27" s="18">
        <f>'I (5)'!$G32</f>
        <v>0.09525404339507665</v>
      </c>
      <c r="H27" s="19">
        <f>'II (1)'!$G31</f>
        <v>0</v>
      </c>
      <c r="I27" s="18">
        <f>'II (2)'!$I34</f>
        <v>0</v>
      </c>
      <c r="J27" s="34">
        <f>'II (3)'!$I34</f>
        <v>0</v>
      </c>
      <c r="K27" s="18">
        <f>'II (4)'!$F31</f>
        <v>-0.009115085493782598</v>
      </c>
      <c r="L27" s="28">
        <f>'II (5)'!$H32</f>
        <v>0</v>
      </c>
      <c r="M27" s="63">
        <f>'II (6)'!$F32</f>
        <v>1.9710623681306114</v>
      </c>
      <c r="N27" s="28">
        <f>'III (1)'!$L32</f>
        <v>0</v>
      </c>
      <c r="O27" s="28">
        <f>'III (2)'!$I32</f>
        <v>0</v>
      </c>
      <c r="P27" s="28">
        <f>'III (3)'!$H31</f>
        <v>0</v>
      </c>
      <c r="Q27" s="28">
        <f>'III (4)'!$I31</f>
        <v>0</v>
      </c>
      <c r="R27" s="18">
        <f>'III (5)'!$L32</f>
        <v>0</v>
      </c>
      <c r="S27" s="18">
        <f>'III (6)'!$J32</f>
        <v>0</v>
      </c>
      <c r="T27" s="28">
        <f>'III (7)'!$E31</f>
        <v>0</v>
      </c>
      <c r="U27" s="18">
        <f>'III (8)'!$J32</f>
        <v>0.3652233785160572</v>
      </c>
      <c r="V27" s="28">
        <f>'III (9)'!$G31</f>
        <v>0</v>
      </c>
      <c r="W27" s="18">
        <f>'III (10)'!$I31</f>
        <v>0</v>
      </c>
      <c r="X27" s="19">
        <f>'IV (1)'!$E31</f>
        <v>1</v>
      </c>
      <c r="Y27" s="19">
        <f>'IV (2)'!$E31</f>
        <v>0</v>
      </c>
      <c r="Z27" s="18">
        <f>'IV (3)'!$E31</f>
        <v>1</v>
      </c>
      <c r="AA27" s="78">
        <f t="shared" si="0"/>
        <v>5.398374948818749</v>
      </c>
      <c r="AB27" s="1">
        <f t="shared" si="1"/>
        <v>11</v>
      </c>
    </row>
    <row r="28" spans="1:28" ht="15.75">
      <c r="A28" s="19">
        <v>24</v>
      </c>
      <c r="B28" s="5" t="s">
        <v>267</v>
      </c>
      <c r="C28" s="18">
        <f>'I (1)'!$F33</f>
        <v>0.6973149545307663</v>
      </c>
      <c r="D28" s="18">
        <f>'I (2)'!$F33</f>
        <v>0.5304521915511446</v>
      </c>
      <c r="E28" s="18">
        <f>'I (3)'!$G33</f>
        <v>0</v>
      </c>
      <c r="F28" s="19">
        <f>'I (4)'!$E32</f>
        <v>0</v>
      </c>
      <c r="G28" s="18">
        <f>'I (5)'!$G33</f>
        <v>0.27677539396379847</v>
      </c>
      <c r="H28" s="19">
        <f>'II (1)'!$G32</f>
        <v>0</v>
      </c>
      <c r="I28" s="18">
        <f>'II (2)'!$I35</f>
        <v>-0.015706108021288974</v>
      </c>
      <c r="J28" s="34">
        <f>'II (3)'!$I35</f>
        <v>-0.3117569065706009</v>
      </c>
      <c r="K28" s="18">
        <f>'II (4)'!$F32</f>
        <v>-0.28083724498392787</v>
      </c>
      <c r="L28" s="28">
        <f>'II (5)'!$H33</f>
        <v>0</v>
      </c>
      <c r="M28" s="63">
        <f>'II (6)'!$F33</f>
        <v>1.9922847441789229</v>
      </c>
      <c r="N28" s="28">
        <f>'III (1)'!$L33</f>
        <v>0</v>
      </c>
      <c r="O28" s="28">
        <f>'III (2)'!$I33</f>
        <v>0</v>
      </c>
      <c r="P28" s="28">
        <f>'III (3)'!$H32</f>
        <v>0</v>
      </c>
      <c r="Q28" s="28">
        <f>'III (4)'!$I32</f>
        <v>0</v>
      </c>
      <c r="R28" s="18">
        <f>'III (5)'!$L33</f>
        <v>0</v>
      </c>
      <c r="S28" s="18">
        <f>'III (6)'!$J33</f>
        <v>-0.6287455453874878</v>
      </c>
      <c r="T28" s="28">
        <f>'III (7)'!$E32</f>
        <v>0</v>
      </c>
      <c r="U28" s="18">
        <f>'III (8)'!$J33</f>
        <v>0.2166251077755625</v>
      </c>
      <c r="V28" s="28">
        <f>'III (9)'!$G32</f>
        <v>0</v>
      </c>
      <c r="W28" s="18">
        <f>'III (10)'!$I32</f>
        <v>0</v>
      </c>
      <c r="X28" s="19">
        <f>'IV (1)'!$E32</f>
        <v>1</v>
      </c>
      <c r="Y28" s="19">
        <f>'IV (2)'!$E32</f>
        <v>0</v>
      </c>
      <c r="Z28" s="18">
        <f>'IV (3)'!$E32</f>
        <v>0.25</v>
      </c>
      <c r="AA28" s="78">
        <f t="shared" si="0"/>
        <v>3.7264065870368888</v>
      </c>
      <c r="AB28" s="1">
        <f t="shared" si="1"/>
        <v>23</v>
      </c>
    </row>
    <row r="29" spans="1:28" ht="15.75">
      <c r="A29" s="19">
        <v>25</v>
      </c>
      <c r="B29" s="5" t="s">
        <v>268</v>
      </c>
      <c r="C29" s="18">
        <f>'I (1)'!$F34</f>
        <v>1.0584216164942608</v>
      </c>
      <c r="D29" s="18">
        <f>'I (2)'!$F34</f>
        <v>0.29442734110658825</v>
      </c>
      <c r="E29" s="18">
        <f>'I (3)'!$G34</f>
        <v>0</v>
      </c>
      <c r="F29" s="19">
        <f>'I (4)'!$E33</f>
        <v>0</v>
      </c>
      <c r="G29" s="18">
        <f>'I (5)'!$G34</f>
        <v>1</v>
      </c>
      <c r="H29" s="19">
        <f>'II (1)'!$G33</f>
        <v>0</v>
      </c>
      <c r="I29" s="18">
        <f>'II (2)'!$I36</f>
        <v>-1</v>
      </c>
      <c r="J29" s="34">
        <f>'II (3)'!$I36</f>
        <v>-1</v>
      </c>
      <c r="K29" s="18">
        <f>'II (4)'!$F33</f>
        <v>-0.17187074334612515</v>
      </c>
      <c r="L29" s="28">
        <f>'II (5)'!$H34</f>
        <v>0</v>
      </c>
      <c r="M29" s="63">
        <f>'II (6)'!$F34</f>
        <v>0.5723189133697564</v>
      </c>
      <c r="N29" s="28">
        <f>'III (1)'!$L34</f>
        <v>0</v>
      </c>
      <c r="O29" s="28">
        <f>'III (2)'!$I34</f>
        <v>0</v>
      </c>
      <c r="P29" s="28">
        <f>'III (3)'!$H33</f>
        <v>0</v>
      </c>
      <c r="Q29" s="28">
        <f>'III (4)'!$I33</f>
        <v>0</v>
      </c>
      <c r="R29" s="18">
        <f>'III (5)'!$L34</f>
        <v>-0.5325837993871456</v>
      </c>
      <c r="S29" s="18">
        <f>'III (6)'!$J34</f>
        <v>0</v>
      </c>
      <c r="T29" s="28">
        <f>'III (7)'!$E33</f>
        <v>0</v>
      </c>
      <c r="U29" s="18">
        <f>'III (8)'!$J34</f>
        <v>0.21436672353732814</v>
      </c>
      <c r="V29" s="28">
        <f>'III (9)'!$G33</f>
        <v>0</v>
      </c>
      <c r="W29" s="18">
        <f>'III (10)'!$I33</f>
        <v>0</v>
      </c>
      <c r="X29" s="19">
        <f>'IV (1)'!$E33</f>
        <v>1</v>
      </c>
      <c r="Y29" s="19">
        <f>'IV (2)'!$E33</f>
        <v>0</v>
      </c>
      <c r="Z29" s="18">
        <f>'IV (3)'!$E33</f>
        <v>0.25</v>
      </c>
      <c r="AA29" s="78">
        <f t="shared" si="0"/>
        <v>1.685080051774663</v>
      </c>
      <c r="AB29" s="1">
        <f t="shared" si="1"/>
        <v>34</v>
      </c>
    </row>
    <row r="30" spans="1:28" ht="15.75">
      <c r="A30" s="19">
        <v>26</v>
      </c>
      <c r="B30" s="5" t="s">
        <v>269</v>
      </c>
      <c r="C30" s="18">
        <f>'I (1)'!$F35</f>
        <v>1.0096669349175964</v>
      </c>
      <c r="D30" s="18">
        <f>'I (2)'!$F35</f>
        <v>0.21664072575963703</v>
      </c>
      <c r="E30" s="18">
        <f>'I (3)'!$G35</f>
        <v>0</v>
      </c>
      <c r="F30" s="19">
        <f>'I (4)'!$E34</f>
        <v>0</v>
      </c>
      <c r="G30" s="18">
        <f>'I (5)'!$G35</f>
        <v>0.01017234154163993</v>
      </c>
      <c r="H30" s="19">
        <f>'II (1)'!$G34</f>
        <v>0</v>
      </c>
      <c r="I30" s="18">
        <f>'II (2)'!$I37</f>
        <v>0</v>
      </c>
      <c r="J30" s="34">
        <f>'II (3)'!$I37</f>
        <v>0</v>
      </c>
      <c r="K30" s="18">
        <f>'II (4)'!$F34</f>
        <v>-0.15875466524876858</v>
      </c>
      <c r="L30" s="28">
        <f>'II (5)'!$H35</f>
        <v>0</v>
      </c>
      <c r="M30" s="63">
        <f>'II (6)'!$F35</f>
        <v>1.9708367776702025</v>
      </c>
      <c r="N30" s="28">
        <f>'III (1)'!$L35</f>
        <v>0</v>
      </c>
      <c r="O30" s="28">
        <f>'III (2)'!$I35</f>
        <v>0</v>
      </c>
      <c r="P30" s="28">
        <f>'III (3)'!$H34</f>
        <v>0</v>
      </c>
      <c r="Q30" s="28">
        <f>'III (4)'!$I34</f>
        <v>0</v>
      </c>
      <c r="R30" s="18">
        <f>'III (5)'!$L35</f>
        <v>0</v>
      </c>
      <c r="S30" s="18">
        <f>'III (6)'!$J35</f>
        <v>-1.1375347771446043</v>
      </c>
      <c r="T30" s="28">
        <f>'III (7)'!$E34</f>
        <v>0</v>
      </c>
      <c r="U30" s="18">
        <f>'III (8)'!$J35</f>
        <v>0.15300541547062818</v>
      </c>
      <c r="V30" s="28">
        <f>'III (9)'!$G34</f>
        <v>0</v>
      </c>
      <c r="W30" s="18">
        <f>'III (10)'!$I34</f>
        <v>0</v>
      </c>
      <c r="X30" s="19">
        <f>'IV (1)'!$E34</f>
        <v>1</v>
      </c>
      <c r="Y30" s="19">
        <f>'IV (2)'!$E34</f>
        <v>0</v>
      </c>
      <c r="Z30" s="18">
        <f>'IV (3)'!$E34</f>
        <v>1</v>
      </c>
      <c r="AA30" s="78">
        <f t="shared" si="0"/>
        <v>4.064032752966331</v>
      </c>
      <c r="AB30" s="1">
        <f t="shared" si="1"/>
        <v>19</v>
      </c>
    </row>
    <row r="31" spans="1:28" ht="15.75">
      <c r="A31" s="19">
        <v>27</v>
      </c>
      <c r="B31" s="5" t="s">
        <v>270</v>
      </c>
      <c r="C31" s="18">
        <f>'I (1)'!$F36</f>
        <v>0.9396924355818667</v>
      </c>
      <c r="D31" s="18">
        <f>'I (2)'!$F36</f>
        <v>0.33123300259783633</v>
      </c>
      <c r="E31" s="18">
        <f>'I (3)'!$G36</f>
        <v>0</v>
      </c>
      <c r="F31" s="19">
        <f>'I (4)'!$E35</f>
        <v>0</v>
      </c>
      <c r="G31" s="18">
        <f>'I (5)'!$G36</f>
        <v>1</v>
      </c>
      <c r="H31" s="19">
        <f>'II (1)'!$G35</f>
        <v>0</v>
      </c>
      <c r="I31" s="18">
        <f>'II (2)'!$I38</f>
        <v>0</v>
      </c>
      <c r="J31" s="34">
        <f>'II (3)'!$I38</f>
        <v>0</v>
      </c>
      <c r="K31" s="18">
        <f>'II (4)'!$F35</f>
        <v>-0.1496998781253469</v>
      </c>
      <c r="L31" s="28">
        <f>'II (5)'!$H36</f>
        <v>0</v>
      </c>
      <c r="M31" s="63">
        <f>'II (6)'!$F36</f>
        <v>1.9842703857619033</v>
      </c>
      <c r="N31" s="28">
        <f>'III (1)'!$L36</f>
        <v>0</v>
      </c>
      <c r="O31" s="28">
        <f>'III (2)'!$I36</f>
        <v>0</v>
      </c>
      <c r="P31" s="28">
        <f>'III (3)'!$H35</f>
        <v>0</v>
      </c>
      <c r="Q31" s="28">
        <f>'III (4)'!$I35</f>
        <v>0</v>
      </c>
      <c r="R31" s="18">
        <f>'III (5)'!$L36</f>
        <v>-0.03968090951959946</v>
      </c>
      <c r="S31" s="18">
        <f>'III (6)'!$J36</f>
        <v>-0.3508970375496035</v>
      </c>
      <c r="T31" s="28">
        <f>'III (7)'!$E35</f>
        <v>0</v>
      </c>
      <c r="U31" s="18">
        <f>'III (8)'!$J36</f>
        <v>0.29535917996468325</v>
      </c>
      <c r="V31" s="28">
        <f>'III (9)'!$G35</f>
        <v>0</v>
      </c>
      <c r="W31" s="18">
        <f>'III (10)'!$I35</f>
        <v>0</v>
      </c>
      <c r="X31" s="19">
        <f>'IV (1)'!$E35</f>
        <v>1</v>
      </c>
      <c r="Y31" s="19">
        <f>'IV (2)'!$E35</f>
        <v>0</v>
      </c>
      <c r="Z31" s="18">
        <f>'IV (3)'!$E35</f>
        <v>0.25</v>
      </c>
      <c r="AA31" s="78">
        <f t="shared" si="0"/>
        <v>5.26027717871174</v>
      </c>
      <c r="AB31" s="1">
        <f t="shared" si="1"/>
        <v>13</v>
      </c>
    </row>
    <row r="32" spans="1:28" ht="15.75">
      <c r="A32" s="19">
        <v>28</v>
      </c>
      <c r="B32" s="5" t="s">
        <v>271</v>
      </c>
      <c r="C32" s="18">
        <f>'I (1)'!$F37</f>
        <v>0</v>
      </c>
      <c r="D32" s="18">
        <f>'I (2)'!$F37</f>
        <v>0.5265592880805952</v>
      </c>
      <c r="E32" s="18">
        <f>'I (3)'!$G37</f>
        <v>-0.5089062589082685</v>
      </c>
      <c r="F32" s="19">
        <f>'I (4)'!$E36</f>
        <v>0</v>
      </c>
      <c r="G32" s="18">
        <f>'I (5)'!$G37</f>
        <v>1</v>
      </c>
      <c r="H32" s="19">
        <f>'II (1)'!$G36</f>
        <v>0</v>
      </c>
      <c r="I32" s="18">
        <f>'II (2)'!$I39</f>
        <v>-0.5464808011566776</v>
      </c>
      <c r="J32" s="34">
        <f>'II (3)'!$I39</f>
        <v>-0.46652893502910453</v>
      </c>
      <c r="K32" s="18">
        <f>'II (4)'!$F36</f>
        <v>-0.05362910337963793</v>
      </c>
      <c r="L32" s="28">
        <f>'II (5)'!$H37</f>
        <v>0</v>
      </c>
      <c r="M32" s="63">
        <f>'II (6)'!$F37</f>
        <v>0.4290962133832149</v>
      </c>
      <c r="N32" s="28">
        <f>'III (1)'!$L37</f>
        <v>0</v>
      </c>
      <c r="O32" s="28">
        <f>'III (2)'!$I37</f>
        <v>0</v>
      </c>
      <c r="P32" s="28">
        <f>'III (3)'!$H36</f>
        <v>0</v>
      </c>
      <c r="Q32" s="28">
        <f>'III (4)'!$I36</f>
        <v>0</v>
      </c>
      <c r="R32" s="18">
        <f>'III (5)'!$L37</f>
        <v>0</v>
      </c>
      <c r="S32" s="18">
        <f>'III (6)'!$J37</f>
        <v>0</v>
      </c>
      <c r="T32" s="28">
        <f>'III (7)'!$E36</f>
        <v>0</v>
      </c>
      <c r="U32" s="18">
        <f>'III (8)'!$J37</f>
        <v>1</v>
      </c>
      <c r="V32" s="28">
        <f>'III (9)'!$G36</f>
        <v>0</v>
      </c>
      <c r="W32" s="18">
        <f>'III (10)'!$I36</f>
        <v>0</v>
      </c>
      <c r="X32" s="19">
        <f>'IV (1)'!$E36</f>
        <v>1</v>
      </c>
      <c r="Y32" s="19">
        <f>'IV (2)'!$E36</f>
        <v>0</v>
      </c>
      <c r="Z32" s="18">
        <f>'IV (3)'!$E36</f>
        <v>1</v>
      </c>
      <c r="AA32" s="78">
        <f t="shared" si="0"/>
        <v>3.3801104029901214</v>
      </c>
      <c r="AB32" s="1">
        <f t="shared" si="1"/>
        <v>27</v>
      </c>
    </row>
    <row r="33" spans="1:28" ht="15.75">
      <c r="A33" s="19">
        <v>29</v>
      </c>
      <c r="B33" s="5" t="s">
        <v>272</v>
      </c>
      <c r="C33" s="18">
        <f>'I (1)'!$F38</f>
        <v>0.7456876816144443</v>
      </c>
      <c r="D33" s="18">
        <f>'I (2)'!$F38</f>
        <v>0.22845368366432062</v>
      </c>
      <c r="E33" s="18">
        <f>'I (3)'!$G38</f>
        <v>0</v>
      </c>
      <c r="F33" s="19">
        <f>'I (4)'!$E37</f>
        <v>0</v>
      </c>
      <c r="G33" s="18">
        <f>'I (5)'!$G38</f>
        <v>1</v>
      </c>
      <c r="H33" s="19">
        <f>'II (1)'!$G37</f>
        <v>0</v>
      </c>
      <c r="I33" s="18">
        <f>'II (2)'!$I40</f>
        <v>0</v>
      </c>
      <c r="J33" s="34">
        <f>'II (3)'!$I40</f>
        <v>0</v>
      </c>
      <c r="K33" s="18">
        <f>'II (4)'!$F37</f>
        <v>-0.22762535737718273</v>
      </c>
      <c r="L33" s="28">
        <f>'II (5)'!$H38</f>
        <v>0</v>
      </c>
      <c r="M33" s="63">
        <f>'II (6)'!$F38</f>
        <v>2</v>
      </c>
      <c r="N33" s="28">
        <f>'III (1)'!$L38</f>
        <v>0</v>
      </c>
      <c r="O33" s="28">
        <f>'III (2)'!$I38</f>
        <v>0</v>
      </c>
      <c r="P33" s="28">
        <f>'III (3)'!$H37</f>
        <v>0</v>
      </c>
      <c r="Q33" s="28">
        <f>'III (4)'!$I37</f>
        <v>0</v>
      </c>
      <c r="R33" s="18">
        <f>'III (5)'!$L38</f>
        <v>0</v>
      </c>
      <c r="S33" s="18">
        <f>'III (6)'!$J38</f>
        <v>0</v>
      </c>
      <c r="T33" s="28">
        <f>'III (7)'!$E37</f>
        <v>0</v>
      </c>
      <c r="U33" s="18">
        <f>'III (8)'!$J38</f>
        <v>0.9616799893096377</v>
      </c>
      <c r="V33" s="28">
        <f>'III (9)'!$G37</f>
        <v>0</v>
      </c>
      <c r="W33" s="18">
        <f>'III (10)'!$I37</f>
        <v>0</v>
      </c>
      <c r="X33" s="19">
        <f>'IV (1)'!$E37</f>
        <v>1</v>
      </c>
      <c r="Y33" s="19">
        <f>'IV (2)'!$E37</f>
        <v>0</v>
      </c>
      <c r="Z33" s="18">
        <f>'IV (3)'!$E37</f>
        <v>1</v>
      </c>
      <c r="AA33" s="78">
        <f t="shared" si="0"/>
        <v>6.70819599721122</v>
      </c>
      <c r="AB33" s="1">
        <f t="shared" si="1"/>
        <v>1</v>
      </c>
    </row>
    <row r="34" spans="1:28" ht="15.75">
      <c r="A34" s="19">
        <v>30</v>
      </c>
      <c r="B34" s="5" t="s">
        <v>273</v>
      </c>
      <c r="C34" s="18">
        <f>'I (1)'!$F39</f>
        <v>0.6812892368659127</v>
      </c>
      <c r="D34" s="18">
        <f>'I (2)'!$F39</f>
        <v>0.49004973389251205</v>
      </c>
      <c r="E34" s="18">
        <f>'I (3)'!$G39</f>
        <v>0</v>
      </c>
      <c r="F34" s="19">
        <f>'I (4)'!$E38</f>
        <v>0</v>
      </c>
      <c r="G34" s="18">
        <f>'I (5)'!$G39</f>
        <v>0.6513014924524236</v>
      </c>
      <c r="H34" s="19">
        <f>'II (1)'!$G38</f>
        <v>0</v>
      </c>
      <c r="I34" s="18">
        <f>'II (2)'!$I41</f>
        <v>-0.18417600493255934</v>
      </c>
      <c r="J34" s="34">
        <f>'II (3)'!$I41</f>
        <v>-0.2377794362471497</v>
      </c>
      <c r="K34" s="18">
        <f>'II (4)'!$F38</f>
        <v>-0.1537331189230071</v>
      </c>
      <c r="L34" s="28">
        <f>'II (5)'!$H39</f>
        <v>0</v>
      </c>
      <c r="M34" s="63">
        <f>'II (6)'!$F39</f>
        <v>0.04230015846114978</v>
      </c>
      <c r="N34" s="28">
        <f>'III (1)'!$L39</f>
        <v>0</v>
      </c>
      <c r="O34" s="28">
        <f>'III (2)'!$I39</f>
        <v>0</v>
      </c>
      <c r="P34" s="28">
        <f>'III (3)'!$H38</f>
        <v>0</v>
      </c>
      <c r="Q34" s="28">
        <f>'III (4)'!$I38</f>
        <v>0</v>
      </c>
      <c r="R34" s="18">
        <f>'III (5)'!$L39</f>
        <v>-0.07159913785203006</v>
      </c>
      <c r="S34" s="18">
        <f>'III (6)'!$J39</f>
        <v>-0.3438731068272923</v>
      </c>
      <c r="T34" s="28">
        <f>'III (7)'!$E38</f>
        <v>0</v>
      </c>
      <c r="U34" s="18">
        <f>'III (8)'!$J39</f>
        <v>0.13364639594101185</v>
      </c>
      <c r="V34" s="28">
        <f>'III (9)'!$G38</f>
        <v>0</v>
      </c>
      <c r="W34" s="18">
        <f>'III (10)'!$I38</f>
        <v>0</v>
      </c>
      <c r="X34" s="19">
        <f>'IV (1)'!$E38</f>
        <v>1</v>
      </c>
      <c r="Y34" s="19">
        <f>'IV (2)'!$E38</f>
        <v>0</v>
      </c>
      <c r="Z34" s="18">
        <f>'IV (3)'!$E38</f>
        <v>0.25</v>
      </c>
      <c r="AA34" s="78">
        <f t="shared" si="0"/>
        <v>2.2574262128309717</v>
      </c>
      <c r="AB34" s="1">
        <f t="shared" si="1"/>
        <v>33</v>
      </c>
    </row>
    <row r="35" spans="1:28" ht="15.75">
      <c r="A35" s="19">
        <v>31</v>
      </c>
      <c r="B35" s="5" t="s">
        <v>274</v>
      </c>
      <c r="C35" s="18">
        <f>'I (1)'!$F40</f>
        <v>1.1337813980151463</v>
      </c>
      <c r="D35" s="18">
        <f>'I (2)'!$F40</f>
        <v>0.23220014410453013</v>
      </c>
      <c r="E35" s="18">
        <f>'I (3)'!$G40</f>
        <v>0</v>
      </c>
      <c r="F35" s="19">
        <f>'I (4)'!$E39</f>
        <v>0</v>
      </c>
      <c r="G35" s="18">
        <f>'I (5)'!$G40</f>
        <v>0.42621496884383414</v>
      </c>
      <c r="H35" s="19">
        <f>'II (1)'!$G39</f>
        <v>0</v>
      </c>
      <c r="I35" s="18">
        <f>'II (2)'!$I42</f>
        <v>-0.24458507573051208</v>
      </c>
      <c r="J35" s="34">
        <f>'II (3)'!$I42</f>
        <v>-0.4383659419030253</v>
      </c>
      <c r="K35" s="18">
        <f>'II (4)'!$F39</f>
        <v>-0.8049885403697019</v>
      </c>
      <c r="L35" s="28">
        <f>'II (5)'!$H40</f>
        <v>0</v>
      </c>
      <c r="M35" s="63">
        <f>'II (6)'!$F40</f>
        <v>1.983616470998672</v>
      </c>
      <c r="N35" s="28">
        <f>'III (1)'!$L40</f>
        <v>0</v>
      </c>
      <c r="O35" s="28">
        <f>'III (2)'!$I40</f>
        <v>0</v>
      </c>
      <c r="P35" s="28">
        <f>'III (3)'!$H39</f>
        <v>0</v>
      </c>
      <c r="Q35" s="28">
        <f>'III (4)'!$I39</f>
        <v>0</v>
      </c>
      <c r="R35" s="18">
        <f>'III (5)'!$L40</f>
        <v>-0.3280089116003144</v>
      </c>
      <c r="S35" s="18">
        <f>'III (6)'!$J40</f>
        <v>-0.3641928396553965</v>
      </c>
      <c r="T35" s="28">
        <f>'III (7)'!$E39</f>
        <v>0</v>
      </c>
      <c r="U35" s="18">
        <f>'III (8)'!$J40</f>
        <v>0.12138401738889273</v>
      </c>
      <c r="V35" s="28">
        <f>'III (9)'!$G39</f>
        <v>0</v>
      </c>
      <c r="W35" s="18">
        <f>'III (10)'!$I39</f>
        <v>0</v>
      </c>
      <c r="X35" s="19">
        <f>'IV (1)'!$E39</f>
        <v>1</v>
      </c>
      <c r="Y35" s="19">
        <f>'IV (2)'!$E39</f>
        <v>0</v>
      </c>
      <c r="Z35" s="18">
        <f>'IV (3)'!$E39</f>
        <v>0.25</v>
      </c>
      <c r="AA35" s="78">
        <f t="shared" si="0"/>
        <v>2.967055690092125</v>
      </c>
      <c r="AB35" s="1">
        <f t="shared" si="1"/>
        <v>30</v>
      </c>
    </row>
    <row r="36" spans="1:28" ht="15.75">
      <c r="A36" s="19">
        <v>32</v>
      </c>
      <c r="B36" s="5" t="s">
        <v>275</v>
      </c>
      <c r="C36" s="18">
        <f>'I (1)'!$F41</f>
        <v>0.761476210857292</v>
      </c>
      <c r="D36" s="18">
        <f>'I (2)'!$F41</f>
        <v>0.2077351392589278</v>
      </c>
      <c r="E36" s="18">
        <f>'I (3)'!$G41</f>
        <v>0</v>
      </c>
      <c r="F36" s="19">
        <f>'I (4)'!$E40</f>
        <v>0</v>
      </c>
      <c r="G36" s="18">
        <f>'I (5)'!$G41</f>
        <v>1</v>
      </c>
      <c r="H36" s="19">
        <f>'II (1)'!$G40</f>
        <v>0</v>
      </c>
      <c r="I36" s="18">
        <f>'II (2)'!$I43</f>
        <v>-0.29057147929549976</v>
      </c>
      <c r="J36" s="34">
        <f>'II (3)'!$I43</f>
        <v>-0.6455828212880301</v>
      </c>
      <c r="K36" s="18">
        <f>'II (4)'!$F40</f>
        <v>-0.005650762447181635</v>
      </c>
      <c r="L36" s="28">
        <f>'II (5)'!$H41</f>
        <v>0</v>
      </c>
      <c r="M36" s="63">
        <f>'II (6)'!$F41</f>
        <v>1.608856332665567</v>
      </c>
      <c r="N36" s="28">
        <f>'III (1)'!$L41</f>
        <v>0</v>
      </c>
      <c r="O36" s="28">
        <f>'III (2)'!$I41</f>
        <v>0</v>
      </c>
      <c r="P36" s="28">
        <f>'III (3)'!$H40</f>
        <v>0</v>
      </c>
      <c r="Q36" s="28">
        <f>'III (4)'!$I40</f>
        <v>0</v>
      </c>
      <c r="R36" s="18">
        <f>'III (5)'!$L41</f>
        <v>0</v>
      </c>
      <c r="S36" s="18">
        <f>'III (6)'!$J41</f>
        <v>0</v>
      </c>
      <c r="T36" s="28">
        <f>'III (7)'!$E40</f>
        <v>0</v>
      </c>
      <c r="U36" s="18">
        <f>'III (8)'!$J41</f>
        <v>0.44133395125187297</v>
      </c>
      <c r="V36" s="28">
        <f>'III (9)'!$G40</f>
        <v>0</v>
      </c>
      <c r="W36" s="18">
        <f>'III (10)'!$I40</f>
        <v>0</v>
      </c>
      <c r="X36" s="19">
        <f>'IV (1)'!$E40</f>
        <v>1</v>
      </c>
      <c r="Y36" s="19">
        <f>'IV (2)'!$E40</f>
        <v>0</v>
      </c>
      <c r="Z36" s="18">
        <f>'IV (3)'!$E40</f>
        <v>0</v>
      </c>
      <c r="AA36" s="78">
        <f t="shared" si="0"/>
        <v>4.077596571002948</v>
      </c>
      <c r="AB36" s="1">
        <f t="shared" si="1"/>
        <v>18</v>
      </c>
    </row>
    <row r="37" spans="1:28" ht="15.75">
      <c r="A37" s="19">
        <v>33</v>
      </c>
      <c r="B37" s="5" t="s">
        <v>276</v>
      </c>
      <c r="C37" s="18">
        <f>'I (1)'!$F42</f>
        <v>0.9946365730581392</v>
      </c>
      <c r="D37" s="18">
        <f>'I (2)'!$F42</f>
        <v>0.24054243829421396</v>
      </c>
      <c r="E37" s="18">
        <f>'I (3)'!$G42</f>
        <v>0</v>
      </c>
      <c r="F37" s="19">
        <f>'I (4)'!$E41</f>
        <v>0</v>
      </c>
      <c r="G37" s="18">
        <f>'I (5)'!$G42</f>
        <v>0.6630089534221796</v>
      </c>
      <c r="H37" s="19">
        <f>'II (1)'!$G41</f>
        <v>0</v>
      </c>
      <c r="I37" s="18">
        <f>'II (2)'!$I44</f>
        <v>-0.6431088409539879</v>
      </c>
      <c r="J37" s="34">
        <f>'II (3)'!$I44</f>
        <v>-0.9543067808505158</v>
      </c>
      <c r="K37" s="18">
        <f>'II (4)'!$F41</f>
        <v>-0.4133266524190547</v>
      </c>
      <c r="L37" s="28">
        <f>'II (5)'!$H42</f>
        <v>0</v>
      </c>
      <c r="M37" s="63">
        <f>'II (6)'!$F42</f>
        <v>0.7426830836458838</v>
      </c>
      <c r="N37" s="28">
        <f>'III (1)'!$L42</f>
        <v>0</v>
      </c>
      <c r="O37" s="28">
        <f>'III (2)'!$I42</f>
        <v>0</v>
      </c>
      <c r="P37" s="28">
        <f>'III (3)'!$H41</f>
        <v>0</v>
      </c>
      <c r="Q37" s="28">
        <f>'III (4)'!$I41</f>
        <v>0</v>
      </c>
      <c r="R37" s="18">
        <f>'III (5)'!$L42</f>
        <v>-1</v>
      </c>
      <c r="S37" s="18">
        <f>'III (6)'!$J42</f>
        <v>-0.22406671420223667</v>
      </c>
      <c r="T37" s="28">
        <f>'III (7)'!$E41</f>
        <v>0</v>
      </c>
      <c r="U37" s="18">
        <f>'III (8)'!$J42</f>
        <v>0.19568685999148935</v>
      </c>
      <c r="V37" s="28">
        <f>'III (9)'!$G41</f>
        <v>0</v>
      </c>
      <c r="W37" s="18">
        <f>'III (10)'!$I41</f>
        <v>0</v>
      </c>
      <c r="X37" s="19">
        <f>'IV (1)'!$E41</f>
        <v>1</v>
      </c>
      <c r="Y37" s="19">
        <f>'IV (2)'!$E41</f>
        <v>0</v>
      </c>
      <c r="Z37" s="18">
        <f>'IV (3)'!$E41</f>
        <v>0.25</v>
      </c>
      <c r="AA37" s="78">
        <f t="shared" si="0"/>
        <v>0.8517489199861107</v>
      </c>
      <c r="AB37" s="1">
        <f t="shared" si="1"/>
        <v>35</v>
      </c>
    </row>
    <row r="38" spans="1:28" ht="15.75">
      <c r="A38" s="19">
        <v>34</v>
      </c>
      <c r="B38" s="5" t="s">
        <v>277</v>
      </c>
      <c r="C38" s="18">
        <f>'I (1)'!$F43</f>
        <v>1.14372189722547</v>
      </c>
      <c r="D38" s="18">
        <f>'I (2)'!$F43</f>
        <v>0.6623869973005618</v>
      </c>
      <c r="E38" s="18">
        <f>'I (3)'!$G43</f>
        <v>0</v>
      </c>
      <c r="F38" s="19">
        <f>'I (4)'!$E42</f>
        <v>0</v>
      </c>
      <c r="G38" s="18">
        <f>'I (5)'!$G43</f>
        <v>0.9328082192578473</v>
      </c>
      <c r="H38" s="19">
        <f>'II (1)'!$G42</f>
        <v>0</v>
      </c>
      <c r="I38" s="18">
        <f>'II (2)'!$I45</f>
        <v>-0.21389975488225718</v>
      </c>
      <c r="J38" s="34">
        <f>'II (3)'!$I45</f>
        <v>-0.6834082117525588</v>
      </c>
      <c r="K38" s="18">
        <f>'II (4)'!$F42</f>
        <v>-0.34827831489576255</v>
      </c>
      <c r="L38" s="28">
        <f>'II (5)'!$H43</f>
        <v>0</v>
      </c>
      <c r="M38" s="63">
        <f>'II (6)'!$F43</f>
        <v>0.6367432927671808</v>
      </c>
      <c r="N38" s="28">
        <f>'III (1)'!$L43</f>
        <v>0</v>
      </c>
      <c r="O38" s="28">
        <f>'III (2)'!$I43</f>
        <v>0</v>
      </c>
      <c r="P38" s="28">
        <f>'III (3)'!$H42</f>
        <v>0</v>
      </c>
      <c r="Q38" s="28">
        <f>'III (4)'!$I42</f>
        <v>0</v>
      </c>
      <c r="R38" s="18">
        <f>'III (5)'!$L43</f>
        <v>-0.04416358772479959</v>
      </c>
      <c r="S38" s="18">
        <f>'III (6)'!$J43</f>
        <v>-0.7634907373753885</v>
      </c>
      <c r="T38" s="28">
        <f>'III (7)'!$E42</f>
        <v>0</v>
      </c>
      <c r="U38" s="18">
        <f>'III (8)'!$J43</f>
        <v>0.2928242122861221</v>
      </c>
      <c r="V38" s="28">
        <f>'III (9)'!$G42</f>
        <v>0</v>
      </c>
      <c r="W38" s="18">
        <f>'III (10)'!$I42</f>
        <v>0</v>
      </c>
      <c r="X38" s="19">
        <f>'IV (1)'!$E42</f>
        <v>1</v>
      </c>
      <c r="Y38" s="19">
        <f>'IV (2)'!$E42</f>
        <v>0</v>
      </c>
      <c r="Z38" s="18">
        <f>'IV (3)'!$E42</f>
        <v>1</v>
      </c>
      <c r="AA38" s="78">
        <f t="shared" si="0"/>
        <v>3.615244012206415</v>
      </c>
      <c r="AB38" s="1">
        <f t="shared" si="1"/>
        <v>25</v>
      </c>
    </row>
    <row r="39" spans="1:28" ht="15.75">
      <c r="A39" s="19">
        <v>35</v>
      </c>
      <c r="B39" s="5" t="s">
        <v>278</v>
      </c>
      <c r="C39" s="18">
        <f>'I (1)'!$F44</f>
        <v>1.063811139212009</v>
      </c>
      <c r="D39" s="18">
        <f>'I (2)'!$F44</f>
        <v>1</v>
      </c>
      <c r="E39" s="18">
        <f>'I (3)'!$G44</f>
        <v>-0.0899317562280506</v>
      </c>
      <c r="F39" s="19">
        <f>'I (4)'!$E43</f>
        <v>0</v>
      </c>
      <c r="G39" s="18">
        <f>'I (5)'!$G44</f>
        <v>1</v>
      </c>
      <c r="H39" s="19">
        <f>'II (1)'!$G43</f>
        <v>0</v>
      </c>
      <c r="I39" s="18">
        <f>'II (2)'!$I46</f>
        <v>-0.20042946462801986</v>
      </c>
      <c r="J39" s="34">
        <f>'II (3)'!$I46</f>
        <v>0</v>
      </c>
      <c r="K39" s="18">
        <f>'II (4)'!$F43</f>
        <v>0</v>
      </c>
      <c r="L39" s="28">
        <f>'II (5)'!$H44</f>
        <v>0</v>
      </c>
      <c r="M39" s="63">
        <f>'II (6)'!$F44</f>
        <v>1.982151745067689</v>
      </c>
      <c r="N39" s="28">
        <f>'III (1)'!$L44</f>
        <v>0</v>
      </c>
      <c r="O39" s="28">
        <f>'III (2)'!$I44</f>
        <v>0</v>
      </c>
      <c r="P39" s="28">
        <f>'III (3)'!$H43</f>
        <v>0</v>
      </c>
      <c r="Q39" s="28">
        <f>'III (4)'!$I43</f>
        <v>0</v>
      </c>
      <c r="R39" s="18">
        <f>'III (5)'!$L44</f>
        <v>0</v>
      </c>
      <c r="S39" s="18">
        <f>'III (6)'!$J44</f>
        <v>0</v>
      </c>
      <c r="T39" s="28">
        <f>'III (7)'!$E43</f>
        <v>0</v>
      </c>
      <c r="U39" s="18">
        <f>'III (8)'!$J44</f>
        <v>0.49996480732413273</v>
      </c>
      <c r="V39" s="28">
        <f>'III (9)'!$G43</f>
        <v>0</v>
      </c>
      <c r="W39" s="18">
        <f>'III (10)'!$I43</f>
        <v>0</v>
      </c>
      <c r="X39" s="19">
        <f>'IV (1)'!$E43</f>
        <v>1</v>
      </c>
      <c r="Y39" s="19">
        <f>'IV (2)'!$E43</f>
        <v>0</v>
      </c>
      <c r="Z39" s="18">
        <f>'IV (3)'!$E43</f>
        <v>0.25</v>
      </c>
      <c r="AA39" s="78">
        <f t="shared" si="0"/>
        <v>6.505566470747761</v>
      </c>
      <c r="AB39" s="1">
        <f t="shared" si="1"/>
        <v>5</v>
      </c>
    </row>
    <row r="40" spans="1:28" ht="15.75">
      <c r="A40" s="19">
        <v>36</v>
      </c>
      <c r="B40" s="5" t="s">
        <v>279</v>
      </c>
      <c r="C40" s="18">
        <f>'I (1)'!$F45</f>
        <v>1.1065909337768738</v>
      </c>
      <c r="D40" s="18">
        <f>'I (2)'!$F45</f>
        <v>0.3239173334227421</v>
      </c>
      <c r="E40" s="18">
        <f>'I (3)'!$G45</f>
        <v>0</v>
      </c>
      <c r="F40" s="19">
        <f>'I (4)'!$E44</f>
        <v>0</v>
      </c>
      <c r="G40" s="18">
        <f>'I (5)'!$G45</f>
        <v>1</v>
      </c>
      <c r="H40" s="19">
        <f>'II (1)'!$G44</f>
        <v>0</v>
      </c>
      <c r="I40" s="18">
        <f>'II (2)'!$I47</f>
        <v>-0.0870803755186924</v>
      </c>
      <c r="J40" s="34">
        <f>'II (3)'!$I47</f>
        <v>0</v>
      </c>
      <c r="K40" s="18">
        <f>'II (4)'!$F44</f>
        <v>0</v>
      </c>
      <c r="L40" s="28">
        <f>'II (5)'!$H45</f>
        <v>0</v>
      </c>
      <c r="M40" s="63">
        <f>'II (6)'!$F45</f>
        <v>1.9897632910474268</v>
      </c>
      <c r="N40" s="28">
        <f>'III (1)'!$L45</f>
        <v>0</v>
      </c>
      <c r="O40" s="28">
        <f>'III (2)'!$I45</f>
        <v>0</v>
      </c>
      <c r="P40" s="28">
        <f>'III (3)'!$H44</f>
        <v>0</v>
      </c>
      <c r="Q40" s="28">
        <f>'III (4)'!$I44</f>
        <v>0</v>
      </c>
      <c r="R40" s="18">
        <f>'III (5)'!$L45</f>
        <v>0</v>
      </c>
      <c r="S40" s="18">
        <f>'III (6)'!$J45</f>
        <v>0</v>
      </c>
      <c r="T40" s="28">
        <f>'III (7)'!$E44</f>
        <v>0</v>
      </c>
      <c r="U40" s="18">
        <f>'III (8)'!$J45</f>
        <v>0.9667101247794867</v>
      </c>
      <c r="V40" s="28">
        <f>'III (9)'!$G44</f>
        <v>0</v>
      </c>
      <c r="W40" s="18">
        <f>'III (10)'!$I44</f>
        <v>0</v>
      </c>
      <c r="X40" s="19">
        <f>'IV (1)'!$E44</f>
        <v>1</v>
      </c>
      <c r="Y40" s="19">
        <f>'IV (2)'!$E44</f>
        <v>0</v>
      </c>
      <c r="Z40" s="18">
        <f>'IV (3)'!$E44</f>
        <v>0.25</v>
      </c>
      <c r="AA40" s="78">
        <f t="shared" si="0"/>
        <v>6.549901307507836</v>
      </c>
      <c r="AB40" s="1">
        <f t="shared" si="1"/>
        <v>4</v>
      </c>
    </row>
    <row r="41" spans="1:28" ht="15.75">
      <c r="A41" s="19">
        <v>37</v>
      </c>
      <c r="B41" s="5" t="s">
        <v>280</v>
      </c>
      <c r="C41" s="18">
        <f>'I (1)'!$F46</f>
        <v>0.16692015333023139</v>
      </c>
      <c r="D41" s="18">
        <f>'I (2)'!$F46</f>
        <v>0.11818556087362304</v>
      </c>
      <c r="E41" s="18">
        <f>'I (3)'!$G46</f>
        <v>0</v>
      </c>
      <c r="F41" s="19">
        <f>'I (4)'!$E45</f>
        <v>0</v>
      </c>
      <c r="G41" s="18">
        <f>'I (5)'!$G46</f>
        <v>1</v>
      </c>
      <c r="H41" s="19">
        <f>'II (1)'!$G45</f>
        <v>0</v>
      </c>
      <c r="I41" s="18">
        <f>'II (2)'!$I48</f>
        <v>-0.5096929823657792</v>
      </c>
      <c r="J41" s="34">
        <f>'II (3)'!$I48</f>
        <v>-0.7396219926598031</v>
      </c>
      <c r="K41" s="18">
        <f>'II (4)'!$F45</f>
        <v>-0.02740944401863197</v>
      </c>
      <c r="L41" s="28">
        <f>'II (5)'!$H46</f>
        <v>0</v>
      </c>
      <c r="M41" s="63">
        <f>'II (6)'!$F46</f>
        <v>1.104354922174366</v>
      </c>
      <c r="N41" s="28">
        <f>'III (1)'!$L46</f>
        <v>0</v>
      </c>
      <c r="O41" s="28">
        <f>'III (2)'!$I46</f>
        <v>0</v>
      </c>
      <c r="P41" s="28">
        <f>'III (3)'!$H45</f>
        <v>0</v>
      </c>
      <c r="Q41" s="28">
        <f>'III (4)'!$I45</f>
        <v>0</v>
      </c>
      <c r="R41" s="18">
        <f>'III (5)'!$L46</f>
        <v>0</v>
      </c>
      <c r="S41" s="18">
        <f>'III (6)'!$J46</f>
        <v>0</v>
      </c>
      <c r="T41" s="28">
        <f>'III (7)'!$E45</f>
        <v>0</v>
      </c>
      <c r="U41" s="18">
        <f>'III (8)'!$J46</f>
        <v>0.45215571440461566</v>
      </c>
      <c r="V41" s="28">
        <f>'III (9)'!$G45</f>
        <v>0</v>
      </c>
      <c r="W41" s="18">
        <f>'III (10)'!$I45</f>
        <v>0</v>
      </c>
      <c r="X41" s="19">
        <f>'IV (1)'!$E45</f>
        <v>1</v>
      </c>
      <c r="Y41" s="19">
        <f>'IV (2)'!$E45</f>
        <v>0</v>
      </c>
      <c r="Z41" s="18">
        <f>'IV (3)'!$E45</f>
        <v>1</v>
      </c>
      <c r="AA41" s="78">
        <f t="shared" si="0"/>
        <v>3.564891931738622</v>
      </c>
      <c r="AB41" s="1">
        <f t="shared" si="1"/>
        <v>26</v>
      </c>
    </row>
    <row r="42" ht="15.75">
      <c r="B42" s="6"/>
    </row>
  </sheetData>
  <sheetProtection/>
  <mergeCells count="7">
    <mergeCell ref="AA3:AA4"/>
    <mergeCell ref="B1:AA1"/>
    <mergeCell ref="C3:G3"/>
    <mergeCell ref="H3:M3"/>
    <mergeCell ref="A3:B4"/>
    <mergeCell ref="N3:W3"/>
    <mergeCell ref="X3:Z3"/>
  </mergeCells>
  <conditionalFormatting sqref="C5:C41">
    <cfRule type="cellIs" priority="43" dxfId="132" operator="equal" stopIfTrue="1">
      <formula>MAX($C$5:$C$41)</formula>
    </cfRule>
    <cfRule type="cellIs" priority="44" dxfId="133" operator="equal" stopIfTrue="1">
      <formula>MIN($C$5:$C$41)</formula>
    </cfRule>
  </conditionalFormatting>
  <conditionalFormatting sqref="D5:D41">
    <cfRule type="cellIs" priority="41" dxfId="132" operator="equal" stopIfTrue="1">
      <formula>MAX($D$5:$D$41)</formula>
    </cfRule>
    <cfRule type="cellIs" priority="42" dxfId="133" operator="equal" stopIfTrue="1">
      <formula>MIN($D$5:$D$41)</formula>
    </cfRule>
  </conditionalFormatting>
  <conditionalFormatting sqref="E5:E41">
    <cfRule type="cellIs" priority="27" dxfId="132" operator="equal" stopIfTrue="1">
      <formula>MAX($E$5:$E$41)</formula>
    </cfRule>
    <cfRule type="cellIs" priority="40" dxfId="133" operator="equal" stopIfTrue="1">
      <formula>MIN($E$5:$E$41)</formula>
    </cfRule>
  </conditionalFormatting>
  <conditionalFormatting sqref="F5:F41">
    <cfRule type="cellIs" priority="28" dxfId="132" operator="equal" stopIfTrue="1">
      <formula>0</formula>
    </cfRule>
    <cfRule type="cellIs" priority="39" dxfId="133" operator="equal" stopIfTrue="1">
      <formula>-1</formula>
    </cfRule>
  </conditionalFormatting>
  <conditionalFormatting sqref="G5:G41">
    <cfRule type="cellIs" priority="37" dxfId="132" operator="equal" stopIfTrue="1">
      <formula>MAX($G$5:$G$41)</formula>
    </cfRule>
    <cfRule type="cellIs" priority="38" dxfId="133" operator="equal" stopIfTrue="1">
      <formula>MIN($G$5:$G$41)</formula>
    </cfRule>
  </conditionalFormatting>
  <conditionalFormatting sqref="H5:H41">
    <cfRule type="cellIs" priority="29" dxfId="132" operator="equal" stopIfTrue="1">
      <formula>0</formula>
    </cfRule>
    <cfRule type="cellIs" priority="36" dxfId="133" operator="equal" stopIfTrue="1">
      <formula>-2</formula>
    </cfRule>
  </conditionalFormatting>
  <conditionalFormatting sqref="K5:K41">
    <cfRule type="cellIs" priority="32" dxfId="132" operator="equal" stopIfTrue="1">
      <formula>MAX($K$5:$K$41)</formula>
    </cfRule>
    <cfRule type="cellIs" priority="33" dxfId="133" operator="equal" stopIfTrue="1">
      <formula>MIN($K$5:$K$41)</formula>
    </cfRule>
  </conditionalFormatting>
  <conditionalFormatting sqref="L5:L41">
    <cfRule type="cellIs" priority="25" dxfId="132" operator="equal" stopIfTrue="1">
      <formula>0</formula>
    </cfRule>
    <cfRule type="cellIs" priority="26" dxfId="133" operator="equal" stopIfTrue="1">
      <formula>-2</formula>
    </cfRule>
  </conditionalFormatting>
  <conditionalFormatting sqref="M5:M41">
    <cfRule type="cellIs" priority="23" dxfId="132" operator="equal" stopIfTrue="1">
      <formula>MAX($M$5:$M$41)</formula>
    </cfRule>
    <cfRule type="cellIs" priority="24" dxfId="133" operator="equal" stopIfTrue="1">
      <formula>MIN($M$5:$M$41)</formula>
    </cfRule>
  </conditionalFormatting>
  <conditionalFormatting sqref="U5:U41">
    <cfRule type="cellIs" priority="21" dxfId="132" operator="equal" stopIfTrue="1">
      <formula>MAX($U$5:$U$41)</formula>
    </cfRule>
    <cfRule type="cellIs" priority="22" dxfId="133" operator="equal" stopIfTrue="1">
      <formula>MIN($U$5:$U$41)</formula>
    </cfRule>
  </conditionalFormatting>
  <conditionalFormatting sqref="X5:X41">
    <cfRule type="cellIs" priority="18" dxfId="132" operator="equal" stopIfTrue="1">
      <formula>1</formula>
    </cfRule>
    <cfRule type="cellIs" priority="19" dxfId="133" operator="equal" stopIfTrue="1">
      <formula>0</formula>
    </cfRule>
  </conditionalFormatting>
  <conditionalFormatting sqref="N5:Q41">
    <cfRule type="cellIs" priority="13" dxfId="132" operator="equal" stopIfTrue="1">
      <formula>0</formula>
    </cfRule>
    <cfRule type="cellIs" priority="14" dxfId="133" operator="equal" stopIfTrue="1">
      <formula>-2</formula>
    </cfRule>
  </conditionalFormatting>
  <conditionalFormatting sqref="R5:R41">
    <cfRule type="cellIs" priority="11" dxfId="132" operator="equal" stopIfTrue="1">
      <formula>MAX($R$5:$R$41)</formula>
    </cfRule>
    <cfRule type="cellIs" priority="12" dxfId="133" operator="equal" stopIfTrue="1">
      <formula>MIN($R$5:$R$41)</formula>
    </cfRule>
  </conditionalFormatting>
  <conditionalFormatting sqref="S5:S41">
    <cfRule type="cellIs" priority="9" dxfId="132" operator="equal" stopIfTrue="1">
      <formula>MAX($S$5:$S$41)</formula>
    </cfRule>
    <cfRule type="cellIs" priority="10" dxfId="133" operator="equal" stopIfTrue="1">
      <formula>MIN($S$5:$S$41)</formula>
    </cfRule>
  </conditionalFormatting>
  <conditionalFormatting sqref="T5:T41">
    <cfRule type="cellIs" priority="7" dxfId="132" operator="equal" stopIfTrue="1">
      <formula>0</formula>
    </cfRule>
    <cfRule type="cellIs" priority="8" dxfId="133" operator="equal" stopIfTrue="1">
      <formula>-2</formula>
    </cfRule>
  </conditionalFormatting>
  <conditionalFormatting sqref="I5:I41">
    <cfRule type="cellIs" priority="31" dxfId="132" operator="equal" stopIfTrue="1">
      <formula>MAX($I$5:$I$41)</formula>
    </cfRule>
    <cfRule type="cellIs" priority="35" dxfId="133" operator="equal" stopIfTrue="1">
      <formula>MIN($I$5:$I$41)</formula>
    </cfRule>
  </conditionalFormatting>
  <conditionalFormatting sqref="J5:J41">
    <cfRule type="cellIs" priority="5" dxfId="132" operator="equal" stopIfTrue="1">
      <formula>MAX($J$5:$J$41)</formula>
    </cfRule>
    <cfRule type="cellIs" priority="6" dxfId="133" operator="equal" stopIfTrue="1">
      <formula>MIN($J$5:$J$41)</formula>
    </cfRule>
  </conditionalFormatting>
  <conditionalFormatting sqref="W5:W41">
    <cfRule type="cellIs" priority="17" dxfId="132" operator="equal" stopIfTrue="1">
      <formula>0</formula>
    </cfRule>
    <cfRule type="cellIs" priority="20" dxfId="133" operator="equal" stopIfTrue="1">
      <formula>-1</formula>
    </cfRule>
  </conditionalFormatting>
  <conditionalFormatting sqref="V5:V41">
    <cfRule type="cellIs" priority="3" dxfId="132" operator="equal" stopIfTrue="1">
      <formula>0</formula>
    </cfRule>
    <cfRule type="cellIs" priority="4" dxfId="133" operator="equal" stopIfTrue="1">
      <formula>-2</formula>
    </cfRule>
  </conditionalFormatting>
  <conditionalFormatting sqref="Y5:Y41">
    <cfRule type="cellIs" priority="15" dxfId="132" operator="equal" stopIfTrue="1">
      <formula>0</formula>
    </cfRule>
    <cfRule type="cellIs" priority="16" dxfId="133" operator="equal" stopIfTrue="1">
      <formula>-1</formula>
    </cfRule>
  </conditionalFormatting>
  <conditionalFormatting sqref="Z5:Z41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4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B4"/>
    </sheetView>
  </sheetViews>
  <sheetFormatPr defaultColWidth="9.140625" defaultRowHeight="15"/>
  <cols>
    <col min="1" max="1" width="5.00390625" style="1" customWidth="1"/>
    <col min="2" max="2" width="22.140625" style="1" customWidth="1"/>
    <col min="3" max="3" width="6.7109375" style="1" customWidth="1"/>
    <col min="4" max="7" width="6.7109375" style="2" customWidth="1"/>
    <col min="8" max="8" width="6.7109375" style="1" customWidth="1"/>
    <col min="9" max="10" width="6.7109375" style="2" customWidth="1"/>
    <col min="11" max="11" width="8.421875" style="2" customWidth="1"/>
    <col min="12" max="13" width="6.7109375" style="2" customWidth="1"/>
    <col min="14" max="17" width="6.7109375" style="1" customWidth="1"/>
    <col min="18" max="18" width="7.28125" style="1" customWidth="1"/>
    <col min="19" max="19" width="6.7109375" style="1" customWidth="1"/>
    <col min="20" max="23" width="6.7109375" style="2" customWidth="1"/>
    <col min="24" max="24" width="6.7109375" style="1" customWidth="1"/>
    <col min="25" max="26" width="6.7109375" style="2" customWidth="1"/>
    <col min="27" max="27" width="18.57421875" style="1" customWidth="1"/>
    <col min="28" max="16384" width="9.140625" style="1" customWidth="1"/>
  </cols>
  <sheetData>
    <row r="1" spans="2:27" ht="17.25" customHeight="1">
      <c r="B1" s="110" t="s">
        <v>379</v>
      </c>
      <c r="C1" s="114"/>
      <c r="D1" s="114"/>
      <c r="E1" s="114"/>
      <c r="F1" s="114"/>
      <c r="G1" s="11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3" spans="1:28" s="8" customFormat="1" ht="70.5" customHeight="1">
      <c r="A3" s="107" t="s">
        <v>38</v>
      </c>
      <c r="B3" s="107"/>
      <c r="C3" s="107" t="s">
        <v>86</v>
      </c>
      <c r="D3" s="107"/>
      <c r="E3" s="107"/>
      <c r="F3" s="107"/>
      <c r="G3" s="107"/>
      <c r="H3" s="107" t="s">
        <v>87</v>
      </c>
      <c r="I3" s="107"/>
      <c r="J3" s="107"/>
      <c r="K3" s="107"/>
      <c r="L3" s="107"/>
      <c r="M3" s="107"/>
      <c r="N3" s="107" t="s">
        <v>133</v>
      </c>
      <c r="O3" s="107"/>
      <c r="P3" s="107"/>
      <c r="Q3" s="107"/>
      <c r="R3" s="107"/>
      <c r="S3" s="107"/>
      <c r="T3" s="107"/>
      <c r="U3" s="107"/>
      <c r="V3" s="107"/>
      <c r="W3" s="107"/>
      <c r="X3" s="107" t="s">
        <v>132</v>
      </c>
      <c r="Y3" s="107"/>
      <c r="Z3" s="107"/>
      <c r="AA3" s="107" t="s">
        <v>88</v>
      </c>
      <c r="AB3" s="21"/>
    </row>
    <row r="4" spans="1:27" s="8" customFormat="1" ht="23.25" customHeight="1">
      <c r="A4" s="107"/>
      <c r="B4" s="107"/>
      <c r="C4" s="3">
        <v>1</v>
      </c>
      <c r="D4" s="9">
        <v>2</v>
      </c>
      <c r="E4" s="9">
        <v>3</v>
      </c>
      <c r="F4" s="9">
        <v>4</v>
      </c>
      <c r="G4" s="9">
        <v>5</v>
      </c>
      <c r="H4" s="3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</v>
      </c>
      <c r="Y4" s="9">
        <v>2</v>
      </c>
      <c r="Z4" s="9">
        <v>3</v>
      </c>
      <c r="AA4" s="124"/>
    </row>
    <row r="5" spans="1:28" ht="15.75">
      <c r="A5" s="19">
        <v>1</v>
      </c>
      <c r="B5" s="5" t="s">
        <v>272</v>
      </c>
      <c r="C5" s="18">
        <f>'I (1)'!$F38</f>
        <v>0.7456876816144443</v>
      </c>
      <c r="D5" s="18">
        <f>'I (2)'!$F38</f>
        <v>0.22845368366432062</v>
      </c>
      <c r="E5" s="18">
        <f>'I (3)'!$G38</f>
        <v>0</v>
      </c>
      <c r="F5" s="19">
        <f>'I (4)'!$E37</f>
        <v>0</v>
      </c>
      <c r="G5" s="18">
        <f>'I (5)'!$G38</f>
        <v>1</v>
      </c>
      <c r="H5" s="19">
        <f>'II (1)'!$G37</f>
        <v>0</v>
      </c>
      <c r="I5" s="18">
        <f>'II (2)'!$I40</f>
        <v>0</v>
      </c>
      <c r="J5" s="34">
        <f>'II (3)'!$I40</f>
        <v>0</v>
      </c>
      <c r="K5" s="18">
        <f>'II (4)'!$F37</f>
        <v>-0.22762535737718273</v>
      </c>
      <c r="L5" s="28">
        <f>'II (5)'!$H38</f>
        <v>0</v>
      </c>
      <c r="M5" s="63">
        <f>'II (6)'!$F38</f>
        <v>2</v>
      </c>
      <c r="N5" s="28">
        <f>'III (1)'!$L38</f>
        <v>0</v>
      </c>
      <c r="O5" s="28">
        <f>'III (2)'!$I38</f>
        <v>0</v>
      </c>
      <c r="P5" s="28">
        <f>'III (3)'!$H37</f>
        <v>0</v>
      </c>
      <c r="Q5" s="28">
        <f>'III (4)'!$I37</f>
        <v>0</v>
      </c>
      <c r="R5" s="18">
        <f>'III (5)'!$L38</f>
        <v>0</v>
      </c>
      <c r="S5" s="18">
        <f>'III (6)'!$J38</f>
        <v>0</v>
      </c>
      <c r="T5" s="28">
        <f>'III (7)'!$E37</f>
        <v>0</v>
      </c>
      <c r="U5" s="18">
        <f>'III (8)'!$J38</f>
        <v>0.9616799893096377</v>
      </c>
      <c r="V5" s="28">
        <f>'III (9)'!$G37</f>
        <v>0</v>
      </c>
      <c r="W5" s="18">
        <f>'III (10)'!$I37</f>
        <v>0</v>
      </c>
      <c r="X5" s="19">
        <f>'IV (1)'!$E37</f>
        <v>1</v>
      </c>
      <c r="Y5" s="19">
        <f>'IV (2)'!$E37</f>
        <v>0</v>
      </c>
      <c r="Z5" s="18">
        <f>'IV (3)'!$E37</f>
        <v>1</v>
      </c>
      <c r="AA5" s="78">
        <f>SUM($C5:$Z5)</f>
        <v>6.70819599721122</v>
      </c>
      <c r="AB5" s="1">
        <f>RANK(AA5,$AA$5:$AA$41,0)</f>
        <v>1</v>
      </c>
    </row>
    <row r="6" spans="1:28" ht="15.75">
      <c r="A6" s="19">
        <v>2</v>
      </c>
      <c r="B6" s="5" t="s">
        <v>255</v>
      </c>
      <c r="C6" s="18">
        <f>'I (1)'!$F21</f>
        <v>1.123614251454849</v>
      </c>
      <c r="D6" s="18">
        <f>'I (2)'!$F21</f>
        <v>0.5193460091386729</v>
      </c>
      <c r="E6" s="18">
        <f>'I (3)'!$G21</f>
        <v>0</v>
      </c>
      <c r="F6" s="19">
        <f>'I (4)'!$E20</f>
        <v>0</v>
      </c>
      <c r="G6" s="18">
        <f>'I (5)'!$G21</f>
        <v>0.8499460063872911</v>
      </c>
      <c r="H6" s="19">
        <f>'II (1)'!$G20</f>
        <v>0</v>
      </c>
      <c r="I6" s="18">
        <f>'II (2)'!$I23</f>
        <v>0</v>
      </c>
      <c r="J6" s="34">
        <f>'II (3)'!$I23</f>
        <v>-0.2954501559078069</v>
      </c>
      <c r="K6" s="100">
        <f>'II (4)'!$F20</f>
        <v>-0.00045174107811723867</v>
      </c>
      <c r="L6" s="28">
        <f>'II (5)'!$H21</f>
        <v>0</v>
      </c>
      <c r="M6" s="101">
        <f>'II (6)'!$F21</f>
        <v>1.996778509092131</v>
      </c>
      <c r="N6" s="28">
        <f>'III (1)'!$L21</f>
        <v>0</v>
      </c>
      <c r="O6" s="28">
        <f>'III (2)'!$I21</f>
        <v>0</v>
      </c>
      <c r="P6" s="28">
        <f>'III (3)'!$H20</f>
        <v>0</v>
      </c>
      <c r="Q6" s="28">
        <f>'III (4)'!$I20</f>
        <v>0</v>
      </c>
      <c r="R6" s="18">
        <f>'III (5)'!$L21</f>
        <v>0</v>
      </c>
      <c r="S6" s="18">
        <f>'III (6)'!$J21</f>
        <v>0</v>
      </c>
      <c r="T6" s="28">
        <f>'III (7)'!$E20</f>
        <v>0</v>
      </c>
      <c r="U6" s="18">
        <f>'III (8)'!$J21</f>
        <v>0.49844266476378024</v>
      </c>
      <c r="V6" s="28">
        <f>'III (9)'!$G20</f>
        <v>0</v>
      </c>
      <c r="W6" s="18">
        <f>'III (10)'!$I20</f>
        <v>0</v>
      </c>
      <c r="X6" s="19">
        <f>'IV (1)'!$E20</f>
        <v>1</v>
      </c>
      <c r="Y6" s="19">
        <f>'IV (2)'!$E20</f>
        <v>0</v>
      </c>
      <c r="Z6" s="18">
        <f>'IV (3)'!$E20</f>
        <v>1</v>
      </c>
      <c r="AA6" s="78">
        <f>SUM($C6:$Z6)</f>
        <v>6.6922255438508005</v>
      </c>
      <c r="AB6" s="1">
        <f aca="true" t="shared" si="0" ref="AB6:AB41">RANK(AA6,$AA$5:$AA$41,0)</f>
        <v>2</v>
      </c>
    </row>
    <row r="7" spans="1:28" ht="15.75">
      <c r="A7" s="19">
        <v>3</v>
      </c>
      <c r="B7" s="5" t="s">
        <v>248</v>
      </c>
      <c r="C7" s="18">
        <f>'I (1)'!$F14</f>
        <v>1.7406267041762975</v>
      </c>
      <c r="D7" s="18">
        <f>'I (2)'!$F14</f>
        <v>0.31142978026740487</v>
      </c>
      <c r="E7" s="18">
        <f>'I (3)'!$G14</f>
        <v>0</v>
      </c>
      <c r="F7" s="19">
        <f>'I (4)'!$E13</f>
        <v>0</v>
      </c>
      <c r="G7" s="18">
        <f>'I (5)'!$G14</f>
        <v>1</v>
      </c>
      <c r="H7" s="19">
        <f>'II (1)'!$G13</f>
        <v>0</v>
      </c>
      <c r="I7" s="18">
        <f>'II (2)'!$I16</f>
        <v>-0.15907678447980936</v>
      </c>
      <c r="J7" s="34">
        <f>'II (3)'!$I16</f>
        <v>0</v>
      </c>
      <c r="K7" s="18">
        <f>'II (4)'!$F13</f>
        <v>-0.1214157262998778</v>
      </c>
      <c r="L7" s="28">
        <f>'II (5)'!$H14</f>
        <v>0</v>
      </c>
      <c r="M7" s="63">
        <f>'II (6)'!$F14</f>
        <v>1.8126893189000133</v>
      </c>
      <c r="N7" s="28">
        <f>'III (1)'!$L14</f>
        <v>0</v>
      </c>
      <c r="O7" s="28">
        <f>'III (2)'!$I14</f>
        <v>0</v>
      </c>
      <c r="P7" s="28">
        <f>'III (3)'!$H13</f>
        <v>0</v>
      </c>
      <c r="Q7" s="28">
        <f>'III (4)'!$I13</f>
        <v>0</v>
      </c>
      <c r="R7" s="18">
        <f>'III (5)'!$L14</f>
        <v>0</v>
      </c>
      <c r="S7" s="18">
        <f>'III (6)'!$J14</f>
        <v>-0.05892207655415149</v>
      </c>
      <c r="T7" s="28">
        <f>'III (7)'!$E13</f>
        <v>0</v>
      </c>
      <c r="U7" s="18">
        <f>'III (8)'!$J14</f>
        <v>0.14650999608471182</v>
      </c>
      <c r="V7" s="28">
        <f>'III (9)'!$G13</f>
        <v>0</v>
      </c>
      <c r="W7" s="18">
        <f>'III (10)'!$I13</f>
        <v>0</v>
      </c>
      <c r="X7" s="19">
        <f>'IV (1)'!$E13</f>
        <v>1</v>
      </c>
      <c r="Y7" s="19">
        <f>'IV (2)'!$E13</f>
        <v>0</v>
      </c>
      <c r="Z7" s="18">
        <f>'IV (3)'!$E13</f>
        <v>1</v>
      </c>
      <c r="AA7" s="78">
        <f>SUM($C7:$Z7)</f>
        <v>6.671841212094589</v>
      </c>
      <c r="AB7" s="1">
        <f t="shared" si="0"/>
        <v>3</v>
      </c>
    </row>
    <row r="8" spans="1:28" ht="15.75">
      <c r="A8" s="19">
        <v>4</v>
      </c>
      <c r="B8" s="5" t="s">
        <v>279</v>
      </c>
      <c r="C8" s="18">
        <f>'I (1)'!$F45</f>
        <v>1.1065909337768738</v>
      </c>
      <c r="D8" s="18">
        <f>'I (2)'!$F45</f>
        <v>0.3239173334227421</v>
      </c>
      <c r="E8" s="18">
        <f>'I (3)'!$G45</f>
        <v>0</v>
      </c>
      <c r="F8" s="19">
        <f>'I (4)'!$E44</f>
        <v>0</v>
      </c>
      <c r="G8" s="18">
        <f>'I (5)'!$G45</f>
        <v>1</v>
      </c>
      <c r="H8" s="19">
        <f>'II (1)'!$G44</f>
        <v>0</v>
      </c>
      <c r="I8" s="18">
        <f>'II (2)'!$I47</f>
        <v>-0.0870803755186924</v>
      </c>
      <c r="J8" s="34">
        <f>'II (3)'!$I47</f>
        <v>0</v>
      </c>
      <c r="K8" s="18">
        <f>'II (4)'!$F44</f>
        <v>0</v>
      </c>
      <c r="L8" s="28">
        <f>'II (5)'!$H45</f>
        <v>0</v>
      </c>
      <c r="M8" s="63">
        <f>'II (6)'!$F45</f>
        <v>1.9897632910474268</v>
      </c>
      <c r="N8" s="28">
        <f>'III (1)'!$L45</f>
        <v>0</v>
      </c>
      <c r="O8" s="28">
        <f>'III (2)'!$I45</f>
        <v>0</v>
      </c>
      <c r="P8" s="28">
        <f>'III (3)'!$H44</f>
        <v>0</v>
      </c>
      <c r="Q8" s="28">
        <f>'III (4)'!$I44</f>
        <v>0</v>
      </c>
      <c r="R8" s="18">
        <f>'III (5)'!$L45</f>
        <v>0</v>
      </c>
      <c r="S8" s="18">
        <f>'III (6)'!$J45</f>
        <v>0</v>
      </c>
      <c r="T8" s="28">
        <f>'III (7)'!$E44</f>
        <v>0</v>
      </c>
      <c r="U8" s="18">
        <f>'III (8)'!$J45</f>
        <v>0.9667101247794867</v>
      </c>
      <c r="V8" s="28">
        <f>'III (9)'!$G44</f>
        <v>0</v>
      </c>
      <c r="W8" s="18">
        <f>'III (10)'!$I44</f>
        <v>0</v>
      </c>
      <c r="X8" s="19">
        <f>'IV (1)'!$E44</f>
        <v>1</v>
      </c>
      <c r="Y8" s="19">
        <f>'IV (2)'!$E44</f>
        <v>0</v>
      </c>
      <c r="Z8" s="18">
        <f>'IV (3)'!$E44</f>
        <v>0.25</v>
      </c>
      <c r="AA8" s="78">
        <f>SUM($C8:$Z8)</f>
        <v>6.549901307507836</v>
      </c>
      <c r="AB8" s="1">
        <f t="shared" si="0"/>
        <v>4</v>
      </c>
    </row>
    <row r="9" spans="1:28" ht="15.75">
      <c r="A9" s="19">
        <v>5</v>
      </c>
      <c r="B9" s="5" t="s">
        <v>278</v>
      </c>
      <c r="C9" s="18">
        <f>'I (1)'!$F44</f>
        <v>1.063811139212009</v>
      </c>
      <c r="D9" s="18">
        <f>'I (2)'!$F44</f>
        <v>1</v>
      </c>
      <c r="E9" s="18">
        <f>'I (3)'!$G44</f>
        <v>-0.0899317562280506</v>
      </c>
      <c r="F9" s="19">
        <f>'I (4)'!$E43</f>
        <v>0</v>
      </c>
      <c r="G9" s="18">
        <f>'I (5)'!$G44</f>
        <v>1</v>
      </c>
      <c r="H9" s="19">
        <f>'II (1)'!$G43</f>
        <v>0</v>
      </c>
      <c r="I9" s="18">
        <f>'II (2)'!$I46</f>
        <v>-0.20042946462801986</v>
      </c>
      <c r="J9" s="34">
        <f>'II (3)'!$I46</f>
        <v>0</v>
      </c>
      <c r="K9" s="18">
        <f>'II (4)'!$F43</f>
        <v>0</v>
      </c>
      <c r="L9" s="28">
        <f>'II (5)'!$H44</f>
        <v>0</v>
      </c>
      <c r="M9" s="63">
        <f>'II (6)'!$F44</f>
        <v>1.982151745067689</v>
      </c>
      <c r="N9" s="28">
        <f>'III (1)'!$L44</f>
        <v>0</v>
      </c>
      <c r="O9" s="28">
        <f>'III (2)'!$I44</f>
        <v>0</v>
      </c>
      <c r="P9" s="28">
        <f>'III (3)'!$H43</f>
        <v>0</v>
      </c>
      <c r="Q9" s="28">
        <f>'III (4)'!$I43</f>
        <v>0</v>
      </c>
      <c r="R9" s="18">
        <f>'III (5)'!$L44</f>
        <v>0</v>
      </c>
      <c r="S9" s="18">
        <f>'III (6)'!$J44</f>
        <v>0</v>
      </c>
      <c r="T9" s="28">
        <f>'III (7)'!$E43</f>
        <v>0</v>
      </c>
      <c r="U9" s="18">
        <f>'III (8)'!$J44</f>
        <v>0.49996480732413273</v>
      </c>
      <c r="V9" s="28">
        <f>'III (9)'!$G43</f>
        <v>0</v>
      </c>
      <c r="W9" s="18">
        <f>'III (10)'!$I43</f>
        <v>0</v>
      </c>
      <c r="X9" s="19">
        <f>'IV (1)'!$E43</f>
        <v>1</v>
      </c>
      <c r="Y9" s="19">
        <f>'IV (2)'!$E43</f>
        <v>0</v>
      </c>
      <c r="Z9" s="18">
        <f>'IV (3)'!$E43</f>
        <v>0.25</v>
      </c>
      <c r="AA9" s="78">
        <f>SUM($C9:$Z9)</f>
        <v>6.505566470747761</v>
      </c>
      <c r="AB9" s="1">
        <f t="shared" si="0"/>
        <v>5</v>
      </c>
    </row>
    <row r="10" spans="1:28" ht="15.75">
      <c r="A10" s="19">
        <v>6</v>
      </c>
      <c r="B10" s="5" t="s">
        <v>257</v>
      </c>
      <c r="C10" s="18">
        <f>'I (1)'!$F23</f>
        <v>1.6182321027386826</v>
      </c>
      <c r="D10" s="18">
        <f>'I (2)'!$F23</f>
        <v>0</v>
      </c>
      <c r="E10" s="18">
        <f>'I (3)'!$G23</f>
        <v>-0.11880234642637418</v>
      </c>
      <c r="F10" s="19">
        <f>'I (4)'!$E22</f>
        <v>0</v>
      </c>
      <c r="G10" s="18">
        <f>'I (5)'!$G23</f>
        <v>1</v>
      </c>
      <c r="H10" s="19">
        <f>'II (1)'!$G22</f>
        <v>0</v>
      </c>
      <c r="I10" s="18">
        <f>'II (2)'!$I25</f>
        <v>0</v>
      </c>
      <c r="J10" s="34">
        <f>'II (3)'!$I25</f>
        <v>0</v>
      </c>
      <c r="K10" s="18">
        <f>'II (4)'!$F22</f>
        <v>0</v>
      </c>
      <c r="L10" s="28">
        <f>'II (5)'!$H23</f>
        <v>0</v>
      </c>
      <c r="M10" s="63">
        <f>'II (6)'!$F23</f>
        <v>1.98604325009585</v>
      </c>
      <c r="N10" s="28">
        <f>'III (1)'!$L23</f>
        <v>0</v>
      </c>
      <c r="O10" s="28">
        <f>'III (2)'!$I23</f>
        <v>0</v>
      </c>
      <c r="P10" s="28">
        <f>'III (3)'!$H22</f>
        <v>0</v>
      </c>
      <c r="Q10" s="28">
        <f>'III (4)'!$I22</f>
        <v>0</v>
      </c>
      <c r="R10" s="18">
        <f>'III (5)'!$L23</f>
        <v>-0.9524656633352623</v>
      </c>
      <c r="S10" s="18">
        <f>'III (6)'!$J23</f>
        <v>-0.15839162863373377</v>
      </c>
      <c r="T10" s="28">
        <f>'III (7)'!$E22</f>
        <v>0</v>
      </c>
      <c r="U10" s="18">
        <f>'III (8)'!$J23</f>
        <v>0.7634038849071288</v>
      </c>
      <c r="V10" s="28">
        <f>'III (9)'!$G22</f>
        <v>0</v>
      </c>
      <c r="W10" s="18">
        <f>'III (10)'!$I22</f>
        <v>0</v>
      </c>
      <c r="X10" s="19">
        <f>'IV (1)'!$E22</f>
        <v>1</v>
      </c>
      <c r="Y10" s="19">
        <f>'IV (2)'!$E22</f>
        <v>0</v>
      </c>
      <c r="Z10" s="18">
        <f>'IV (3)'!$E22</f>
        <v>1</v>
      </c>
      <c r="AA10" s="78">
        <f>SUM($C10:$Z10)</f>
        <v>6.138019599346291</v>
      </c>
      <c r="AB10" s="1">
        <f t="shared" si="0"/>
        <v>6</v>
      </c>
    </row>
    <row r="11" spans="1:28" ht="15.75">
      <c r="A11" s="19">
        <v>7</v>
      </c>
      <c r="B11" s="5" t="s">
        <v>259</v>
      </c>
      <c r="C11" s="18">
        <f>'I (1)'!$F25</f>
        <v>1.3334038674869824</v>
      </c>
      <c r="D11" s="18">
        <f>'I (2)'!$F25</f>
        <v>0.24450237320743878</v>
      </c>
      <c r="E11" s="18">
        <f>'I (3)'!$G25</f>
        <v>0</v>
      </c>
      <c r="F11" s="19">
        <f>'I (4)'!$E24</f>
        <v>0</v>
      </c>
      <c r="G11" s="18">
        <f>'I (5)'!$G25</f>
        <v>1</v>
      </c>
      <c r="H11" s="19">
        <f>'II (1)'!$G24</f>
        <v>0</v>
      </c>
      <c r="I11" s="18">
        <f>'II (2)'!$I27</f>
        <v>0</v>
      </c>
      <c r="J11" s="34">
        <f>'II (3)'!$I27</f>
        <v>-0.32112474288751913</v>
      </c>
      <c r="K11" s="18">
        <f>'II (4)'!$F24</f>
        <v>-0.03708923837231728</v>
      </c>
      <c r="L11" s="28">
        <f>'II (5)'!$H25</f>
        <v>0</v>
      </c>
      <c r="M11" s="63">
        <f>'II (6)'!$F25</f>
        <v>1.6908653541734504</v>
      </c>
      <c r="N11" s="28">
        <f>'III (1)'!$L25</f>
        <v>0</v>
      </c>
      <c r="O11" s="28">
        <f>'III (2)'!$I25</f>
        <v>0</v>
      </c>
      <c r="P11" s="28">
        <f>'III (3)'!$H24</f>
        <v>0</v>
      </c>
      <c r="Q11" s="28">
        <f>'III (4)'!$I24</f>
        <v>0</v>
      </c>
      <c r="R11" s="18">
        <f>'III (5)'!$L25</f>
        <v>0</v>
      </c>
      <c r="S11" s="18">
        <f>'III (6)'!$J25</f>
        <v>0</v>
      </c>
      <c r="T11" s="28">
        <f>'III (7)'!$E24</f>
        <v>0</v>
      </c>
      <c r="U11" s="18">
        <f>'III (8)'!$J25</f>
        <v>0.16013892541177355</v>
      </c>
      <c r="V11" s="28">
        <f>'III (9)'!$G24</f>
        <v>0</v>
      </c>
      <c r="W11" s="18">
        <f>'III (10)'!$I24</f>
        <v>0</v>
      </c>
      <c r="X11" s="19">
        <f>'IV (1)'!$E24</f>
        <v>1</v>
      </c>
      <c r="Y11" s="19">
        <f>'IV (2)'!$E24</f>
        <v>0</v>
      </c>
      <c r="Z11" s="18">
        <f>'IV (3)'!$E24</f>
        <v>1</v>
      </c>
      <c r="AA11" s="78">
        <f>SUM($C11:$Z11)</f>
        <v>6.070696539019809</v>
      </c>
      <c r="AB11" s="1">
        <f t="shared" si="0"/>
        <v>7</v>
      </c>
    </row>
    <row r="12" spans="1:28" ht="15.75">
      <c r="A12" s="19">
        <v>8</v>
      </c>
      <c r="B12" s="5" t="s">
        <v>258</v>
      </c>
      <c r="C12" s="18">
        <f>'I (1)'!$F24</f>
        <v>2</v>
      </c>
      <c r="D12" s="18">
        <f>'I (2)'!$F24</f>
        <v>0.4798313791557804</v>
      </c>
      <c r="E12" s="18">
        <f>'I (3)'!$G24</f>
        <v>-0.6274976477312655</v>
      </c>
      <c r="F12" s="19">
        <f>'I (4)'!$E23</f>
        <v>0</v>
      </c>
      <c r="G12" s="18">
        <f>'I (5)'!$G24</f>
        <v>1</v>
      </c>
      <c r="H12" s="19">
        <f>'II (1)'!$G23</f>
        <v>0</v>
      </c>
      <c r="I12" s="18">
        <f>'II (2)'!$I26</f>
        <v>-0.1576264552886639</v>
      </c>
      <c r="J12" s="34">
        <f>'II (3)'!$I26</f>
        <v>-0.32909320613900644</v>
      </c>
      <c r="K12" s="100">
        <f>'II (4)'!$F23</f>
        <v>-0.0002166619306339259</v>
      </c>
      <c r="L12" s="28">
        <f>'II (5)'!$H24</f>
        <v>0</v>
      </c>
      <c r="M12" s="63">
        <f>'II (6)'!$F24</f>
        <v>1.9820051872161204</v>
      </c>
      <c r="N12" s="28">
        <f>'III (1)'!$L24</f>
        <v>0</v>
      </c>
      <c r="O12" s="28">
        <f>'III (2)'!$I24</f>
        <v>0</v>
      </c>
      <c r="P12" s="28">
        <f>'III (3)'!$H23</f>
        <v>0</v>
      </c>
      <c r="Q12" s="28">
        <f>'III (4)'!$I23</f>
        <v>0</v>
      </c>
      <c r="R12" s="18">
        <f>'III (5)'!$L24</f>
        <v>0</v>
      </c>
      <c r="S12" s="18">
        <f>'III (6)'!$J24</f>
        <v>0</v>
      </c>
      <c r="T12" s="28">
        <f>'III (7)'!$E23</f>
        <v>0</v>
      </c>
      <c r="U12" s="18">
        <f>'III (8)'!$J24</f>
        <v>0.4182840373830865</v>
      </c>
      <c r="V12" s="28">
        <f>'III (9)'!$G23</f>
        <v>0</v>
      </c>
      <c r="W12" s="18">
        <f>'III (10)'!$I23</f>
        <v>0</v>
      </c>
      <c r="X12" s="19">
        <f>'IV (1)'!$E23</f>
        <v>1</v>
      </c>
      <c r="Y12" s="19">
        <f>'IV (2)'!$E23</f>
        <v>0</v>
      </c>
      <c r="Z12" s="18">
        <f>'IV (3)'!$E23</f>
        <v>0.25</v>
      </c>
      <c r="AA12" s="78">
        <f>SUM($C12:$Z12)</f>
        <v>6.0156866326654175</v>
      </c>
      <c r="AB12" s="1">
        <f t="shared" si="0"/>
        <v>8</v>
      </c>
    </row>
    <row r="13" spans="1:28" ht="15.75">
      <c r="A13" s="19">
        <v>9</v>
      </c>
      <c r="B13" s="5" t="s">
        <v>262</v>
      </c>
      <c r="C13" s="18">
        <f>'I (1)'!$F28</f>
        <v>1.6669834504269148</v>
      </c>
      <c r="D13" s="18">
        <f>'I (2)'!$F28</f>
        <v>0.3004284085991185</v>
      </c>
      <c r="E13" s="18">
        <f>'I (3)'!$G28</f>
        <v>-0.2636058091696166</v>
      </c>
      <c r="F13" s="19">
        <f>'I (4)'!$E27</f>
        <v>0</v>
      </c>
      <c r="G13" s="18">
        <f>'I (5)'!$G28</f>
        <v>1</v>
      </c>
      <c r="H13" s="19">
        <f>'II (1)'!$G27</f>
        <v>0</v>
      </c>
      <c r="I13" s="18">
        <f>'II (2)'!$I30</f>
        <v>-0.17066603507620323</v>
      </c>
      <c r="J13" s="34">
        <f>'II (3)'!$I30</f>
        <v>0</v>
      </c>
      <c r="K13" s="18">
        <f>'II (4)'!$F27</f>
        <v>0</v>
      </c>
      <c r="L13" s="28">
        <f>'II (5)'!$H28</f>
        <v>0</v>
      </c>
      <c r="M13" s="63">
        <f>'II (6)'!$F28</f>
        <v>2</v>
      </c>
      <c r="N13" s="28">
        <f>'III (1)'!$L28</f>
        <v>0</v>
      </c>
      <c r="O13" s="28">
        <f>'III (2)'!$I28</f>
        <v>0</v>
      </c>
      <c r="P13" s="28">
        <f>'III (3)'!$H27</f>
        <v>0</v>
      </c>
      <c r="Q13" s="28">
        <f>'III (4)'!$I27</f>
        <v>0</v>
      </c>
      <c r="R13" s="18">
        <f>'III (5)'!$L28</f>
        <v>0</v>
      </c>
      <c r="S13" s="18">
        <f>'III (6)'!$J28</f>
        <v>0</v>
      </c>
      <c r="T13" s="28">
        <f>'III (7)'!$E27</f>
        <v>0</v>
      </c>
      <c r="U13" s="18">
        <f>'III (8)'!$J28</f>
        <v>0.33712406093857883</v>
      </c>
      <c r="V13" s="28">
        <f>'III (9)'!$G27</f>
        <v>0</v>
      </c>
      <c r="W13" s="18">
        <f>'III (10)'!$I27</f>
        <v>0</v>
      </c>
      <c r="X13" s="19">
        <f>'IV (1)'!$E27</f>
        <v>1</v>
      </c>
      <c r="Y13" s="19">
        <f>'IV (2)'!$E27</f>
        <v>0</v>
      </c>
      <c r="Z13" s="18">
        <f>'IV (3)'!$E27</f>
        <v>0</v>
      </c>
      <c r="AA13" s="78">
        <f>SUM($C13:$Z13)</f>
        <v>5.870264075718793</v>
      </c>
      <c r="AB13" s="1">
        <f t="shared" si="0"/>
        <v>9</v>
      </c>
    </row>
    <row r="14" spans="1:28" ht="15.75">
      <c r="A14" s="19">
        <v>10</v>
      </c>
      <c r="B14" s="5" t="s">
        <v>256</v>
      </c>
      <c r="C14" s="18">
        <f>'I (1)'!$F22</f>
        <v>0.729717371260542</v>
      </c>
      <c r="D14" s="18">
        <f>'I (2)'!$F22</f>
        <v>0.13985928359721433</v>
      </c>
      <c r="E14" s="18">
        <f>'I (3)'!$G22</f>
        <v>0</v>
      </c>
      <c r="F14" s="19">
        <f>'I (4)'!$E21</f>
        <v>0</v>
      </c>
      <c r="G14" s="18">
        <f>'I (5)'!$G22</f>
        <v>1</v>
      </c>
      <c r="H14" s="19">
        <f>'II (1)'!$G21</f>
        <v>0</v>
      </c>
      <c r="I14" s="18">
        <f>'II (2)'!$I24</f>
        <v>-0.13805269931717343</v>
      </c>
      <c r="J14" s="34">
        <f>'II (3)'!$I24</f>
        <v>0</v>
      </c>
      <c r="K14" s="99">
        <f>'II (4)'!$F21</f>
        <v>-0.0011323372877711747</v>
      </c>
      <c r="L14" s="28">
        <f>'II (5)'!$H22</f>
        <v>0</v>
      </c>
      <c r="M14" s="63">
        <f>'II (6)'!$F22</f>
        <v>1.9737165874845877</v>
      </c>
      <c r="N14" s="28">
        <f>'III (1)'!$L22</f>
        <v>0</v>
      </c>
      <c r="O14" s="28">
        <f>'III (2)'!$I22</f>
        <v>0</v>
      </c>
      <c r="P14" s="28">
        <f>'III (3)'!$H21</f>
        <v>0</v>
      </c>
      <c r="Q14" s="28">
        <f>'III (4)'!$I21</f>
        <v>0</v>
      </c>
      <c r="R14" s="18">
        <f>'III (5)'!$L22</f>
        <v>-0.017227144883411878</v>
      </c>
      <c r="S14" s="18">
        <f>'III (6)'!$J22</f>
        <v>0</v>
      </c>
      <c r="T14" s="28">
        <f>'III (7)'!$E21</f>
        <v>0</v>
      </c>
      <c r="U14" s="18">
        <f>'III (8)'!$J22</f>
        <v>0.6253844492601093</v>
      </c>
      <c r="V14" s="28">
        <f>'III (9)'!$G21</f>
        <v>0</v>
      </c>
      <c r="W14" s="18">
        <f>'III (10)'!$I21</f>
        <v>0</v>
      </c>
      <c r="X14" s="19">
        <f>'IV (1)'!$E21</f>
        <v>1</v>
      </c>
      <c r="Y14" s="19">
        <f>'IV (2)'!$E21</f>
        <v>0</v>
      </c>
      <c r="Z14" s="18">
        <f>'IV (3)'!$E21</f>
        <v>0.25</v>
      </c>
      <c r="AA14" s="78">
        <f>SUM($C14:$Z14)</f>
        <v>5.562265510114097</v>
      </c>
      <c r="AB14" s="1">
        <f t="shared" si="0"/>
        <v>10</v>
      </c>
    </row>
    <row r="15" spans="1:28" ht="15.75">
      <c r="A15" s="19">
        <v>11</v>
      </c>
      <c r="B15" s="5" t="s">
        <v>266</v>
      </c>
      <c r="C15" s="18">
        <f>'I (1)'!$F32</f>
        <v>1.5514619551064406</v>
      </c>
      <c r="D15" s="18">
        <f>'I (2)'!$F32</f>
        <v>0.4244882891643463</v>
      </c>
      <c r="E15" s="18">
        <f>'I (3)'!$G32</f>
        <v>-1</v>
      </c>
      <c r="F15" s="19">
        <f>'I (4)'!$E31</f>
        <v>0</v>
      </c>
      <c r="G15" s="18">
        <f>'I (5)'!$G32</f>
        <v>0.09525404339507665</v>
      </c>
      <c r="H15" s="19">
        <f>'II (1)'!$G31</f>
        <v>0</v>
      </c>
      <c r="I15" s="18">
        <f>'II (2)'!$I34</f>
        <v>0</v>
      </c>
      <c r="J15" s="34">
        <f>'II (3)'!$I34</f>
        <v>0</v>
      </c>
      <c r="K15" s="18">
        <f>'II (4)'!$F31</f>
        <v>-0.009115085493782598</v>
      </c>
      <c r="L15" s="28">
        <f>'II (5)'!$H32</f>
        <v>0</v>
      </c>
      <c r="M15" s="63">
        <f>'II (6)'!$F32</f>
        <v>1.9710623681306114</v>
      </c>
      <c r="N15" s="28">
        <f>'III (1)'!$L32</f>
        <v>0</v>
      </c>
      <c r="O15" s="28">
        <f>'III (2)'!$I32</f>
        <v>0</v>
      </c>
      <c r="P15" s="28">
        <f>'III (3)'!$H31</f>
        <v>0</v>
      </c>
      <c r="Q15" s="28">
        <f>'III (4)'!$I31</f>
        <v>0</v>
      </c>
      <c r="R15" s="18">
        <f>'III (5)'!$L32</f>
        <v>0</v>
      </c>
      <c r="S15" s="18">
        <f>'III (6)'!$J32</f>
        <v>0</v>
      </c>
      <c r="T15" s="28">
        <f>'III (7)'!$E31</f>
        <v>0</v>
      </c>
      <c r="U15" s="18">
        <f>'III (8)'!$J32</f>
        <v>0.3652233785160572</v>
      </c>
      <c r="V15" s="28">
        <f>'III (9)'!$G31</f>
        <v>0</v>
      </c>
      <c r="W15" s="18">
        <f>'III (10)'!$I31</f>
        <v>0</v>
      </c>
      <c r="X15" s="19">
        <f>'IV (1)'!$E31</f>
        <v>1</v>
      </c>
      <c r="Y15" s="19">
        <f>'IV (2)'!$E31</f>
        <v>0</v>
      </c>
      <c r="Z15" s="18">
        <f>'IV (3)'!$E31</f>
        <v>1</v>
      </c>
      <c r="AA15" s="78">
        <f>SUM($C15:$Z15)</f>
        <v>5.398374948818749</v>
      </c>
      <c r="AB15" s="1">
        <f t="shared" si="0"/>
        <v>11</v>
      </c>
    </row>
    <row r="16" spans="1:28" ht="15.75">
      <c r="A16" s="19">
        <v>12</v>
      </c>
      <c r="B16" s="5" t="s">
        <v>252</v>
      </c>
      <c r="C16" s="18">
        <f>'I (1)'!$F18</f>
        <v>1.09371107161354</v>
      </c>
      <c r="D16" s="18">
        <f>'I (2)'!$F18</f>
        <v>0.30979307983223126</v>
      </c>
      <c r="E16" s="18">
        <f>'I (3)'!$G18</f>
        <v>0</v>
      </c>
      <c r="F16" s="19">
        <f>'I (4)'!$E17</f>
        <v>0</v>
      </c>
      <c r="G16" s="18">
        <f>'I (5)'!$G18</f>
        <v>0.8343634353918237</v>
      </c>
      <c r="H16" s="19">
        <f>'II (1)'!$G17</f>
        <v>0</v>
      </c>
      <c r="I16" s="18">
        <f>'II (2)'!$I20</f>
        <v>0</v>
      </c>
      <c r="J16" s="34">
        <f>'II (3)'!$I20</f>
        <v>0</v>
      </c>
      <c r="K16" s="18">
        <f>'II (4)'!$F17</f>
        <v>-0.4724432338723827</v>
      </c>
      <c r="L16" s="28">
        <f>'II (5)'!$H18</f>
        <v>0</v>
      </c>
      <c r="M16" s="63">
        <f>'II (6)'!$F18</f>
        <v>1.7127067678764836</v>
      </c>
      <c r="N16" s="28">
        <f>'III (1)'!$L18</f>
        <v>0</v>
      </c>
      <c r="O16" s="28">
        <f>'III (2)'!$I18</f>
        <v>0</v>
      </c>
      <c r="P16" s="28">
        <f>'III (3)'!$H17</f>
        <v>0</v>
      </c>
      <c r="Q16" s="28">
        <f>'III (4)'!$I17</f>
        <v>0</v>
      </c>
      <c r="R16" s="18">
        <f>'III (5)'!$L18</f>
        <v>0</v>
      </c>
      <c r="S16" s="18">
        <f>'III (6)'!$J18</f>
        <v>-0.37730256336746193</v>
      </c>
      <c r="T16" s="28">
        <f>'III (7)'!$E17</f>
        <v>0</v>
      </c>
      <c r="U16" s="18">
        <f>'III (8)'!$J18</f>
        <v>0.2250687900079594</v>
      </c>
      <c r="V16" s="28">
        <f>'III (9)'!$G17</f>
        <v>0</v>
      </c>
      <c r="W16" s="18">
        <f>'III (10)'!$I17</f>
        <v>0</v>
      </c>
      <c r="X16" s="19">
        <f>'IV (1)'!$E17</f>
        <v>1</v>
      </c>
      <c r="Y16" s="19">
        <f>'IV (2)'!$E17</f>
        <v>0</v>
      </c>
      <c r="Z16" s="18">
        <f>'IV (3)'!$E17</f>
        <v>1</v>
      </c>
      <c r="AA16" s="78">
        <f>SUM($C16:$Z16)</f>
        <v>5.325897347482194</v>
      </c>
      <c r="AB16" s="1">
        <f t="shared" si="0"/>
        <v>12</v>
      </c>
    </row>
    <row r="17" spans="1:28" ht="15.75">
      <c r="A17" s="19">
        <v>13</v>
      </c>
      <c r="B17" s="5" t="s">
        <v>270</v>
      </c>
      <c r="C17" s="18">
        <f>'I (1)'!$F36</f>
        <v>0.9396924355818667</v>
      </c>
      <c r="D17" s="18">
        <f>'I (2)'!$F36</f>
        <v>0.33123300259783633</v>
      </c>
      <c r="E17" s="18">
        <f>'I (3)'!$G36</f>
        <v>0</v>
      </c>
      <c r="F17" s="19">
        <f>'I (4)'!$E35</f>
        <v>0</v>
      </c>
      <c r="G17" s="18">
        <f>'I (5)'!$G36</f>
        <v>1</v>
      </c>
      <c r="H17" s="19">
        <f>'II (1)'!$G35</f>
        <v>0</v>
      </c>
      <c r="I17" s="18">
        <f>'II (2)'!$I38</f>
        <v>0</v>
      </c>
      <c r="J17" s="34">
        <f>'II (3)'!$I38</f>
        <v>0</v>
      </c>
      <c r="K17" s="18">
        <f>'II (4)'!$F35</f>
        <v>-0.1496998781253469</v>
      </c>
      <c r="L17" s="28">
        <f>'II (5)'!$H36</f>
        <v>0</v>
      </c>
      <c r="M17" s="63">
        <f>'II (6)'!$F36</f>
        <v>1.9842703857619033</v>
      </c>
      <c r="N17" s="28">
        <f>'III (1)'!$L36</f>
        <v>0</v>
      </c>
      <c r="O17" s="28">
        <f>'III (2)'!$I36</f>
        <v>0</v>
      </c>
      <c r="P17" s="28">
        <f>'III (3)'!$H35</f>
        <v>0</v>
      </c>
      <c r="Q17" s="28">
        <f>'III (4)'!$I35</f>
        <v>0</v>
      </c>
      <c r="R17" s="18">
        <f>'III (5)'!$L36</f>
        <v>-0.03968090951959946</v>
      </c>
      <c r="S17" s="18">
        <f>'III (6)'!$J36</f>
        <v>-0.3508970375496035</v>
      </c>
      <c r="T17" s="28">
        <f>'III (7)'!$E35</f>
        <v>0</v>
      </c>
      <c r="U17" s="18">
        <f>'III (8)'!$J36</f>
        <v>0.29535917996468325</v>
      </c>
      <c r="V17" s="28">
        <f>'III (9)'!$G35</f>
        <v>0</v>
      </c>
      <c r="W17" s="18">
        <f>'III (10)'!$I35</f>
        <v>0</v>
      </c>
      <c r="X17" s="19">
        <f>'IV (1)'!$E35</f>
        <v>1</v>
      </c>
      <c r="Y17" s="19">
        <f>'IV (2)'!$E35</f>
        <v>0</v>
      </c>
      <c r="Z17" s="18">
        <f>'IV (3)'!$E35</f>
        <v>0.25</v>
      </c>
      <c r="AA17" s="78">
        <f>SUM($C17:$Z17)</f>
        <v>5.26027717871174</v>
      </c>
      <c r="AB17" s="1">
        <f t="shared" si="0"/>
        <v>13</v>
      </c>
    </row>
    <row r="18" spans="1:28" ht="15.75">
      <c r="A18" s="19">
        <v>14</v>
      </c>
      <c r="B18" s="5" t="s">
        <v>249</v>
      </c>
      <c r="C18" s="18">
        <f>'I (1)'!$F15</f>
        <v>1.1598035677317593</v>
      </c>
      <c r="D18" s="18">
        <f>'I (2)'!$F15</f>
        <v>0.05429759262511773</v>
      </c>
      <c r="E18" s="18">
        <f>'I (3)'!$G15</f>
        <v>-0.23138261727976578</v>
      </c>
      <c r="F18" s="19">
        <f>'I (4)'!$E14</f>
        <v>0</v>
      </c>
      <c r="G18" s="18">
        <f>'I (5)'!$G15</f>
        <v>0.690211229571062</v>
      </c>
      <c r="H18" s="19">
        <f>'II (1)'!$G14</f>
        <v>0</v>
      </c>
      <c r="I18" s="18">
        <f>'II (2)'!$I17</f>
        <v>0</v>
      </c>
      <c r="J18" s="34">
        <f>'II (3)'!$I17</f>
        <v>0</v>
      </c>
      <c r="K18" s="18">
        <f>'II (4)'!$F14</f>
        <v>-0.46587667766115404</v>
      </c>
      <c r="L18" s="28">
        <f>'II (5)'!$H15</f>
        <v>0</v>
      </c>
      <c r="M18" s="63">
        <f>'II (6)'!$F15</f>
        <v>1.6372310009638502</v>
      </c>
      <c r="N18" s="28">
        <f>'III (1)'!$L15</f>
        <v>0</v>
      </c>
      <c r="O18" s="28">
        <f>'III (2)'!$I15</f>
        <v>0</v>
      </c>
      <c r="P18" s="28">
        <f>'III (3)'!$H14</f>
        <v>0</v>
      </c>
      <c r="Q18" s="28">
        <f>'III (4)'!$I14</f>
        <v>0</v>
      </c>
      <c r="R18" s="18">
        <f>'III (5)'!$L15</f>
        <v>0</v>
      </c>
      <c r="S18" s="18">
        <f>'III (6)'!$J15</f>
        <v>0</v>
      </c>
      <c r="T18" s="28">
        <f>'III (7)'!$E14</f>
        <v>0</v>
      </c>
      <c r="U18" s="18">
        <f>'III (8)'!$J15</f>
        <v>0.2223385046265911</v>
      </c>
      <c r="V18" s="28">
        <f>'III (9)'!$G14</f>
        <v>0</v>
      </c>
      <c r="W18" s="18">
        <f>'III (10)'!$I14</f>
        <v>0</v>
      </c>
      <c r="X18" s="19">
        <f>'IV (1)'!$E14</f>
        <v>1</v>
      </c>
      <c r="Y18" s="19">
        <f>'IV (2)'!$E14</f>
        <v>0</v>
      </c>
      <c r="Z18" s="18">
        <f>'IV (3)'!$E14</f>
        <v>1</v>
      </c>
      <c r="AA18" s="78">
        <f>SUM($C18:$Z18)</f>
        <v>5.06662260057746</v>
      </c>
      <c r="AB18" s="1">
        <f t="shared" si="0"/>
        <v>14</v>
      </c>
    </row>
    <row r="19" spans="1:28" ht="15.75">
      <c r="A19" s="19">
        <v>15</v>
      </c>
      <c r="B19" s="5" t="s">
        <v>264</v>
      </c>
      <c r="C19" s="18">
        <f>'I (1)'!$F30</f>
        <v>1.1127442064691921</v>
      </c>
      <c r="D19" s="18">
        <f>'I (2)'!$F30</f>
        <v>0.11918149026080356</v>
      </c>
      <c r="E19" s="18">
        <f>'I (3)'!$G30</f>
        <v>0</v>
      </c>
      <c r="F19" s="19">
        <f>'I (4)'!$E29</f>
        <v>0</v>
      </c>
      <c r="G19" s="18">
        <f>'I (5)'!$G30</f>
        <v>1</v>
      </c>
      <c r="H19" s="19">
        <f>'II (1)'!$G29</f>
        <v>0</v>
      </c>
      <c r="I19" s="18">
        <f>'II (2)'!$I32</f>
        <v>0</v>
      </c>
      <c r="J19" s="34">
        <f>'II (3)'!$I32</f>
        <v>-0.11532071116422525</v>
      </c>
      <c r="K19" s="18">
        <f>'II (4)'!$F29</f>
        <v>0</v>
      </c>
      <c r="L19" s="28">
        <f>'II (5)'!$H30</f>
        <v>0</v>
      </c>
      <c r="M19" s="63">
        <f>'II (6)'!$F30</f>
        <v>1.9932359111920233</v>
      </c>
      <c r="N19" s="28">
        <f>'III (1)'!$L30</f>
        <v>0</v>
      </c>
      <c r="O19" s="28">
        <f>'III (2)'!$I30</f>
        <v>0</v>
      </c>
      <c r="P19" s="28">
        <f>'III (3)'!$H29</f>
        <v>0</v>
      </c>
      <c r="Q19" s="28">
        <f>'III (4)'!$I29</f>
        <v>0</v>
      </c>
      <c r="R19" s="18">
        <f>'III (5)'!$L30</f>
        <v>-0.15702935977371088</v>
      </c>
      <c r="S19" s="18">
        <f>'III (6)'!$J30</f>
        <v>0</v>
      </c>
      <c r="T19" s="28">
        <f>'III (7)'!$E29</f>
        <v>0</v>
      </c>
      <c r="U19" s="18">
        <f>'III (8)'!$J30</f>
        <v>0.4607597984601418</v>
      </c>
      <c r="V19" s="28">
        <f>'III (9)'!$G29</f>
        <v>0</v>
      </c>
      <c r="W19" s="18">
        <f>'III (10)'!$I29</f>
        <v>-0.8679041753413128</v>
      </c>
      <c r="X19" s="19">
        <f>'IV (1)'!$E29</f>
        <v>1</v>
      </c>
      <c r="Y19" s="19">
        <f>'IV (2)'!$E29</f>
        <v>0</v>
      </c>
      <c r="Z19" s="18">
        <f>'IV (3)'!$E29</f>
        <v>0.25</v>
      </c>
      <c r="AA19" s="78">
        <f>SUM($C19:$Z19)</f>
        <v>4.795667160102912</v>
      </c>
      <c r="AB19" s="1">
        <f t="shared" si="0"/>
        <v>15</v>
      </c>
    </row>
    <row r="20" spans="1:28" ht="15.75">
      <c r="A20" s="19">
        <v>16</v>
      </c>
      <c r="B20" s="5" t="s">
        <v>263</v>
      </c>
      <c r="C20" s="18">
        <f>'I (1)'!$F29</f>
        <v>1.3874383332271305</v>
      </c>
      <c r="D20" s="18">
        <f>'I (2)'!$F29</f>
        <v>0.2891004084561728</v>
      </c>
      <c r="E20" s="18">
        <f>'I (3)'!$G29</f>
        <v>-0.3010137126820516</v>
      </c>
      <c r="F20" s="19">
        <f>'I (4)'!$E28</f>
        <v>0</v>
      </c>
      <c r="G20" s="18">
        <f>'I (5)'!$G29</f>
        <v>0.6016665150616061</v>
      </c>
      <c r="H20" s="19">
        <f>'II (1)'!$G28</f>
        <v>0</v>
      </c>
      <c r="I20" s="18">
        <f>'II (2)'!$I31</f>
        <v>0</v>
      </c>
      <c r="J20" s="34">
        <f>'II (3)'!$I31</f>
        <v>0</v>
      </c>
      <c r="K20" s="18">
        <f>'II (4)'!$F28</f>
        <v>-0.21571164436991425</v>
      </c>
      <c r="L20" s="28">
        <f>'II (5)'!$H29</f>
        <v>0</v>
      </c>
      <c r="M20" s="63">
        <f>'II (6)'!$F29</f>
        <v>1.147188949970549</v>
      </c>
      <c r="N20" s="28">
        <f>'III (1)'!$L29</f>
        <v>0</v>
      </c>
      <c r="O20" s="28">
        <f>'III (2)'!$I29</f>
        <v>0</v>
      </c>
      <c r="P20" s="28">
        <f>'III (3)'!$H28</f>
        <v>0</v>
      </c>
      <c r="Q20" s="28">
        <f>'III (4)'!$I28</f>
        <v>0</v>
      </c>
      <c r="R20" s="18">
        <f>'III (5)'!$L29</f>
        <v>-0.437994483237105</v>
      </c>
      <c r="S20" s="18">
        <f>'III (6)'!$J29</f>
        <v>0</v>
      </c>
      <c r="T20" s="28">
        <f>'III (7)'!$E28</f>
        <v>0</v>
      </c>
      <c r="U20" s="18">
        <f>'III (8)'!$J29</f>
        <v>0.4652182990979663</v>
      </c>
      <c r="V20" s="28">
        <f>'III (9)'!$G28</f>
        <v>0</v>
      </c>
      <c r="W20" s="18">
        <f>'III (10)'!$I28</f>
        <v>0</v>
      </c>
      <c r="X20" s="19">
        <f>'IV (1)'!$E28</f>
        <v>1</v>
      </c>
      <c r="Y20" s="19">
        <f>'IV (2)'!$E28</f>
        <v>0</v>
      </c>
      <c r="Z20" s="18">
        <f>'IV (3)'!$E28</f>
        <v>0.25</v>
      </c>
      <c r="AA20" s="78">
        <f>SUM($C20:$Z20)</f>
        <v>4.185892665524354</v>
      </c>
      <c r="AB20" s="1">
        <f t="shared" si="0"/>
        <v>16</v>
      </c>
    </row>
    <row r="21" spans="1:28" ht="15.75">
      <c r="A21" s="19">
        <v>17</v>
      </c>
      <c r="B21" s="5" t="s">
        <v>260</v>
      </c>
      <c r="C21" s="18">
        <f>'I (1)'!$F26</f>
        <v>1.641931612403615</v>
      </c>
      <c r="D21" s="18">
        <f>'I (2)'!$F26</f>
        <v>0.26641239873504835</v>
      </c>
      <c r="E21" s="18">
        <f>'I (3)'!$G26</f>
        <v>-0.36219005294073514</v>
      </c>
      <c r="F21" s="19">
        <f>'I (4)'!$E25</f>
        <v>0</v>
      </c>
      <c r="G21" s="18">
        <f>'I (5)'!$G26</f>
        <v>1</v>
      </c>
      <c r="H21" s="19">
        <f>'II (1)'!$G25</f>
        <v>0</v>
      </c>
      <c r="I21" s="18">
        <f>'II (2)'!$I28</f>
        <v>0</v>
      </c>
      <c r="J21" s="34">
        <f>'II (3)'!$I28</f>
        <v>0</v>
      </c>
      <c r="K21" s="18">
        <f>'II (4)'!$F25</f>
        <v>-0.05341839381579783</v>
      </c>
      <c r="L21" s="28">
        <f>'II (5)'!$H26</f>
        <v>0</v>
      </c>
      <c r="M21" s="63">
        <f>'II (6)'!$F26</f>
        <v>0</v>
      </c>
      <c r="N21" s="28">
        <f>'III (1)'!$L26</f>
        <v>0</v>
      </c>
      <c r="O21" s="28">
        <f>'III (2)'!$I26</f>
        <v>0</v>
      </c>
      <c r="P21" s="28">
        <f>'III (3)'!$H25</f>
        <v>0</v>
      </c>
      <c r="Q21" s="28">
        <f>'III (4)'!$I25</f>
        <v>0</v>
      </c>
      <c r="R21" s="99">
        <f>'III (5)'!$L26</f>
        <v>-0.003739477858513432</v>
      </c>
      <c r="S21" s="18">
        <f>'III (6)'!$J26</f>
        <v>0</v>
      </c>
      <c r="T21" s="28">
        <f>'III (7)'!$E25</f>
        <v>0</v>
      </c>
      <c r="U21" s="18">
        <f>'III (8)'!$J26</f>
        <v>0.384763846668736</v>
      </c>
      <c r="V21" s="28">
        <f>'III (9)'!$G25</f>
        <v>0</v>
      </c>
      <c r="W21" s="18">
        <f>'III (10)'!$I25</f>
        <v>0</v>
      </c>
      <c r="X21" s="19">
        <f>'IV (1)'!$E25</f>
        <v>1</v>
      </c>
      <c r="Y21" s="19">
        <f>'IV (2)'!$E25</f>
        <v>0</v>
      </c>
      <c r="Z21" s="18">
        <f>'IV (3)'!$E25</f>
        <v>0.25</v>
      </c>
      <c r="AA21" s="78">
        <f>SUM($C21:$Z21)</f>
        <v>4.123759933192353</v>
      </c>
      <c r="AB21" s="1">
        <f t="shared" si="0"/>
        <v>17</v>
      </c>
    </row>
    <row r="22" spans="1:28" ht="15.75">
      <c r="A22" s="19">
        <v>18</v>
      </c>
      <c r="B22" s="5" t="s">
        <v>275</v>
      </c>
      <c r="C22" s="18">
        <f>'I (1)'!$F41</f>
        <v>0.761476210857292</v>
      </c>
      <c r="D22" s="18">
        <f>'I (2)'!$F41</f>
        <v>0.2077351392589278</v>
      </c>
      <c r="E22" s="18">
        <f>'I (3)'!$G41</f>
        <v>0</v>
      </c>
      <c r="F22" s="19">
        <f>'I (4)'!$E40</f>
        <v>0</v>
      </c>
      <c r="G22" s="18">
        <f>'I (5)'!$G41</f>
        <v>1</v>
      </c>
      <c r="H22" s="19">
        <f>'II (1)'!$G40</f>
        <v>0</v>
      </c>
      <c r="I22" s="18">
        <f>'II (2)'!$I43</f>
        <v>-0.29057147929549976</v>
      </c>
      <c r="J22" s="34">
        <f>'II (3)'!$I43</f>
        <v>-0.6455828212880301</v>
      </c>
      <c r="K22" s="18">
        <f>'II (4)'!$F40</f>
        <v>-0.005650762447181635</v>
      </c>
      <c r="L22" s="28">
        <f>'II (5)'!$H41</f>
        <v>0</v>
      </c>
      <c r="M22" s="63">
        <f>'II (6)'!$F41</f>
        <v>1.608856332665567</v>
      </c>
      <c r="N22" s="28">
        <f>'III (1)'!$L41</f>
        <v>0</v>
      </c>
      <c r="O22" s="28">
        <f>'III (2)'!$I41</f>
        <v>0</v>
      </c>
      <c r="P22" s="28">
        <f>'III (3)'!$H40</f>
        <v>0</v>
      </c>
      <c r="Q22" s="28">
        <f>'III (4)'!$I40</f>
        <v>0</v>
      </c>
      <c r="R22" s="18">
        <f>'III (5)'!$L41</f>
        <v>0</v>
      </c>
      <c r="S22" s="18">
        <f>'III (6)'!$J41</f>
        <v>0</v>
      </c>
      <c r="T22" s="28">
        <f>'III (7)'!$E40</f>
        <v>0</v>
      </c>
      <c r="U22" s="18">
        <f>'III (8)'!$J41</f>
        <v>0.44133395125187297</v>
      </c>
      <c r="V22" s="28">
        <f>'III (9)'!$G40</f>
        <v>0</v>
      </c>
      <c r="W22" s="18">
        <f>'III (10)'!$I40</f>
        <v>0</v>
      </c>
      <c r="X22" s="19">
        <f>'IV (1)'!$E40</f>
        <v>1</v>
      </c>
      <c r="Y22" s="19">
        <f>'IV (2)'!$E40</f>
        <v>0</v>
      </c>
      <c r="Z22" s="18">
        <f>'IV (3)'!$E40</f>
        <v>0</v>
      </c>
      <c r="AA22" s="78">
        <f>SUM($C22:$Z22)</f>
        <v>4.077596571002948</v>
      </c>
      <c r="AB22" s="1">
        <f t="shared" si="0"/>
        <v>18</v>
      </c>
    </row>
    <row r="23" spans="1:28" ht="15.75">
      <c r="A23" s="19">
        <v>19</v>
      </c>
      <c r="B23" s="5" t="s">
        <v>269</v>
      </c>
      <c r="C23" s="18">
        <f>'I (1)'!$F35</f>
        <v>1.0096669349175964</v>
      </c>
      <c r="D23" s="18">
        <f>'I (2)'!$F35</f>
        <v>0.21664072575963703</v>
      </c>
      <c r="E23" s="18">
        <f>'I (3)'!$G35</f>
        <v>0</v>
      </c>
      <c r="F23" s="19">
        <f>'I (4)'!$E34</f>
        <v>0</v>
      </c>
      <c r="G23" s="18">
        <f>'I (5)'!$G35</f>
        <v>0.01017234154163993</v>
      </c>
      <c r="H23" s="19">
        <f>'II (1)'!$G34</f>
        <v>0</v>
      </c>
      <c r="I23" s="18">
        <f>'II (2)'!$I37</f>
        <v>0</v>
      </c>
      <c r="J23" s="34">
        <f>'II (3)'!$I37</f>
        <v>0</v>
      </c>
      <c r="K23" s="18">
        <f>'II (4)'!$F34</f>
        <v>-0.15875466524876858</v>
      </c>
      <c r="L23" s="28">
        <f>'II (5)'!$H35</f>
        <v>0</v>
      </c>
      <c r="M23" s="63">
        <f>'II (6)'!$F35</f>
        <v>1.9708367776702025</v>
      </c>
      <c r="N23" s="28">
        <f>'III (1)'!$L35</f>
        <v>0</v>
      </c>
      <c r="O23" s="28">
        <f>'III (2)'!$I35</f>
        <v>0</v>
      </c>
      <c r="P23" s="28">
        <f>'III (3)'!$H34</f>
        <v>0</v>
      </c>
      <c r="Q23" s="28">
        <f>'III (4)'!$I34</f>
        <v>0</v>
      </c>
      <c r="R23" s="18">
        <f>'III (5)'!$L35</f>
        <v>0</v>
      </c>
      <c r="S23" s="18">
        <f>'III (6)'!$J35</f>
        <v>-1.1375347771446043</v>
      </c>
      <c r="T23" s="28">
        <f>'III (7)'!$E34</f>
        <v>0</v>
      </c>
      <c r="U23" s="18">
        <f>'III (8)'!$J35</f>
        <v>0.15300541547062818</v>
      </c>
      <c r="V23" s="28">
        <f>'III (9)'!$G34</f>
        <v>0</v>
      </c>
      <c r="W23" s="18">
        <f>'III (10)'!$I34</f>
        <v>0</v>
      </c>
      <c r="X23" s="19">
        <f>'IV (1)'!$E34</f>
        <v>1</v>
      </c>
      <c r="Y23" s="19">
        <f>'IV (2)'!$E34</f>
        <v>0</v>
      </c>
      <c r="Z23" s="18">
        <f>'IV (3)'!$E34</f>
        <v>1</v>
      </c>
      <c r="AA23" s="78">
        <f>SUM($C23:$Z23)</f>
        <v>4.064032752966331</v>
      </c>
      <c r="AB23" s="1">
        <f t="shared" si="0"/>
        <v>19</v>
      </c>
    </row>
    <row r="24" spans="1:28" ht="15.75">
      <c r="A24" s="19">
        <v>20</v>
      </c>
      <c r="B24" s="5" t="s">
        <v>246</v>
      </c>
      <c r="C24" s="18">
        <f>'I (1)'!$F12</f>
        <v>1.8448667221908666</v>
      </c>
      <c r="D24" s="18">
        <f>'I (2)'!$F12</f>
        <v>0.26315359062178384</v>
      </c>
      <c r="E24" s="18">
        <f>'I (3)'!$G12</f>
        <v>0</v>
      </c>
      <c r="F24" s="19">
        <f>'I (4)'!$E11</f>
        <v>0</v>
      </c>
      <c r="G24" s="18">
        <f>'I (5)'!$G12</f>
        <v>0.9375475290958261</v>
      </c>
      <c r="H24" s="19">
        <f>'II (1)'!$G11</f>
        <v>0</v>
      </c>
      <c r="I24" s="18">
        <f>'II (2)'!$I14</f>
        <v>-0.41276985652480463</v>
      </c>
      <c r="J24" s="34">
        <f>'II (3)'!$I14</f>
        <v>-0.15552751358465144</v>
      </c>
      <c r="K24" s="18">
        <f>'II (4)'!$F11</f>
        <v>-1</v>
      </c>
      <c r="L24" s="28">
        <f>'II (5)'!$H12</f>
        <v>0</v>
      </c>
      <c r="M24" s="63">
        <f>'II (6)'!$F12</f>
        <v>1.5962408185479302</v>
      </c>
      <c r="N24" s="28">
        <f>'III (1)'!$L12</f>
        <v>0</v>
      </c>
      <c r="O24" s="28">
        <f>'III (2)'!$I12</f>
        <v>0</v>
      </c>
      <c r="P24" s="28">
        <f>'III (3)'!$H11</f>
        <v>0</v>
      </c>
      <c r="Q24" s="28">
        <f>'III (4)'!$I11</f>
        <v>0</v>
      </c>
      <c r="R24" s="18">
        <f>'III (5)'!$L12</f>
        <v>0</v>
      </c>
      <c r="S24" s="18">
        <f>'III (6)'!$J12</f>
        <v>-0.5657959346719081</v>
      </c>
      <c r="T24" s="28">
        <f>'III (7)'!$E11</f>
        <v>0</v>
      </c>
      <c r="U24" s="18">
        <f>'III (8)'!$J12</f>
        <v>0.15822562389007455</v>
      </c>
      <c r="V24" s="28">
        <f>'III (9)'!$G11</f>
        <v>0</v>
      </c>
      <c r="W24" s="18">
        <f>'III (10)'!$I11</f>
        <v>0</v>
      </c>
      <c r="X24" s="19">
        <f>'IV (1)'!$E11</f>
        <v>1</v>
      </c>
      <c r="Y24" s="19">
        <f>'IV (2)'!$E11</f>
        <v>0</v>
      </c>
      <c r="Z24" s="18">
        <f>'IV (3)'!$E11</f>
        <v>0.25</v>
      </c>
      <c r="AA24" s="78">
        <f>SUM($C24:$Z24)</f>
        <v>3.915940979565117</v>
      </c>
      <c r="AB24" s="1">
        <f t="shared" si="0"/>
        <v>20</v>
      </c>
    </row>
    <row r="25" spans="1:28" ht="15.75">
      <c r="A25" s="19">
        <v>21</v>
      </c>
      <c r="B25" s="5" t="s">
        <v>254</v>
      </c>
      <c r="C25" s="18">
        <f>'I (1)'!$F20</f>
        <v>1.3592929118300787</v>
      </c>
      <c r="D25" s="18">
        <f>'I (2)'!$F20</f>
        <v>0.09019706282192126</v>
      </c>
      <c r="E25" s="18">
        <f>'I (3)'!$G20</f>
        <v>0</v>
      </c>
      <c r="F25" s="19">
        <f>'I (4)'!$E19</f>
        <v>0</v>
      </c>
      <c r="G25" s="18">
        <f>'I (5)'!$G20</f>
        <v>0.3086479100117039</v>
      </c>
      <c r="H25" s="19">
        <f>'II (1)'!$G19</f>
        <v>0</v>
      </c>
      <c r="I25" s="18">
        <f>'II (2)'!$I22</f>
        <v>-0.22294066942419982</v>
      </c>
      <c r="J25" s="34">
        <f>'II (3)'!$I22</f>
        <v>-0.17907575390788943</v>
      </c>
      <c r="K25" s="99">
        <f>'II (4)'!$F19</f>
        <v>-0.0009428272201721739</v>
      </c>
      <c r="L25" s="28">
        <f>'II (5)'!$H20</f>
        <v>0</v>
      </c>
      <c r="M25" s="63">
        <f>'II (6)'!$F20</f>
        <v>1.9094182519243148</v>
      </c>
      <c r="N25" s="28">
        <f>'III (1)'!$L20</f>
        <v>0</v>
      </c>
      <c r="O25" s="28">
        <f>'III (2)'!$I20</f>
        <v>0</v>
      </c>
      <c r="P25" s="28">
        <f>'III (3)'!$H19</f>
        <v>0</v>
      </c>
      <c r="Q25" s="28">
        <f>'III (4)'!$I19</f>
        <v>0</v>
      </c>
      <c r="R25" s="18">
        <f>'III (5)'!$L20</f>
        <v>0</v>
      </c>
      <c r="S25" s="18">
        <f>'III (6)'!$J20</f>
        <v>0</v>
      </c>
      <c r="T25" s="28">
        <f>'III (7)'!$E19</f>
        <v>0</v>
      </c>
      <c r="U25" s="18">
        <f>'III (8)'!$J20</f>
        <v>0.3722929941428513</v>
      </c>
      <c r="V25" s="28">
        <f>'III (9)'!$G19</f>
        <v>0</v>
      </c>
      <c r="W25" s="18">
        <f>'III (10)'!$I19</f>
        <v>-1</v>
      </c>
      <c r="X25" s="19">
        <f>'IV (1)'!$E19</f>
        <v>1</v>
      </c>
      <c r="Y25" s="19">
        <f>'IV (2)'!$E19</f>
        <v>0</v>
      </c>
      <c r="Z25" s="18">
        <f>'IV (3)'!$E19</f>
        <v>0.25</v>
      </c>
      <c r="AA25" s="78">
        <f>SUM($C25:$Z25)</f>
        <v>3.8868898801786087</v>
      </c>
      <c r="AB25" s="1">
        <f t="shared" si="0"/>
        <v>21</v>
      </c>
    </row>
    <row r="26" spans="1:28" ht="15.75">
      <c r="A26" s="19">
        <v>22</v>
      </c>
      <c r="B26" s="5" t="s">
        <v>261</v>
      </c>
      <c r="C26" s="18">
        <f>'I (1)'!$F27</f>
        <v>1.025464872814564</v>
      </c>
      <c r="D26" s="18">
        <f>'I (2)'!$F27</f>
        <v>0.7257461175126566</v>
      </c>
      <c r="E26" s="18">
        <f>'I (3)'!$G27</f>
        <v>-0.3995231075275779</v>
      </c>
      <c r="F26" s="19">
        <f>'I (4)'!$E26</f>
        <v>0</v>
      </c>
      <c r="G26" s="18">
        <f>'I (5)'!$G27</f>
        <v>0.43131807280406004</v>
      </c>
      <c r="H26" s="19">
        <f>'II (1)'!$G26</f>
        <v>0</v>
      </c>
      <c r="I26" s="18">
        <f>'II (2)'!$I29</f>
        <v>0</v>
      </c>
      <c r="J26" s="34">
        <f>'II (3)'!$I29</f>
        <v>0</v>
      </c>
      <c r="K26" s="18">
        <f>'II (4)'!$F26</f>
        <v>-0.23955080018969552</v>
      </c>
      <c r="L26" s="28">
        <f>'II (5)'!$H27</f>
        <v>0</v>
      </c>
      <c r="M26" s="63">
        <f>'II (6)'!$F27</f>
        <v>1.615587993124082</v>
      </c>
      <c r="N26" s="28">
        <f>'III (1)'!$L27</f>
        <v>0</v>
      </c>
      <c r="O26" s="28">
        <f>'III (2)'!$I27</f>
        <v>0</v>
      </c>
      <c r="P26" s="28">
        <f>'III (3)'!$H26</f>
        <v>0</v>
      </c>
      <c r="Q26" s="28">
        <f>'III (4)'!$I26</f>
        <v>0</v>
      </c>
      <c r="R26" s="18">
        <f>'III (5)'!$L27</f>
        <v>-0.8882494820676776</v>
      </c>
      <c r="S26" s="18">
        <f>'III (6)'!$J27</f>
        <v>0</v>
      </c>
      <c r="T26" s="28">
        <f>'III (7)'!$E26</f>
        <v>0</v>
      </c>
      <c r="U26" s="18">
        <f>'III (8)'!$J27</f>
        <v>0.25915740898242867</v>
      </c>
      <c r="V26" s="28">
        <f>'III (9)'!$G26</f>
        <v>0</v>
      </c>
      <c r="W26" s="18">
        <f>'III (10)'!$I26</f>
        <v>0</v>
      </c>
      <c r="X26" s="19">
        <f>'IV (1)'!$E26</f>
        <v>1</v>
      </c>
      <c r="Y26" s="19">
        <f>'IV (2)'!$E26</f>
        <v>0</v>
      </c>
      <c r="Z26" s="18">
        <f>'IV (3)'!$E26</f>
        <v>0.25</v>
      </c>
      <c r="AA26" s="78">
        <f>SUM($C26:$Z26)</f>
        <v>3.77995107545284</v>
      </c>
      <c r="AB26" s="1">
        <f t="shared" si="0"/>
        <v>22</v>
      </c>
    </row>
    <row r="27" spans="1:28" ht="15.75">
      <c r="A27" s="19">
        <v>23</v>
      </c>
      <c r="B27" s="5" t="s">
        <v>267</v>
      </c>
      <c r="C27" s="18">
        <f>'I (1)'!$F33</f>
        <v>0.6973149545307663</v>
      </c>
      <c r="D27" s="18">
        <f>'I (2)'!$F33</f>
        <v>0.5304521915511446</v>
      </c>
      <c r="E27" s="18">
        <f>'I (3)'!$G33</f>
        <v>0</v>
      </c>
      <c r="F27" s="19">
        <f>'I (4)'!$E32</f>
        <v>0</v>
      </c>
      <c r="G27" s="18">
        <f>'I (5)'!$G33</f>
        <v>0.27677539396379847</v>
      </c>
      <c r="H27" s="19">
        <f>'II (1)'!$G32</f>
        <v>0</v>
      </c>
      <c r="I27" s="18">
        <f>'II (2)'!$I35</f>
        <v>-0.015706108021288974</v>
      </c>
      <c r="J27" s="34">
        <f>'II (3)'!$I35</f>
        <v>-0.3117569065706009</v>
      </c>
      <c r="K27" s="18">
        <f>'II (4)'!$F32</f>
        <v>-0.28083724498392787</v>
      </c>
      <c r="L27" s="28">
        <f>'II (5)'!$H33</f>
        <v>0</v>
      </c>
      <c r="M27" s="63">
        <f>'II (6)'!$F33</f>
        <v>1.9922847441789229</v>
      </c>
      <c r="N27" s="28">
        <f>'III (1)'!$L33</f>
        <v>0</v>
      </c>
      <c r="O27" s="28">
        <f>'III (2)'!$I33</f>
        <v>0</v>
      </c>
      <c r="P27" s="28">
        <f>'III (3)'!$H32</f>
        <v>0</v>
      </c>
      <c r="Q27" s="28">
        <f>'III (4)'!$I32</f>
        <v>0</v>
      </c>
      <c r="R27" s="18">
        <f>'III (5)'!$L33</f>
        <v>0</v>
      </c>
      <c r="S27" s="18">
        <f>'III (6)'!$J33</f>
        <v>-0.6287455453874878</v>
      </c>
      <c r="T27" s="28">
        <f>'III (7)'!$E32</f>
        <v>0</v>
      </c>
      <c r="U27" s="18">
        <f>'III (8)'!$J33</f>
        <v>0.2166251077755625</v>
      </c>
      <c r="V27" s="28">
        <f>'III (9)'!$G32</f>
        <v>0</v>
      </c>
      <c r="W27" s="18">
        <f>'III (10)'!$I32</f>
        <v>0</v>
      </c>
      <c r="X27" s="19">
        <f>'IV (1)'!$E32</f>
        <v>1</v>
      </c>
      <c r="Y27" s="19">
        <f>'IV (2)'!$E32</f>
        <v>0</v>
      </c>
      <c r="Z27" s="18">
        <f>'IV (3)'!$E32</f>
        <v>0.25</v>
      </c>
      <c r="AA27" s="78">
        <f>SUM($C27:$Z27)</f>
        <v>3.7264065870368888</v>
      </c>
      <c r="AB27" s="1">
        <f t="shared" si="0"/>
        <v>23</v>
      </c>
    </row>
    <row r="28" spans="1:28" ht="15.75">
      <c r="A28" s="19">
        <v>24</v>
      </c>
      <c r="B28" s="5" t="s">
        <v>245</v>
      </c>
      <c r="C28" s="18">
        <f>'I (1)'!$F11</f>
        <v>1.178028946268061</v>
      </c>
      <c r="D28" s="18">
        <f>'I (2)'!$F11</f>
        <v>0.35965632696579597</v>
      </c>
      <c r="E28" s="18">
        <f>'I (3)'!$G11</f>
        <v>0</v>
      </c>
      <c r="F28" s="19">
        <f>'I (4)'!$E10</f>
        <v>0</v>
      </c>
      <c r="G28" s="18">
        <f>'I (5)'!$G11</f>
        <v>0.8354942882742608</v>
      </c>
      <c r="H28" s="19">
        <f>'II (1)'!$G10</f>
        <v>0</v>
      </c>
      <c r="I28" s="18">
        <f>'II (2)'!$I13</f>
        <v>0</v>
      </c>
      <c r="J28" s="34">
        <f>'II (3)'!$I13</f>
        <v>0</v>
      </c>
      <c r="K28" s="18">
        <f>'II (4)'!$F10</f>
        <v>-0.38893646168089197</v>
      </c>
      <c r="L28" s="28">
        <f>'II (5)'!$H11</f>
        <v>0</v>
      </c>
      <c r="M28" s="63">
        <f>'II (6)'!$F11</f>
        <v>1.8293241417201913</v>
      </c>
      <c r="N28" s="28">
        <f>'III (1)'!$L11</f>
        <v>0</v>
      </c>
      <c r="O28" s="28">
        <f>'III (2)'!$I11</f>
        <v>0</v>
      </c>
      <c r="P28" s="28">
        <f>'III (3)'!$H10</f>
        <v>0</v>
      </c>
      <c r="Q28" s="28">
        <f>'III (4)'!$I10</f>
        <v>0</v>
      </c>
      <c r="R28" s="18">
        <f>'III (5)'!$L11</f>
        <v>0</v>
      </c>
      <c r="S28" s="18">
        <f>'III (6)'!$J11</f>
        <v>-1.4856632809735029</v>
      </c>
      <c r="T28" s="28">
        <f>'III (7)'!$E10</f>
        <v>0</v>
      </c>
      <c r="U28" s="18">
        <f>'III (8)'!$J11</f>
        <v>0.11856461380737762</v>
      </c>
      <c r="V28" s="28">
        <f>'III (9)'!$G10</f>
        <v>0</v>
      </c>
      <c r="W28" s="18">
        <f>'III (10)'!$I10</f>
        <v>0</v>
      </c>
      <c r="X28" s="19">
        <f>'IV (1)'!$E10</f>
        <v>1</v>
      </c>
      <c r="Y28" s="19">
        <f>'IV (2)'!$E10</f>
        <v>0</v>
      </c>
      <c r="Z28" s="18">
        <f>'IV (3)'!$E10</f>
        <v>0.25</v>
      </c>
      <c r="AA28" s="78">
        <f>SUM($C28:$Z28)</f>
        <v>3.6964685743812917</v>
      </c>
      <c r="AB28" s="1">
        <f t="shared" si="0"/>
        <v>24</v>
      </c>
    </row>
    <row r="29" spans="1:28" ht="15.75">
      <c r="A29" s="19">
        <v>25</v>
      </c>
      <c r="B29" s="5" t="s">
        <v>277</v>
      </c>
      <c r="C29" s="18">
        <f>'I (1)'!$F43</f>
        <v>1.14372189722547</v>
      </c>
      <c r="D29" s="18">
        <f>'I (2)'!$F43</f>
        <v>0.6623869973005618</v>
      </c>
      <c r="E29" s="18">
        <f>'I (3)'!$G43</f>
        <v>0</v>
      </c>
      <c r="F29" s="19">
        <f>'I (4)'!$E42</f>
        <v>0</v>
      </c>
      <c r="G29" s="18">
        <f>'I (5)'!$G43</f>
        <v>0.9328082192578473</v>
      </c>
      <c r="H29" s="19">
        <f>'II (1)'!$G42</f>
        <v>0</v>
      </c>
      <c r="I29" s="18">
        <f>'II (2)'!$I45</f>
        <v>-0.21389975488225718</v>
      </c>
      <c r="J29" s="34">
        <f>'II (3)'!$I45</f>
        <v>-0.6834082117525588</v>
      </c>
      <c r="K29" s="18">
        <f>'II (4)'!$F42</f>
        <v>-0.34827831489576255</v>
      </c>
      <c r="L29" s="28">
        <f>'II (5)'!$H43</f>
        <v>0</v>
      </c>
      <c r="M29" s="63">
        <f>'II (6)'!$F43</f>
        <v>0.6367432927671808</v>
      </c>
      <c r="N29" s="28">
        <f>'III (1)'!$L43</f>
        <v>0</v>
      </c>
      <c r="O29" s="28">
        <f>'III (2)'!$I43</f>
        <v>0</v>
      </c>
      <c r="P29" s="28">
        <f>'III (3)'!$H42</f>
        <v>0</v>
      </c>
      <c r="Q29" s="28">
        <f>'III (4)'!$I42</f>
        <v>0</v>
      </c>
      <c r="R29" s="18">
        <f>'III (5)'!$L43</f>
        <v>-0.04416358772479959</v>
      </c>
      <c r="S29" s="18">
        <f>'III (6)'!$J43</f>
        <v>-0.7634907373753885</v>
      </c>
      <c r="T29" s="28">
        <f>'III (7)'!$E42</f>
        <v>0</v>
      </c>
      <c r="U29" s="18">
        <f>'III (8)'!$J43</f>
        <v>0.2928242122861221</v>
      </c>
      <c r="V29" s="28">
        <f>'III (9)'!$G42</f>
        <v>0</v>
      </c>
      <c r="W29" s="18">
        <f>'III (10)'!$I42</f>
        <v>0</v>
      </c>
      <c r="X29" s="19">
        <f>'IV (1)'!$E42</f>
        <v>1</v>
      </c>
      <c r="Y29" s="19">
        <f>'IV (2)'!$E42</f>
        <v>0</v>
      </c>
      <c r="Z29" s="18">
        <f>'IV (3)'!$E42</f>
        <v>1</v>
      </c>
      <c r="AA29" s="78">
        <f>SUM($C29:$Z29)</f>
        <v>3.615244012206415</v>
      </c>
      <c r="AB29" s="1">
        <f t="shared" si="0"/>
        <v>25</v>
      </c>
    </row>
    <row r="30" spans="1:28" ht="15.75">
      <c r="A30" s="19">
        <v>26</v>
      </c>
      <c r="B30" s="5" t="s">
        <v>280</v>
      </c>
      <c r="C30" s="18">
        <f>'I (1)'!$F46</f>
        <v>0.16692015333023139</v>
      </c>
      <c r="D30" s="18">
        <f>'I (2)'!$F46</f>
        <v>0.11818556087362304</v>
      </c>
      <c r="E30" s="18">
        <f>'I (3)'!$G46</f>
        <v>0</v>
      </c>
      <c r="F30" s="19">
        <f>'I (4)'!$E45</f>
        <v>0</v>
      </c>
      <c r="G30" s="18">
        <f>'I (5)'!$G46</f>
        <v>1</v>
      </c>
      <c r="H30" s="19">
        <f>'II (1)'!$G45</f>
        <v>0</v>
      </c>
      <c r="I30" s="18">
        <f>'II (2)'!$I48</f>
        <v>-0.5096929823657792</v>
      </c>
      <c r="J30" s="34">
        <f>'II (3)'!$I48</f>
        <v>-0.7396219926598031</v>
      </c>
      <c r="K30" s="18">
        <f>'II (4)'!$F45</f>
        <v>-0.02740944401863197</v>
      </c>
      <c r="L30" s="28">
        <f>'II (5)'!$H46</f>
        <v>0</v>
      </c>
      <c r="M30" s="63">
        <f>'II (6)'!$F46</f>
        <v>1.104354922174366</v>
      </c>
      <c r="N30" s="28">
        <f>'III (1)'!$L46</f>
        <v>0</v>
      </c>
      <c r="O30" s="28">
        <f>'III (2)'!$I46</f>
        <v>0</v>
      </c>
      <c r="P30" s="28">
        <f>'III (3)'!$H45</f>
        <v>0</v>
      </c>
      <c r="Q30" s="28">
        <f>'III (4)'!$I45</f>
        <v>0</v>
      </c>
      <c r="R30" s="18">
        <f>'III (5)'!$L46</f>
        <v>0</v>
      </c>
      <c r="S30" s="18">
        <f>'III (6)'!$J46</f>
        <v>0</v>
      </c>
      <c r="T30" s="28">
        <f>'III (7)'!$E45</f>
        <v>0</v>
      </c>
      <c r="U30" s="18">
        <f>'III (8)'!$J46</f>
        <v>0.45215571440461566</v>
      </c>
      <c r="V30" s="28">
        <f>'III (9)'!$G45</f>
        <v>0</v>
      </c>
      <c r="W30" s="18">
        <f>'III (10)'!$I45</f>
        <v>0</v>
      </c>
      <c r="X30" s="19">
        <f>'IV (1)'!$E45</f>
        <v>1</v>
      </c>
      <c r="Y30" s="19">
        <f>'IV (2)'!$E45</f>
        <v>0</v>
      </c>
      <c r="Z30" s="18">
        <f>'IV (3)'!$E45</f>
        <v>1</v>
      </c>
      <c r="AA30" s="78">
        <f>SUM($C30:$Z30)</f>
        <v>3.564891931738622</v>
      </c>
      <c r="AB30" s="1">
        <f t="shared" si="0"/>
        <v>26</v>
      </c>
    </row>
    <row r="31" spans="1:28" ht="15.75">
      <c r="A31" s="19">
        <v>27</v>
      </c>
      <c r="B31" s="5" t="s">
        <v>271</v>
      </c>
      <c r="C31" s="18">
        <f>'I (1)'!$F37</f>
        <v>0</v>
      </c>
      <c r="D31" s="18">
        <f>'I (2)'!$F37</f>
        <v>0.5265592880805952</v>
      </c>
      <c r="E31" s="18">
        <f>'I (3)'!$G37</f>
        <v>-0.5089062589082685</v>
      </c>
      <c r="F31" s="19">
        <f>'I (4)'!$E36</f>
        <v>0</v>
      </c>
      <c r="G31" s="18">
        <f>'I (5)'!$G37</f>
        <v>1</v>
      </c>
      <c r="H31" s="19">
        <f>'II (1)'!$G36</f>
        <v>0</v>
      </c>
      <c r="I31" s="18">
        <f>'II (2)'!$I39</f>
        <v>-0.5464808011566776</v>
      </c>
      <c r="J31" s="34">
        <f>'II (3)'!$I39</f>
        <v>-0.46652893502910453</v>
      </c>
      <c r="K31" s="18">
        <f>'II (4)'!$F36</f>
        <v>-0.05362910337963793</v>
      </c>
      <c r="L31" s="28">
        <f>'II (5)'!$H37</f>
        <v>0</v>
      </c>
      <c r="M31" s="63">
        <f>'II (6)'!$F37</f>
        <v>0.4290962133832149</v>
      </c>
      <c r="N31" s="28">
        <f>'III (1)'!$L37</f>
        <v>0</v>
      </c>
      <c r="O31" s="28">
        <f>'III (2)'!$I37</f>
        <v>0</v>
      </c>
      <c r="P31" s="28">
        <f>'III (3)'!$H36</f>
        <v>0</v>
      </c>
      <c r="Q31" s="28">
        <f>'III (4)'!$I36</f>
        <v>0</v>
      </c>
      <c r="R31" s="18">
        <f>'III (5)'!$L37</f>
        <v>0</v>
      </c>
      <c r="S31" s="18">
        <f>'III (6)'!$J37</f>
        <v>0</v>
      </c>
      <c r="T31" s="28">
        <f>'III (7)'!$E36</f>
        <v>0</v>
      </c>
      <c r="U31" s="18">
        <f>'III (8)'!$J37</f>
        <v>1</v>
      </c>
      <c r="V31" s="28">
        <f>'III (9)'!$G36</f>
        <v>0</v>
      </c>
      <c r="W31" s="18">
        <f>'III (10)'!$I36</f>
        <v>0</v>
      </c>
      <c r="X31" s="19">
        <f>'IV (1)'!$E36</f>
        <v>1</v>
      </c>
      <c r="Y31" s="19">
        <f>'IV (2)'!$E36</f>
        <v>0</v>
      </c>
      <c r="Z31" s="18">
        <f>'IV (3)'!$E36</f>
        <v>1</v>
      </c>
      <c r="AA31" s="78">
        <f>SUM($C31:$Z31)</f>
        <v>3.3801104029901214</v>
      </c>
      <c r="AB31" s="1">
        <f t="shared" si="0"/>
        <v>27</v>
      </c>
    </row>
    <row r="32" spans="1:28" ht="15.75">
      <c r="A32" s="19">
        <v>28</v>
      </c>
      <c r="B32" s="5" t="s">
        <v>250</v>
      </c>
      <c r="C32" s="18">
        <f>'I (1)'!$F16</f>
        <v>0.9024051224221639</v>
      </c>
      <c r="D32" s="18">
        <f>'I (2)'!$F16</f>
        <v>0.32331350526161323</v>
      </c>
      <c r="E32" s="18">
        <f>'I (3)'!$G16</f>
        <v>0</v>
      </c>
      <c r="F32" s="19">
        <f>'I (4)'!$E15</f>
        <v>0</v>
      </c>
      <c r="G32" s="18">
        <f>'I (5)'!$G16</f>
        <v>1</v>
      </c>
      <c r="H32" s="19">
        <f>'II (1)'!$G15</f>
        <v>0</v>
      </c>
      <c r="I32" s="18">
        <f>'II (2)'!$I18</f>
        <v>-0.35206276216394106</v>
      </c>
      <c r="J32" s="34">
        <f>'II (3)'!$I18</f>
        <v>0</v>
      </c>
      <c r="K32" s="18">
        <f>'II (4)'!$F15</f>
        <v>-0.1531309399539844</v>
      </c>
      <c r="L32" s="28">
        <f>'II (5)'!$H16</f>
        <v>0</v>
      </c>
      <c r="M32" s="63">
        <f>'II (6)'!$F16</f>
        <v>1.4320285831521173</v>
      </c>
      <c r="N32" s="28">
        <f>'III (1)'!$L16</f>
        <v>0</v>
      </c>
      <c r="O32" s="28">
        <f>'III (2)'!$I16</f>
        <v>0</v>
      </c>
      <c r="P32" s="28">
        <f>'III (3)'!$H15</f>
        <v>0</v>
      </c>
      <c r="Q32" s="28">
        <f>'III (4)'!$I15</f>
        <v>0</v>
      </c>
      <c r="R32" s="18">
        <f>'III (5)'!$L16</f>
        <v>-0.7299463617419208</v>
      </c>
      <c r="S32" s="18">
        <f>'III (6)'!$J16</f>
        <v>-0.3842608955114829</v>
      </c>
      <c r="T32" s="28">
        <f>'III (7)'!$E15</f>
        <v>0</v>
      </c>
      <c r="U32" s="18">
        <f>'III (8)'!$J16</f>
        <v>0.06811185886731058</v>
      </c>
      <c r="V32" s="28">
        <f>'III (9)'!$G15</f>
        <v>0</v>
      </c>
      <c r="W32" s="18">
        <f>'III (10)'!$I15</f>
        <v>0</v>
      </c>
      <c r="X32" s="19">
        <f>'IV (1)'!$E15</f>
        <v>1</v>
      </c>
      <c r="Y32" s="19">
        <f>'IV (2)'!$E15</f>
        <v>0</v>
      </c>
      <c r="Z32" s="18">
        <f>'IV (3)'!$E15</f>
        <v>0.25</v>
      </c>
      <c r="AA32" s="78">
        <f>SUM($C32:$Z32)</f>
        <v>3.356458110331876</v>
      </c>
      <c r="AB32" s="1">
        <f t="shared" si="0"/>
        <v>28</v>
      </c>
    </row>
    <row r="33" spans="1:28" ht="15.75">
      <c r="A33" s="19">
        <v>29</v>
      </c>
      <c r="B33" s="5" t="s">
        <v>251</v>
      </c>
      <c r="C33" s="18">
        <f>'I (1)'!$F17</f>
        <v>1.2686807877652821</v>
      </c>
      <c r="D33" s="18">
        <f>'I (2)'!$F17</f>
        <v>0.25400245725284704</v>
      </c>
      <c r="E33" s="18">
        <f>'I (3)'!$G17</f>
        <v>0</v>
      </c>
      <c r="F33" s="19">
        <f>'I (4)'!$E16</f>
        <v>0</v>
      </c>
      <c r="G33" s="18">
        <f>'I (5)'!$G17</f>
        <v>0.20666903215263502</v>
      </c>
      <c r="H33" s="19">
        <f>'II (1)'!$G16</f>
        <v>0</v>
      </c>
      <c r="I33" s="18">
        <f>'II (2)'!$I19</f>
        <v>0</v>
      </c>
      <c r="J33" s="34">
        <f>'II (3)'!$I19</f>
        <v>0</v>
      </c>
      <c r="K33" s="18">
        <f>'II (4)'!$F16</f>
        <v>-0.029626483936348917</v>
      </c>
      <c r="L33" s="28">
        <f>'II (5)'!$H17</f>
        <v>0</v>
      </c>
      <c r="M33" s="63">
        <f>'II (6)'!$F17</f>
        <v>1.9872206790007372</v>
      </c>
      <c r="N33" s="28">
        <f>'III (1)'!$L17</f>
        <v>0</v>
      </c>
      <c r="O33" s="28">
        <f>'III (2)'!$I17</f>
        <v>0</v>
      </c>
      <c r="P33" s="28">
        <f>'III (3)'!$H16</f>
        <v>0</v>
      </c>
      <c r="Q33" s="28">
        <f>'III (4)'!$I16</f>
        <v>0</v>
      </c>
      <c r="R33" s="18">
        <f>'III (5)'!$L17</f>
        <v>-0.9318228938885533</v>
      </c>
      <c r="S33" s="18">
        <f>'III (6)'!$J17</f>
        <v>-1.6907643486320982</v>
      </c>
      <c r="T33" s="28">
        <f>'III (7)'!$E16</f>
        <v>0</v>
      </c>
      <c r="U33" s="18">
        <f>'III (8)'!$J17</f>
        <v>0.09537491916279461</v>
      </c>
      <c r="V33" s="28">
        <f>'III (9)'!$G16</f>
        <v>0</v>
      </c>
      <c r="W33" s="18">
        <f>'III (10)'!$I16</f>
        <v>0</v>
      </c>
      <c r="X33" s="19">
        <f>'IV (1)'!$E16</f>
        <v>1</v>
      </c>
      <c r="Y33" s="19">
        <f>'IV (2)'!$E16</f>
        <v>0</v>
      </c>
      <c r="Z33" s="18">
        <f>'IV (3)'!$E16</f>
        <v>1</v>
      </c>
      <c r="AA33" s="78">
        <f>SUM($C33:$Z33)</f>
        <v>3.159734148877295</v>
      </c>
      <c r="AB33" s="1">
        <f t="shared" si="0"/>
        <v>29</v>
      </c>
    </row>
    <row r="34" spans="1:28" ht="15.75">
      <c r="A34" s="19">
        <v>30</v>
      </c>
      <c r="B34" s="5" t="s">
        <v>274</v>
      </c>
      <c r="C34" s="18">
        <f>'I (1)'!$F40</f>
        <v>1.1337813980151463</v>
      </c>
      <c r="D34" s="18">
        <f>'I (2)'!$F40</f>
        <v>0.23220014410453013</v>
      </c>
      <c r="E34" s="18">
        <f>'I (3)'!$G40</f>
        <v>0</v>
      </c>
      <c r="F34" s="19">
        <f>'I (4)'!$E39</f>
        <v>0</v>
      </c>
      <c r="G34" s="18">
        <f>'I (5)'!$G40</f>
        <v>0.42621496884383414</v>
      </c>
      <c r="H34" s="19">
        <f>'II (1)'!$G39</f>
        <v>0</v>
      </c>
      <c r="I34" s="18">
        <f>'II (2)'!$I42</f>
        <v>-0.24458507573051208</v>
      </c>
      <c r="J34" s="34">
        <f>'II (3)'!$I42</f>
        <v>-0.4383659419030253</v>
      </c>
      <c r="K34" s="18">
        <f>'II (4)'!$F39</f>
        <v>-0.8049885403697019</v>
      </c>
      <c r="L34" s="28">
        <f>'II (5)'!$H40</f>
        <v>0</v>
      </c>
      <c r="M34" s="63">
        <f>'II (6)'!$F40</f>
        <v>1.983616470998672</v>
      </c>
      <c r="N34" s="28">
        <f>'III (1)'!$L40</f>
        <v>0</v>
      </c>
      <c r="O34" s="28">
        <f>'III (2)'!$I40</f>
        <v>0</v>
      </c>
      <c r="P34" s="28">
        <f>'III (3)'!$H39</f>
        <v>0</v>
      </c>
      <c r="Q34" s="28">
        <f>'III (4)'!$I39</f>
        <v>0</v>
      </c>
      <c r="R34" s="18">
        <f>'III (5)'!$L40</f>
        <v>-0.3280089116003144</v>
      </c>
      <c r="S34" s="18">
        <f>'III (6)'!$J40</f>
        <v>-0.3641928396553965</v>
      </c>
      <c r="T34" s="28">
        <f>'III (7)'!$E39</f>
        <v>0</v>
      </c>
      <c r="U34" s="18">
        <f>'III (8)'!$J40</f>
        <v>0.12138401738889273</v>
      </c>
      <c r="V34" s="28">
        <f>'III (9)'!$G39</f>
        <v>0</v>
      </c>
      <c r="W34" s="18">
        <f>'III (10)'!$I39</f>
        <v>0</v>
      </c>
      <c r="X34" s="19">
        <f>'IV (1)'!$E39</f>
        <v>1</v>
      </c>
      <c r="Y34" s="19">
        <f>'IV (2)'!$E39</f>
        <v>0</v>
      </c>
      <c r="Z34" s="18">
        <f>'IV (3)'!$E39</f>
        <v>0.25</v>
      </c>
      <c r="AA34" s="78">
        <f>SUM($C34:$Z34)</f>
        <v>2.967055690092125</v>
      </c>
      <c r="AB34" s="1">
        <f t="shared" si="0"/>
        <v>30</v>
      </c>
    </row>
    <row r="35" spans="1:28" ht="15.75">
      <c r="A35" s="19">
        <v>31</v>
      </c>
      <c r="B35" s="5" t="s">
        <v>247</v>
      </c>
      <c r="C35" s="18">
        <f>'I (1)'!$F13</f>
        <v>0.9091996008406498</v>
      </c>
      <c r="D35" s="18">
        <f>'I (2)'!$F13</f>
        <v>0.24844103253865926</v>
      </c>
      <c r="E35" s="18">
        <f>'I (3)'!$G13</f>
        <v>0</v>
      </c>
      <c r="F35" s="19">
        <f>'I (4)'!$E12</f>
        <v>0</v>
      </c>
      <c r="G35" s="18">
        <f>'I (5)'!$G13</f>
        <v>1</v>
      </c>
      <c r="H35" s="19">
        <f>'II (1)'!$G12</f>
        <v>0</v>
      </c>
      <c r="I35" s="18">
        <f>'II (2)'!$I15</f>
        <v>-0.2231299879670645</v>
      </c>
      <c r="J35" s="34">
        <f>'II (3)'!$I15</f>
        <v>0</v>
      </c>
      <c r="K35" s="18">
        <f>'II (4)'!$F12</f>
        <v>-0.6712528598039316</v>
      </c>
      <c r="L35" s="28">
        <f>'II (5)'!$H13</f>
        <v>0</v>
      </c>
      <c r="M35" s="63">
        <f>'II (6)'!$F13</f>
        <v>1.6332545014214022</v>
      </c>
      <c r="N35" s="28">
        <f>'III (1)'!$L13</f>
        <v>0</v>
      </c>
      <c r="O35" s="28">
        <f>'III (2)'!$I13</f>
        <v>0</v>
      </c>
      <c r="P35" s="28">
        <f>'III (3)'!$H12</f>
        <v>0</v>
      </c>
      <c r="Q35" s="28">
        <f>'III (4)'!$I12</f>
        <v>0</v>
      </c>
      <c r="R35" s="18">
        <f>'III (5)'!$L13</f>
        <v>-0.9438277824877048</v>
      </c>
      <c r="S35" s="18">
        <f>'III (6)'!$J13</f>
        <v>-1.470536877931854</v>
      </c>
      <c r="T35" s="28">
        <f>'III (7)'!$E12</f>
        <v>0</v>
      </c>
      <c r="U35" s="18">
        <f>'III (8)'!$J13</f>
        <v>0.09950347030267434</v>
      </c>
      <c r="V35" s="28">
        <f>'III (9)'!$G12</f>
        <v>0</v>
      </c>
      <c r="W35" s="18">
        <f>'III (10)'!$I12</f>
        <v>0</v>
      </c>
      <c r="X35" s="19">
        <f>'IV (1)'!$E12</f>
        <v>1</v>
      </c>
      <c r="Y35" s="19">
        <f>'IV (2)'!$E12</f>
        <v>0</v>
      </c>
      <c r="Z35" s="18">
        <f>'IV (3)'!$E12</f>
        <v>1</v>
      </c>
      <c r="AA35" s="78">
        <f>SUM($C35:$Z35)</f>
        <v>2.5816510969128306</v>
      </c>
      <c r="AB35" s="1">
        <f t="shared" si="0"/>
        <v>31</v>
      </c>
    </row>
    <row r="36" spans="1:28" ht="15.75">
      <c r="A36" s="19">
        <v>32</v>
      </c>
      <c r="B36" s="5" t="s">
        <v>244</v>
      </c>
      <c r="C36" s="18">
        <f>'I (1)'!$F10</f>
        <v>1.1943837049780934</v>
      </c>
      <c r="D36" s="18">
        <f>'I (2)'!$F10</f>
        <v>0.3317618917530156</v>
      </c>
      <c r="E36" s="18">
        <f>'I (3)'!$G10</f>
        <v>0</v>
      </c>
      <c r="F36" s="19">
        <f>'I (4)'!$E9</f>
        <v>0</v>
      </c>
      <c r="G36" s="18">
        <f>'I (5)'!$G10</f>
        <v>1</v>
      </c>
      <c r="H36" s="19">
        <f>'II (1)'!$G9</f>
        <v>0</v>
      </c>
      <c r="I36" s="18">
        <f>'II (2)'!$I12</f>
        <v>-0.4768211914508278</v>
      </c>
      <c r="J36" s="34">
        <f>'II (3)'!$I12</f>
        <v>-0.041321617630777435</v>
      </c>
      <c r="K36" s="18">
        <f>'II (4)'!$F9</f>
        <v>-0.1327333373497176</v>
      </c>
      <c r="L36" s="28">
        <f>'II (5)'!$H10</f>
        <v>0</v>
      </c>
      <c r="M36" s="63">
        <f>'II (6)'!$F10</f>
        <v>0.8016604786491586</v>
      </c>
      <c r="N36" s="28">
        <f>'III (1)'!$L10</f>
        <v>0</v>
      </c>
      <c r="O36" s="28">
        <f>'III (2)'!$I10</f>
        <v>0</v>
      </c>
      <c r="P36" s="28">
        <f>'III (3)'!$H9</f>
        <v>0</v>
      </c>
      <c r="Q36" s="28">
        <f>'III (4)'!$I9</f>
        <v>0</v>
      </c>
      <c r="R36" s="18">
        <f>'III (5)'!$L10</f>
        <v>-0.8600630953691031</v>
      </c>
      <c r="S36" s="18">
        <f>'III (6)'!$J10</f>
        <v>-1.4428472991804142</v>
      </c>
      <c r="T36" s="28">
        <f>'III (7)'!$E9</f>
        <v>0</v>
      </c>
      <c r="U36" s="18">
        <f>'III (8)'!$J10</f>
        <v>0.14340632135018433</v>
      </c>
      <c r="V36" s="28">
        <f>'III (9)'!$G9</f>
        <v>0</v>
      </c>
      <c r="W36" s="18">
        <f>'III (10)'!$I9</f>
        <v>0</v>
      </c>
      <c r="X36" s="19">
        <f>'IV (1)'!$E9</f>
        <v>1</v>
      </c>
      <c r="Y36" s="19">
        <f>'IV (2)'!$E9</f>
        <v>0</v>
      </c>
      <c r="Z36" s="18">
        <f>'IV (3)'!$E9</f>
        <v>1</v>
      </c>
      <c r="AA36" s="78">
        <f>SUM($C36:$Z36)</f>
        <v>2.517425855749612</v>
      </c>
      <c r="AB36" s="1">
        <f t="shared" si="0"/>
        <v>32</v>
      </c>
    </row>
    <row r="37" spans="1:28" ht="15.75">
      <c r="A37" s="19">
        <v>33</v>
      </c>
      <c r="B37" s="5" t="s">
        <v>273</v>
      </c>
      <c r="C37" s="18">
        <f>'I (1)'!$F39</f>
        <v>0.6812892368659127</v>
      </c>
      <c r="D37" s="18">
        <f>'I (2)'!$F39</f>
        <v>0.49004973389251205</v>
      </c>
      <c r="E37" s="18">
        <f>'I (3)'!$G39</f>
        <v>0</v>
      </c>
      <c r="F37" s="19">
        <f>'I (4)'!$E38</f>
        <v>0</v>
      </c>
      <c r="G37" s="18">
        <f>'I (5)'!$G39</f>
        <v>0.6513014924524236</v>
      </c>
      <c r="H37" s="19">
        <f>'II (1)'!$G38</f>
        <v>0</v>
      </c>
      <c r="I37" s="18">
        <f>'II (2)'!$I41</f>
        <v>-0.18417600493255934</v>
      </c>
      <c r="J37" s="34">
        <f>'II (3)'!$I41</f>
        <v>-0.2377794362471497</v>
      </c>
      <c r="K37" s="18">
        <f>'II (4)'!$F38</f>
        <v>-0.1537331189230071</v>
      </c>
      <c r="L37" s="28">
        <f>'II (5)'!$H39</f>
        <v>0</v>
      </c>
      <c r="M37" s="63">
        <f>'II (6)'!$F39</f>
        <v>0.04230015846114978</v>
      </c>
      <c r="N37" s="28">
        <f>'III (1)'!$L39</f>
        <v>0</v>
      </c>
      <c r="O37" s="28">
        <f>'III (2)'!$I39</f>
        <v>0</v>
      </c>
      <c r="P37" s="28">
        <f>'III (3)'!$H38</f>
        <v>0</v>
      </c>
      <c r="Q37" s="28">
        <f>'III (4)'!$I38</f>
        <v>0</v>
      </c>
      <c r="R37" s="18">
        <f>'III (5)'!$L39</f>
        <v>-0.07159913785203006</v>
      </c>
      <c r="S37" s="18">
        <f>'III (6)'!$J39</f>
        <v>-0.3438731068272923</v>
      </c>
      <c r="T37" s="28">
        <f>'III (7)'!$E38</f>
        <v>0</v>
      </c>
      <c r="U37" s="18">
        <f>'III (8)'!$J39</f>
        <v>0.13364639594101185</v>
      </c>
      <c r="V37" s="28">
        <f>'III (9)'!$G38</f>
        <v>0</v>
      </c>
      <c r="W37" s="18">
        <f>'III (10)'!$I38</f>
        <v>0</v>
      </c>
      <c r="X37" s="19">
        <f>'IV (1)'!$E38</f>
        <v>1</v>
      </c>
      <c r="Y37" s="19">
        <f>'IV (2)'!$E38</f>
        <v>0</v>
      </c>
      <c r="Z37" s="18">
        <f>'IV (3)'!$E38</f>
        <v>0.25</v>
      </c>
      <c r="AA37" s="78">
        <f>SUM($C37:$Z37)</f>
        <v>2.2574262128309717</v>
      </c>
      <c r="AB37" s="1">
        <f t="shared" si="0"/>
        <v>33</v>
      </c>
    </row>
    <row r="38" spans="1:28" ht="15.75">
      <c r="A38" s="19">
        <v>34</v>
      </c>
      <c r="B38" s="5" t="s">
        <v>268</v>
      </c>
      <c r="C38" s="18">
        <f>'I (1)'!$F34</f>
        <v>1.0584216164942608</v>
      </c>
      <c r="D38" s="18">
        <f>'I (2)'!$F34</f>
        <v>0.29442734110658825</v>
      </c>
      <c r="E38" s="18">
        <f>'I (3)'!$G34</f>
        <v>0</v>
      </c>
      <c r="F38" s="19">
        <f>'I (4)'!$E33</f>
        <v>0</v>
      </c>
      <c r="G38" s="18">
        <f>'I (5)'!$G34</f>
        <v>1</v>
      </c>
      <c r="H38" s="19">
        <f>'II (1)'!$G33</f>
        <v>0</v>
      </c>
      <c r="I38" s="18">
        <f>'II (2)'!$I36</f>
        <v>-1</v>
      </c>
      <c r="J38" s="34">
        <f>'II (3)'!$I36</f>
        <v>-1</v>
      </c>
      <c r="K38" s="18">
        <f>'II (4)'!$F33</f>
        <v>-0.17187074334612515</v>
      </c>
      <c r="L38" s="28">
        <f>'II (5)'!$H34</f>
        <v>0</v>
      </c>
      <c r="M38" s="63">
        <f>'II (6)'!$F34</f>
        <v>0.5723189133697564</v>
      </c>
      <c r="N38" s="28">
        <f>'III (1)'!$L34</f>
        <v>0</v>
      </c>
      <c r="O38" s="28">
        <f>'III (2)'!$I34</f>
        <v>0</v>
      </c>
      <c r="P38" s="28">
        <f>'III (3)'!$H33</f>
        <v>0</v>
      </c>
      <c r="Q38" s="28">
        <f>'III (4)'!$I33</f>
        <v>0</v>
      </c>
      <c r="R38" s="18">
        <f>'III (5)'!$L34</f>
        <v>-0.5325837993871456</v>
      </c>
      <c r="S38" s="18">
        <f>'III (6)'!$J34</f>
        <v>0</v>
      </c>
      <c r="T38" s="28">
        <f>'III (7)'!$E33</f>
        <v>0</v>
      </c>
      <c r="U38" s="18">
        <f>'III (8)'!$J34</f>
        <v>0.21436672353732814</v>
      </c>
      <c r="V38" s="28">
        <f>'III (9)'!$G33</f>
        <v>0</v>
      </c>
      <c r="W38" s="18">
        <f>'III (10)'!$I33</f>
        <v>0</v>
      </c>
      <c r="X38" s="19">
        <f>'IV (1)'!$E33</f>
        <v>1</v>
      </c>
      <c r="Y38" s="19">
        <f>'IV (2)'!$E33</f>
        <v>0</v>
      </c>
      <c r="Z38" s="18">
        <f>'IV (3)'!$E33</f>
        <v>0.25</v>
      </c>
      <c r="AA38" s="78">
        <f>SUM($C38:$Z38)</f>
        <v>1.685080051774663</v>
      </c>
      <c r="AB38" s="1">
        <f t="shared" si="0"/>
        <v>34</v>
      </c>
    </row>
    <row r="39" spans="1:28" ht="15.75">
      <c r="A39" s="19">
        <v>35</v>
      </c>
      <c r="B39" s="5" t="s">
        <v>276</v>
      </c>
      <c r="C39" s="18">
        <f>'I (1)'!$F42</f>
        <v>0.9946365730581392</v>
      </c>
      <c r="D39" s="18">
        <f>'I (2)'!$F42</f>
        <v>0.24054243829421396</v>
      </c>
      <c r="E39" s="18">
        <f>'I (3)'!$G42</f>
        <v>0</v>
      </c>
      <c r="F39" s="19">
        <f>'I (4)'!$E41</f>
        <v>0</v>
      </c>
      <c r="G39" s="18">
        <f>'I (5)'!$G42</f>
        <v>0.6630089534221796</v>
      </c>
      <c r="H39" s="19">
        <f>'II (1)'!$G41</f>
        <v>0</v>
      </c>
      <c r="I39" s="18">
        <f>'II (2)'!$I44</f>
        <v>-0.6431088409539879</v>
      </c>
      <c r="J39" s="34">
        <f>'II (3)'!$I44</f>
        <v>-0.9543067808505158</v>
      </c>
      <c r="K39" s="18">
        <f>'II (4)'!$F41</f>
        <v>-0.4133266524190547</v>
      </c>
      <c r="L39" s="28">
        <f>'II (5)'!$H42</f>
        <v>0</v>
      </c>
      <c r="M39" s="63">
        <f>'II (6)'!$F42</f>
        <v>0.7426830836458838</v>
      </c>
      <c r="N39" s="28">
        <f>'III (1)'!$L42</f>
        <v>0</v>
      </c>
      <c r="O39" s="28">
        <f>'III (2)'!$I42</f>
        <v>0</v>
      </c>
      <c r="P39" s="28">
        <f>'III (3)'!$H41</f>
        <v>0</v>
      </c>
      <c r="Q39" s="28">
        <f>'III (4)'!$I41</f>
        <v>0</v>
      </c>
      <c r="R39" s="18">
        <f>'III (5)'!$L42</f>
        <v>-1</v>
      </c>
      <c r="S39" s="18">
        <f>'III (6)'!$J42</f>
        <v>-0.22406671420223667</v>
      </c>
      <c r="T39" s="28">
        <f>'III (7)'!$E41</f>
        <v>0</v>
      </c>
      <c r="U39" s="18">
        <f>'III (8)'!$J42</f>
        <v>0.19568685999148935</v>
      </c>
      <c r="V39" s="28">
        <f>'III (9)'!$G41</f>
        <v>0</v>
      </c>
      <c r="W39" s="18">
        <f>'III (10)'!$I41</f>
        <v>0</v>
      </c>
      <c r="X39" s="19">
        <f>'IV (1)'!$E41</f>
        <v>1</v>
      </c>
      <c r="Y39" s="19">
        <f>'IV (2)'!$E41</f>
        <v>0</v>
      </c>
      <c r="Z39" s="18">
        <f>'IV (3)'!$E41</f>
        <v>0.25</v>
      </c>
      <c r="AA39" s="78">
        <f>SUM($C39:$Z39)</f>
        <v>0.8517489199861107</v>
      </c>
      <c r="AB39" s="1">
        <f t="shared" si="0"/>
        <v>35</v>
      </c>
    </row>
    <row r="40" spans="1:28" ht="15.75">
      <c r="A40" s="19">
        <v>36</v>
      </c>
      <c r="B40" s="5" t="s">
        <v>265</v>
      </c>
      <c r="C40" s="18">
        <f>'I (1)'!$F31</f>
        <v>1.1020027619898587</v>
      </c>
      <c r="D40" s="18">
        <f>'I (2)'!$F31</f>
        <v>0.4010401326523683</v>
      </c>
      <c r="E40" s="18">
        <f>'I (3)'!$G31</f>
        <v>-0.7150379855332937</v>
      </c>
      <c r="F40" s="19">
        <f>'I (4)'!$E30</f>
        <v>0</v>
      </c>
      <c r="G40" s="18">
        <f>'I (5)'!$G31</f>
        <v>0</v>
      </c>
      <c r="H40" s="19">
        <f>'II (1)'!$G30</f>
        <v>0</v>
      </c>
      <c r="I40" s="18">
        <f>'II (2)'!$I33</f>
        <v>0</v>
      </c>
      <c r="J40" s="34">
        <f>'II (3)'!$I33</f>
        <v>0</v>
      </c>
      <c r="K40" s="18">
        <f>'II (4)'!$F30</f>
        <v>-0.2630304805200858</v>
      </c>
      <c r="L40" s="28">
        <f>'II (5)'!$H31</f>
        <v>0</v>
      </c>
      <c r="M40" s="63">
        <f>'II (6)'!$F31</f>
        <v>2</v>
      </c>
      <c r="N40" s="28">
        <f>'III (1)'!$L31</f>
        <v>0</v>
      </c>
      <c r="O40" s="28">
        <f>'III (2)'!$I31</f>
        <v>0</v>
      </c>
      <c r="P40" s="28">
        <f>'III (3)'!$H30</f>
        <v>0</v>
      </c>
      <c r="Q40" s="28">
        <f>'III (4)'!$I30</f>
        <v>0</v>
      </c>
      <c r="R40" s="99">
        <f>'III (5)'!$L31</f>
        <v>-0.9971444211470756</v>
      </c>
      <c r="S40" s="18">
        <f>'III (6)'!$J31</f>
        <v>-2</v>
      </c>
      <c r="T40" s="28">
        <f>'III (7)'!$E30</f>
        <v>0</v>
      </c>
      <c r="U40" s="18">
        <f>'III (8)'!$J31</f>
        <v>0.061417190913000935</v>
      </c>
      <c r="V40" s="28">
        <f>'III (9)'!$G30</f>
        <v>0</v>
      </c>
      <c r="W40" s="18">
        <f>'III (10)'!$I30</f>
        <v>0</v>
      </c>
      <c r="X40" s="19">
        <f>'IV (1)'!$E30</f>
        <v>1</v>
      </c>
      <c r="Y40" s="19">
        <f>'IV (2)'!$E30</f>
        <v>0</v>
      </c>
      <c r="Z40" s="18">
        <f>'IV (3)'!$E30</f>
        <v>0.25</v>
      </c>
      <c r="AA40" s="78">
        <f>SUM($C40:$Z40)</f>
        <v>0.8392471983547728</v>
      </c>
      <c r="AB40" s="1">
        <f t="shared" si="0"/>
        <v>36</v>
      </c>
    </row>
    <row r="41" spans="1:28" ht="15.75">
      <c r="A41" s="19">
        <v>37</v>
      </c>
      <c r="B41" s="5" t="s">
        <v>253</v>
      </c>
      <c r="C41" s="18">
        <f>'I (1)'!$F19</f>
        <v>1.06083157391114</v>
      </c>
      <c r="D41" s="18">
        <f>'I (2)'!$F19</f>
        <v>0.14020496368725865</v>
      </c>
      <c r="E41" s="18">
        <f>'I (3)'!$G19</f>
        <v>-0.9535851817824689</v>
      </c>
      <c r="F41" s="19">
        <f>'I (4)'!$E18</f>
        <v>-1</v>
      </c>
      <c r="G41" s="18">
        <f>'I (5)'!$G19</f>
        <v>1</v>
      </c>
      <c r="H41" s="19">
        <f>'II (1)'!$G18</f>
        <v>0</v>
      </c>
      <c r="I41" s="18">
        <f>'II (2)'!$I21</f>
        <v>0</v>
      </c>
      <c r="J41" s="34">
        <f>'II (3)'!$I21</f>
        <v>0</v>
      </c>
      <c r="K41" s="18">
        <f>'II (4)'!$F18</f>
        <v>-0.8813587554595904</v>
      </c>
      <c r="L41" s="28">
        <f>'II (5)'!$H19</f>
        <v>0</v>
      </c>
      <c r="M41" s="63">
        <f>'II (6)'!$F19</f>
        <v>1.5737058305898386</v>
      </c>
      <c r="N41" s="28">
        <f>'III (1)'!$L19</f>
        <v>0</v>
      </c>
      <c r="O41" s="28">
        <f>'III (2)'!$I19</f>
        <v>0</v>
      </c>
      <c r="P41" s="28">
        <f>'III (3)'!$H18</f>
        <v>0</v>
      </c>
      <c r="Q41" s="28">
        <f>'III (4)'!$I18</f>
        <v>0</v>
      </c>
      <c r="R41" s="18">
        <f>'III (5)'!$L19</f>
        <v>-0.7105318511709272</v>
      </c>
      <c r="S41" s="18">
        <f>'III (6)'!$J19</f>
        <v>-1.1157467054423784</v>
      </c>
      <c r="T41" s="28">
        <f>'III (7)'!$E18</f>
        <v>0</v>
      </c>
      <c r="U41" s="18">
        <f>'III (8)'!$J19</f>
        <v>0</v>
      </c>
      <c r="V41" s="28">
        <f>'III (9)'!$G18</f>
        <v>0</v>
      </c>
      <c r="W41" s="18">
        <f>'III (10)'!$I18</f>
        <v>0</v>
      </c>
      <c r="X41" s="19">
        <f>'IV (1)'!$E18</f>
        <v>1</v>
      </c>
      <c r="Y41" s="19">
        <f>'IV (2)'!$E18</f>
        <v>0</v>
      </c>
      <c r="Z41" s="18">
        <f>'IV (3)'!$E18</f>
        <v>0.25</v>
      </c>
      <c r="AA41" s="78">
        <f>SUM($C41:$Z41)</f>
        <v>0.36351987433287236</v>
      </c>
      <c r="AB41" s="1">
        <f t="shared" si="0"/>
        <v>37</v>
      </c>
    </row>
    <row r="42" ht="15.75">
      <c r="B42" s="6"/>
    </row>
  </sheetData>
  <sheetProtection/>
  <mergeCells count="7">
    <mergeCell ref="B1:AA1"/>
    <mergeCell ref="A3:B4"/>
    <mergeCell ref="C3:G3"/>
    <mergeCell ref="H3:M3"/>
    <mergeCell ref="N3:W3"/>
    <mergeCell ref="X3:Z3"/>
    <mergeCell ref="AA3:AA4"/>
  </mergeCells>
  <conditionalFormatting sqref="C5:C41">
    <cfRule type="cellIs" priority="41" dxfId="132" operator="equal" stopIfTrue="1">
      <formula>MAX($C$5:$C$41)</formula>
    </cfRule>
    <cfRule type="cellIs" priority="42" dxfId="133" operator="equal" stopIfTrue="1">
      <formula>MIN($C$5:$C$41)</formula>
    </cfRule>
  </conditionalFormatting>
  <conditionalFormatting sqref="D5:D41">
    <cfRule type="cellIs" priority="39" dxfId="132" operator="equal" stopIfTrue="1">
      <formula>MAX($D$5:$D$41)</formula>
    </cfRule>
    <cfRule type="cellIs" priority="40" dxfId="133" operator="equal" stopIfTrue="1">
      <formula>MIN($D$5:$D$41)</formula>
    </cfRule>
  </conditionalFormatting>
  <conditionalFormatting sqref="E5:E41">
    <cfRule type="cellIs" priority="37" dxfId="132" operator="equal" stopIfTrue="1">
      <formula>MAX($E$5:$E$41)</formula>
    </cfRule>
    <cfRule type="cellIs" priority="38" dxfId="133" operator="equal" stopIfTrue="1">
      <formula>MIN($E$5:$E$41)</formula>
    </cfRule>
  </conditionalFormatting>
  <conditionalFormatting sqref="F5:F41">
    <cfRule type="cellIs" priority="35" dxfId="132" operator="equal" stopIfTrue="1">
      <formula>0</formula>
    </cfRule>
    <cfRule type="cellIs" priority="36" dxfId="133" operator="equal" stopIfTrue="1">
      <formula>-1</formula>
    </cfRule>
  </conditionalFormatting>
  <conditionalFormatting sqref="G5:G41">
    <cfRule type="cellIs" priority="33" dxfId="132" operator="equal" stopIfTrue="1">
      <formula>MAX($G$5:$G$41)</formula>
    </cfRule>
    <cfRule type="cellIs" priority="34" dxfId="133" operator="equal" stopIfTrue="1">
      <formula>MIN($G$5:$G$41)</formula>
    </cfRule>
  </conditionalFormatting>
  <conditionalFormatting sqref="H5:H41">
    <cfRule type="cellIs" priority="31" dxfId="132" operator="equal" stopIfTrue="1">
      <formula>0</formula>
    </cfRule>
    <cfRule type="cellIs" priority="32" dxfId="133" operator="equal" stopIfTrue="1">
      <formula>-2</formula>
    </cfRule>
  </conditionalFormatting>
  <conditionalFormatting sqref="K5:K41">
    <cfRule type="cellIs" priority="29" dxfId="132" operator="equal" stopIfTrue="1">
      <formula>MAX($K$5:$K$41)</formula>
    </cfRule>
    <cfRule type="cellIs" priority="30" dxfId="133" operator="equal" stopIfTrue="1">
      <formula>MIN($K$5:$K$41)</formula>
    </cfRule>
  </conditionalFormatting>
  <conditionalFormatting sqref="L5:L41">
    <cfRule type="cellIs" priority="27" dxfId="132" operator="equal" stopIfTrue="1">
      <formula>0</formula>
    </cfRule>
    <cfRule type="cellIs" priority="28" dxfId="133" operator="equal" stopIfTrue="1">
      <formula>-2</formula>
    </cfRule>
  </conditionalFormatting>
  <conditionalFormatting sqref="M5:M41">
    <cfRule type="cellIs" priority="25" dxfId="132" operator="equal" stopIfTrue="1">
      <formula>MAX($M$5:$M$41)</formula>
    </cfRule>
    <cfRule type="cellIs" priority="26" dxfId="133" operator="equal" stopIfTrue="1">
      <formula>MIN($M$5:$M$41)</formula>
    </cfRule>
  </conditionalFormatting>
  <conditionalFormatting sqref="U5:U41">
    <cfRule type="cellIs" priority="23" dxfId="132" operator="equal" stopIfTrue="1">
      <formula>MAX($U$5:$U$41)</formula>
    </cfRule>
    <cfRule type="cellIs" priority="24" dxfId="133" operator="equal" stopIfTrue="1">
      <formula>MIN($U$5:$U$41)</formula>
    </cfRule>
  </conditionalFormatting>
  <conditionalFormatting sqref="X5:X41">
    <cfRule type="cellIs" priority="21" dxfId="132" operator="equal" stopIfTrue="1">
      <formula>1</formula>
    </cfRule>
    <cfRule type="cellIs" priority="22" dxfId="133" operator="equal" stopIfTrue="1">
      <formula>0</formula>
    </cfRule>
  </conditionalFormatting>
  <conditionalFormatting sqref="N5:Q41">
    <cfRule type="cellIs" priority="19" dxfId="132" operator="equal" stopIfTrue="1">
      <formula>0</formula>
    </cfRule>
    <cfRule type="cellIs" priority="20" dxfId="133" operator="equal" stopIfTrue="1">
      <formula>-2</formula>
    </cfRule>
  </conditionalFormatting>
  <conditionalFormatting sqref="R5:R41">
    <cfRule type="cellIs" priority="17" dxfId="132" operator="equal" stopIfTrue="1">
      <formula>MAX($R$5:$R$41)</formula>
    </cfRule>
    <cfRule type="cellIs" priority="18" dxfId="133" operator="equal" stopIfTrue="1">
      <formula>MIN($R$5:$R$41)</formula>
    </cfRule>
  </conditionalFormatting>
  <conditionalFormatting sqref="S5:S41">
    <cfRule type="cellIs" priority="15" dxfId="132" operator="equal" stopIfTrue="1">
      <formula>MAX($S$5:$S$41)</formula>
    </cfRule>
    <cfRule type="cellIs" priority="16" dxfId="133" operator="equal" stopIfTrue="1">
      <formula>MIN($S$5:$S$41)</formula>
    </cfRule>
  </conditionalFormatting>
  <conditionalFormatting sqref="T5:T41">
    <cfRule type="cellIs" priority="13" dxfId="132" operator="equal" stopIfTrue="1">
      <formula>0</formula>
    </cfRule>
    <cfRule type="cellIs" priority="14" dxfId="133" operator="equal" stopIfTrue="1">
      <formula>-2</formula>
    </cfRule>
  </conditionalFormatting>
  <conditionalFormatting sqref="I5:I41">
    <cfRule type="cellIs" priority="11" dxfId="132" operator="equal" stopIfTrue="1">
      <formula>MAX($I$5:$I$41)</formula>
    </cfRule>
    <cfRule type="cellIs" priority="12" dxfId="133" operator="equal" stopIfTrue="1">
      <formula>MIN($I$5:$I$41)</formula>
    </cfRule>
  </conditionalFormatting>
  <conditionalFormatting sqref="J5:J41">
    <cfRule type="cellIs" priority="9" dxfId="132" operator="equal" stopIfTrue="1">
      <formula>MAX($J$5:$J$41)</formula>
    </cfRule>
    <cfRule type="cellIs" priority="10" dxfId="133" operator="equal" stopIfTrue="1">
      <formula>MIN($J$5:$J$41)</formula>
    </cfRule>
  </conditionalFormatting>
  <conditionalFormatting sqref="W5:W41">
    <cfRule type="cellIs" priority="7" dxfId="132" operator="equal" stopIfTrue="1">
      <formula>0</formula>
    </cfRule>
    <cfRule type="cellIs" priority="8" dxfId="133" operator="equal" stopIfTrue="1">
      <formula>-1</formula>
    </cfRule>
  </conditionalFormatting>
  <conditionalFormatting sqref="V5:V41">
    <cfRule type="cellIs" priority="5" dxfId="132" operator="equal" stopIfTrue="1">
      <formula>0</formula>
    </cfRule>
    <cfRule type="cellIs" priority="6" dxfId="133" operator="equal" stopIfTrue="1">
      <formula>-2</formula>
    </cfRule>
  </conditionalFormatting>
  <conditionalFormatting sqref="Y5:Y41">
    <cfRule type="cellIs" priority="3" dxfId="132" operator="equal" stopIfTrue="1">
      <formula>0</formula>
    </cfRule>
    <cfRule type="cellIs" priority="4" dxfId="133" operator="equal" stopIfTrue="1">
      <formula>-1</formula>
    </cfRule>
  </conditionalFormatting>
  <conditionalFormatting sqref="Z5:Z41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57421875" style="1" customWidth="1"/>
    <col min="2" max="2" width="19.140625" style="1" customWidth="1"/>
    <col min="3" max="3" width="18.5742187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110" t="s">
        <v>101</v>
      </c>
      <c r="B1" s="110"/>
      <c r="C1" s="110"/>
      <c r="D1" s="110"/>
      <c r="E1" s="110"/>
      <c r="F1" s="110"/>
      <c r="G1" s="110"/>
    </row>
    <row r="3" spans="1:2" ht="15.75">
      <c r="A3" s="10" t="s">
        <v>43</v>
      </c>
      <c r="B3" s="26">
        <f>MAX($E$10:$E$46)</f>
        <v>8.679905951131886</v>
      </c>
    </row>
    <row r="4" spans="1:2" ht="15.75">
      <c r="A4" s="11" t="s">
        <v>59</v>
      </c>
      <c r="B4" s="27">
        <f>MIN($E$10:$E$46)</f>
        <v>0</v>
      </c>
    </row>
    <row r="5" spans="1:2" ht="15.75">
      <c r="A5" s="12" t="s">
        <v>60</v>
      </c>
      <c r="B5" s="13" t="s">
        <v>40</v>
      </c>
    </row>
    <row r="6" spans="1:2" ht="15.75">
      <c r="A6" s="25"/>
      <c r="B6" s="24"/>
    </row>
    <row r="7" spans="1:7" s="7" customFormat="1" ht="50.25" customHeight="1">
      <c r="A7" s="107" t="s">
        <v>38</v>
      </c>
      <c r="B7" s="107" t="s">
        <v>186</v>
      </c>
      <c r="C7" s="107"/>
      <c r="D7" s="107"/>
      <c r="E7" s="108" t="s">
        <v>64</v>
      </c>
      <c r="F7" s="108" t="s">
        <v>65</v>
      </c>
      <c r="G7" s="108" t="s">
        <v>66</v>
      </c>
    </row>
    <row r="8" spans="1:7" s="8" customFormat="1" ht="50.25" customHeight="1">
      <c r="A8" s="111"/>
      <c r="B8" s="3" t="s">
        <v>334</v>
      </c>
      <c r="C8" s="3" t="s">
        <v>359</v>
      </c>
      <c r="D8" s="3" t="s">
        <v>41</v>
      </c>
      <c r="E8" s="109"/>
      <c r="F8" s="109"/>
      <c r="G8" s="109"/>
    </row>
    <row r="9" spans="1:7" s="7" customFormat="1" ht="15.75">
      <c r="A9" s="9">
        <v>1</v>
      </c>
      <c r="B9" s="9">
        <v>2</v>
      </c>
      <c r="C9" s="9">
        <v>3</v>
      </c>
      <c r="D9" s="9" t="s">
        <v>89</v>
      </c>
      <c r="E9" s="9">
        <v>5</v>
      </c>
      <c r="F9" s="9">
        <v>6</v>
      </c>
      <c r="G9" s="9">
        <v>7</v>
      </c>
    </row>
    <row r="10" spans="1:7" ht="15.75">
      <c r="A10" s="61" t="s">
        <v>0</v>
      </c>
      <c r="B10" s="57">
        <v>20716177935.43</v>
      </c>
      <c r="C10" s="57">
        <v>13592139107.57</v>
      </c>
      <c r="D10" s="58">
        <f>$C10/$B10*100</f>
        <v>65.61122978348212</v>
      </c>
      <c r="E10" s="58">
        <f>IF(ABS($D10-$D$47)&gt;5,ABS($D10-$D$47)-5,0)</f>
        <v>0</v>
      </c>
      <c r="F10" s="58">
        <f>($E10-$B$4)/($B$3-$B$4)</f>
        <v>0</v>
      </c>
      <c r="G10" s="57">
        <f>$F10*$B$5</f>
        <v>0</v>
      </c>
    </row>
    <row r="11" spans="1:7" ht="15.75">
      <c r="A11" s="61" t="s">
        <v>1</v>
      </c>
      <c r="B11" s="57">
        <v>8178187000</v>
      </c>
      <c r="C11" s="57">
        <v>5753477982.570001</v>
      </c>
      <c r="D11" s="58">
        <f aca="true" t="shared" si="0" ref="D11:D46">$C11/$B11*100</f>
        <v>70.35150923511532</v>
      </c>
      <c r="E11" s="58">
        <f aca="true" t="shared" si="1" ref="E11:E46">IF(ABS($D11-$D$47)&gt;5,ABS($D11-$D$47)-5,0)</f>
        <v>0</v>
      </c>
      <c r="F11" s="58">
        <f aca="true" t="shared" si="2" ref="F11:F46">($E11-$B$4)/($B$3-$B$4)</f>
        <v>0</v>
      </c>
      <c r="G11" s="57">
        <f aca="true" t="shared" si="3" ref="G11:G46">$F11*$B$5</f>
        <v>0</v>
      </c>
    </row>
    <row r="12" spans="1:7" ht="15.75">
      <c r="A12" s="61" t="s">
        <v>2</v>
      </c>
      <c r="B12" s="57">
        <v>1729345436.47</v>
      </c>
      <c r="C12" s="57">
        <v>1259412292.61</v>
      </c>
      <c r="D12" s="58">
        <f t="shared" si="0"/>
        <v>72.82595287502282</v>
      </c>
      <c r="E12" s="58">
        <f t="shared" si="1"/>
        <v>0</v>
      </c>
      <c r="F12" s="58">
        <f t="shared" si="2"/>
        <v>0</v>
      </c>
      <c r="G12" s="57">
        <f t="shared" si="3"/>
        <v>0</v>
      </c>
    </row>
    <row r="13" spans="1:7" ht="15.75">
      <c r="A13" s="61" t="s">
        <v>3</v>
      </c>
      <c r="B13" s="57">
        <v>1451204000</v>
      </c>
      <c r="C13" s="57">
        <v>944752493.17</v>
      </c>
      <c r="D13" s="58">
        <f t="shared" si="0"/>
        <v>65.10128783892547</v>
      </c>
      <c r="E13" s="58">
        <f t="shared" si="1"/>
        <v>0</v>
      </c>
      <c r="F13" s="58">
        <f t="shared" si="2"/>
        <v>0</v>
      </c>
      <c r="G13" s="57">
        <f t="shared" si="3"/>
        <v>0</v>
      </c>
    </row>
    <row r="14" spans="1:7" ht="15.75">
      <c r="A14" s="61" t="s">
        <v>4</v>
      </c>
      <c r="B14" s="57">
        <v>581600000</v>
      </c>
      <c r="C14" s="57">
        <v>415971826.45000005</v>
      </c>
      <c r="D14" s="58">
        <f t="shared" si="0"/>
        <v>71.52197841299864</v>
      </c>
      <c r="E14" s="58">
        <f t="shared" si="1"/>
        <v>0</v>
      </c>
      <c r="F14" s="58">
        <f t="shared" si="2"/>
        <v>0</v>
      </c>
      <c r="G14" s="57">
        <f t="shared" si="3"/>
        <v>0</v>
      </c>
    </row>
    <row r="15" spans="1:7" ht="15.75">
      <c r="A15" s="61" t="s">
        <v>5</v>
      </c>
      <c r="B15" s="57">
        <v>501367400</v>
      </c>
      <c r="C15" s="57">
        <v>377312239.33000004</v>
      </c>
      <c r="D15" s="58">
        <f t="shared" si="0"/>
        <v>75.25663601781848</v>
      </c>
      <c r="E15" s="58">
        <f t="shared" si="1"/>
        <v>2.0083793567151105</v>
      </c>
      <c r="F15" s="58">
        <f t="shared" si="2"/>
        <v>0.23138261727976578</v>
      </c>
      <c r="G15" s="57">
        <f t="shared" si="3"/>
        <v>-0.23138261727976578</v>
      </c>
    </row>
    <row r="16" spans="1:7" ht="15.75">
      <c r="A16" s="61" t="s">
        <v>6</v>
      </c>
      <c r="B16" s="57">
        <v>489516052.19</v>
      </c>
      <c r="C16" s="57">
        <v>327467421.82</v>
      </c>
      <c r="D16" s="58">
        <f t="shared" si="0"/>
        <v>66.89615597996719</v>
      </c>
      <c r="E16" s="58">
        <f t="shared" si="1"/>
        <v>0</v>
      </c>
      <c r="F16" s="58">
        <f t="shared" si="2"/>
        <v>0</v>
      </c>
      <c r="G16" s="57">
        <f t="shared" si="3"/>
        <v>0</v>
      </c>
    </row>
    <row r="17" spans="1:7" ht="15.75">
      <c r="A17" s="61" t="s">
        <v>7</v>
      </c>
      <c r="B17" s="57">
        <v>140561900</v>
      </c>
      <c r="C17" s="57">
        <v>98456437.99000001</v>
      </c>
      <c r="D17" s="58">
        <f t="shared" si="0"/>
        <v>70.04489693864411</v>
      </c>
      <c r="E17" s="58">
        <f t="shared" si="1"/>
        <v>0</v>
      </c>
      <c r="F17" s="58">
        <f t="shared" si="2"/>
        <v>0</v>
      </c>
      <c r="G17" s="57">
        <f t="shared" si="3"/>
        <v>0</v>
      </c>
    </row>
    <row r="18" spans="1:7" ht="15.75">
      <c r="A18" s="61" t="s">
        <v>8</v>
      </c>
      <c r="B18" s="57">
        <v>517691324</v>
      </c>
      <c r="C18" s="57">
        <v>329149365.08</v>
      </c>
      <c r="D18" s="58">
        <f t="shared" si="0"/>
        <v>63.580235909072336</v>
      </c>
      <c r="E18" s="58">
        <f t="shared" si="1"/>
        <v>0</v>
      </c>
      <c r="F18" s="58">
        <f t="shared" si="2"/>
        <v>0</v>
      </c>
      <c r="G18" s="57">
        <f t="shared" si="3"/>
        <v>0</v>
      </c>
    </row>
    <row r="19" spans="1:7" ht="15.75">
      <c r="A19" s="61" t="s">
        <v>9</v>
      </c>
      <c r="B19" s="57">
        <v>279662000</v>
      </c>
      <c r="C19" s="57">
        <v>153733632.76</v>
      </c>
      <c r="D19" s="58">
        <f t="shared" si="0"/>
        <v>54.971226966838536</v>
      </c>
      <c r="E19" s="58">
        <f t="shared" si="1"/>
        <v>8.277029694264833</v>
      </c>
      <c r="F19" s="58">
        <f t="shared" si="2"/>
        <v>0.9535851817824689</v>
      </c>
      <c r="G19" s="57">
        <f t="shared" si="3"/>
        <v>-0.9535851817824689</v>
      </c>
    </row>
    <row r="20" spans="1:7" ht="15.75">
      <c r="A20" s="61" t="s">
        <v>10</v>
      </c>
      <c r="B20" s="57">
        <v>120225239.08</v>
      </c>
      <c r="C20" s="57">
        <v>87714168.51</v>
      </c>
      <c r="D20" s="58">
        <f t="shared" si="0"/>
        <v>72.9581984458633</v>
      </c>
      <c r="E20" s="58">
        <f t="shared" si="1"/>
        <v>0</v>
      </c>
      <c r="F20" s="58">
        <f t="shared" si="2"/>
        <v>0</v>
      </c>
      <c r="G20" s="57">
        <f t="shared" si="3"/>
        <v>0</v>
      </c>
    </row>
    <row r="21" spans="1:7" ht="15.75">
      <c r="A21" s="61" t="s">
        <v>11</v>
      </c>
      <c r="B21" s="57">
        <v>412506924.14</v>
      </c>
      <c r="C21" s="57">
        <v>276368851.95</v>
      </c>
      <c r="D21" s="58">
        <f t="shared" si="0"/>
        <v>66.99738495933796</v>
      </c>
      <c r="E21" s="58">
        <f t="shared" si="1"/>
        <v>0</v>
      </c>
      <c r="F21" s="58">
        <f t="shared" si="2"/>
        <v>0</v>
      </c>
      <c r="G21" s="57">
        <f t="shared" si="3"/>
        <v>0</v>
      </c>
    </row>
    <row r="22" spans="1:7" ht="15.75">
      <c r="A22" s="61" t="s">
        <v>12</v>
      </c>
      <c r="B22" s="57">
        <v>153240347</v>
      </c>
      <c r="C22" s="57">
        <v>111655015.39</v>
      </c>
      <c r="D22" s="58">
        <f t="shared" si="0"/>
        <v>72.86267459966011</v>
      </c>
      <c r="E22" s="58">
        <f t="shared" si="1"/>
        <v>0</v>
      </c>
      <c r="F22" s="58">
        <f t="shared" si="2"/>
        <v>0</v>
      </c>
      <c r="G22" s="57">
        <f t="shared" si="3"/>
        <v>0</v>
      </c>
    </row>
    <row r="23" spans="1:7" ht="15.75">
      <c r="A23" s="61" t="s">
        <v>13</v>
      </c>
      <c r="B23" s="57">
        <v>239630735.16</v>
      </c>
      <c r="C23" s="57">
        <v>177996391.76</v>
      </c>
      <c r="D23" s="58">
        <f t="shared" si="0"/>
        <v>74.27944985485809</v>
      </c>
      <c r="E23" s="58">
        <f t="shared" si="1"/>
        <v>1.0311931937547172</v>
      </c>
      <c r="F23" s="58">
        <f t="shared" si="2"/>
        <v>0.11880234642637418</v>
      </c>
      <c r="G23" s="57">
        <f t="shared" si="3"/>
        <v>-0.11880234642637418</v>
      </c>
    </row>
    <row r="24" spans="1:7" ht="15.75">
      <c r="A24" s="61" t="s">
        <v>14</v>
      </c>
      <c r="B24" s="57">
        <v>233096835.73000002</v>
      </c>
      <c r="C24" s="57">
        <v>183435268.7</v>
      </c>
      <c r="D24" s="58">
        <f t="shared" si="0"/>
        <v>78.69487722796724</v>
      </c>
      <c r="E24" s="58">
        <f t="shared" si="1"/>
        <v>5.446620566863871</v>
      </c>
      <c r="F24" s="58">
        <f t="shared" si="2"/>
        <v>0.6274976477312655</v>
      </c>
      <c r="G24" s="57">
        <f t="shared" si="3"/>
        <v>-0.6274976477312655</v>
      </c>
    </row>
    <row r="25" spans="1:7" ht="15.75">
      <c r="A25" s="61" t="s">
        <v>15</v>
      </c>
      <c r="B25" s="57">
        <v>158208760.26</v>
      </c>
      <c r="C25" s="57">
        <v>109445412.27</v>
      </c>
      <c r="D25" s="58">
        <f t="shared" si="0"/>
        <v>69.17784583491938</v>
      </c>
      <c r="E25" s="58">
        <f t="shared" si="1"/>
        <v>0</v>
      </c>
      <c r="F25" s="58">
        <f t="shared" si="2"/>
        <v>0</v>
      </c>
      <c r="G25" s="57">
        <f t="shared" si="3"/>
        <v>0</v>
      </c>
    </row>
    <row r="26" spans="1:7" ht="15.75">
      <c r="A26" s="61" t="s">
        <v>16</v>
      </c>
      <c r="B26" s="57">
        <v>1700486479.74</v>
      </c>
      <c r="C26" s="57">
        <v>1299036180.13</v>
      </c>
      <c r="D26" s="58">
        <f t="shared" si="0"/>
        <v>76.39203225706443</v>
      </c>
      <c r="E26" s="58">
        <f t="shared" si="1"/>
        <v>3.14377559596106</v>
      </c>
      <c r="F26" s="58">
        <f t="shared" si="2"/>
        <v>0.36219005294073514</v>
      </c>
      <c r="G26" s="57">
        <f t="shared" si="3"/>
        <v>-0.36219005294073514</v>
      </c>
    </row>
    <row r="27" spans="1:7" ht="15.75">
      <c r="A27" s="61" t="s">
        <v>17</v>
      </c>
      <c r="B27" s="57">
        <v>92243230.29</v>
      </c>
      <c r="C27" s="57">
        <v>70765390.03</v>
      </c>
      <c r="D27" s="58">
        <f t="shared" si="0"/>
        <v>76.7160796597467</v>
      </c>
      <c r="E27" s="58">
        <f t="shared" si="1"/>
        <v>3.467822998643328</v>
      </c>
      <c r="F27" s="58">
        <f t="shared" si="2"/>
        <v>0.3995231075275779</v>
      </c>
      <c r="G27" s="57">
        <f t="shared" si="3"/>
        <v>-0.3995231075275779</v>
      </c>
    </row>
    <row r="28" spans="1:7" ht="15.75">
      <c r="A28" s="61" t="s">
        <v>18</v>
      </c>
      <c r="B28" s="57">
        <v>133413953.96000001</v>
      </c>
      <c r="C28" s="57">
        <v>100776004.92</v>
      </c>
      <c r="D28" s="58">
        <f t="shared" si="0"/>
        <v>75.53633029286766</v>
      </c>
      <c r="E28" s="58">
        <f t="shared" si="1"/>
        <v>2.2880736317642913</v>
      </c>
      <c r="F28" s="58">
        <f t="shared" si="2"/>
        <v>0.2636058091696166</v>
      </c>
      <c r="G28" s="57">
        <f t="shared" si="3"/>
        <v>-0.2636058091696166</v>
      </c>
    </row>
    <row r="29" spans="1:7" ht="15.75">
      <c r="A29" s="61" t="s">
        <v>19</v>
      </c>
      <c r="B29" s="57">
        <v>405265444.51</v>
      </c>
      <c r="C29" s="57">
        <v>307438529.81</v>
      </c>
      <c r="D29" s="58">
        <f t="shared" si="0"/>
        <v>75.86102737718461</v>
      </c>
      <c r="E29" s="58">
        <f t="shared" si="1"/>
        <v>2.6127707160812434</v>
      </c>
      <c r="F29" s="58">
        <f t="shared" si="2"/>
        <v>0.3010137126820516</v>
      </c>
      <c r="G29" s="57">
        <f t="shared" si="3"/>
        <v>-0.3010137126820516</v>
      </c>
    </row>
    <row r="30" spans="1:7" ht="15.75">
      <c r="A30" s="61" t="s">
        <v>20</v>
      </c>
      <c r="B30" s="57">
        <v>444919531.26</v>
      </c>
      <c r="C30" s="57">
        <v>312938155.75</v>
      </c>
      <c r="D30" s="58">
        <f t="shared" si="0"/>
        <v>70.3358998117632</v>
      </c>
      <c r="E30" s="58">
        <f t="shared" si="1"/>
        <v>0</v>
      </c>
      <c r="F30" s="58">
        <f t="shared" si="2"/>
        <v>0</v>
      </c>
      <c r="G30" s="57">
        <f t="shared" si="3"/>
        <v>0</v>
      </c>
    </row>
    <row r="31" spans="1:7" ht="15.75">
      <c r="A31" s="61" t="s">
        <v>21</v>
      </c>
      <c r="B31" s="57">
        <v>155220624.56</v>
      </c>
      <c r="C31" s="57">
        <v>88540629.21</v>
      </c>
      <c r="D31" s="58">
        <f t="shared" si="0"/>
        <v>57.04179419518758</v>
      </c>
      <c r="E31" s="58">
        <f t="shared" si="1"/>
        <v>6.206462465915791</v>
      </c>
      <c r="F31" s="58">
        <f t="shared" si="2"/>
        <v>0.7150379855332937</v>
      </c>
      <c r="G31" s="57">
        <f t="shared" si="3"/>
        <v>-0.7150379855332937</v>
      </c>
    </row>
    <row r="32" spans="1:7" ht="15.75">
      <c r="A32" s="61" t="s">
        <v>22</v>
      </c>
      <c r="B32" s="57">
        <v>189692721.91</v>
      </c>
      <c r="C32" s="57">
        <v>155411761.67000002</v>
      </c>
      <c r="D32" s="58">
        <f t="shared" si="0"/>
        <v>81.92816261223525</v>
      </c>
      <c r="E32" s="58">
        <f t="shared" si="1"/>
        <v>8.679905951131886</v>
      </c>
      <c r="F32" s="58">
        <f t="shared" si="2"/>
        <v>1</v>
      </c>
      <c r="G32" s="57">
        <f t="shared" si="3"/>
        <v>-1</v>
      </c>
    </row>
    <row r="33" spans="1:7" ht="15.75">
      <c r="A33" s="61" t="s">
        <v>23</v>
      </c>
      <c r="B33" s="57">
        <v>244117270</v>
      </c>
      <c r="C33" s="57">
        <v>169072692.66</v>
      </c>
      <c r="D33" s="58">
        <f t="shared" si="0"/>
        <v>69.25880035443622</v>
      </c>
      <c r="E33" s="58">
        <f t="shared" si="1"/>
        <v>0</v>
      </c>
      <c r="F33" s="58">
        <f t="shared" si="2"/>
        <v>0</v>
      </c>
      <c r="G33" s="57">
        <f t="shared" si="3"/>
        <v>0</v>
      </c>
    </row>
    <row r="34" spans="1:7" ht="15.75">
      <c r="A34" s="61" t="s">
        <v>24</v>
      </c>
      <c r="B34" s="57">
        <v>800139818.03</v>
      </c>
      <c r="C34" s="57">
        <v>565207726.91</v>
      </c>
      <c r="D34" s="58">
        <f t="shared" si="0"/>
        <v>70.63862017285689</v>
      </c>
      <c r="E34" s="58">
        <f t="shared" si="1"/>
        <v>0</v>
      </c>
      <c r="F34" s="58">
        <f t="shared" si="2"/>
        <v>0</v>
      </c>
      <c r="G34" s="57">
        <f t="shared" si="3"/>
        <v>0</v>
      </c>
    </row>
    <row r="35" spans="1:7" ht="15.75">
      <c r="A35" s="61" t="s">
        <v>25</v>
      </c>
      <c r="B35" s="57">
        <v>81223658.94</v>
      </c>
      <c r="C35" s="57">
        <v>53392863.51</v>
      </c>
      <c r="D35" s="58">
        <f t="shared" si="0"/>
        <v>65.73560488015119</v>
      </c>
      <c r="E35" s="58">
        <f t="shared" si="1"/>
        <v>0</v>
      </c>
      <c r="F35" s="58">
        <f t="shared" si="2"/>
        <v>0</v>
      </c>
      <c r="G35" s="57">
        <f t="shared" si="3"/>
        <v>0</v>
      </c>
    </row>
    <row r="36" spans="1:7" ht="15.75">
      <c r="A36" s="61" t="s">
        <v>26</v>
      </c>
      <c r="B36" s="57">
        <v>430718650.49</v>
      </c>
      <c r="C36" s="57">
        <v>307637532.01</v>
      </c>
      <c r="D36" s="58">
        <f t="shared" si="0"/>
        <v>71.42424217294078</v>
      </c>
      <c r="E36" s="58">
        <f t="shared" si="1"/>
        <v>0</v>
      </c>
      <c r="F36" s="58">
        <f t="shared" si="2"/>
        <v>0</v>
      </c>
      <c r="G36" s="57">
        <f t="shared" si="3"/>
        <v>0</v>
      </c>
    </row>
    <row r="37" spans="1:7" ht="15.75">
      <c r="A37" s="61" t="s">
        <v>27</v>
      </c>
      <c r="B37" s="57">
        <v>314147023.39</v>
      </c>
      <c r="C37" s="57">
        <v>243983903.97</v>
      </c>
      <c r="D37" s="58">
        <f t="shared" si="0"/>
        <v>77.66551512636951</v>
      </c>
      <c r="E37" s="58">
        <f t="shared" si="1"/>
        <v>4.417258465266144</v>
      </c>
      <c r="F37" s="58">
        <f t="shared" si="2"/>
        <v>0.5089062589082685</v>
      </c>
      <c r="G37" s="57">
        <f t="shared" si="3"/>
        <v>-0.5089062589082685</v>
      </c>
    </row>
    <row r="38" spans="1:7" ht="15.75">
      <c r="A38" s="61" t="s">
        <v>28</v>
      </c>
      <c r="B38" s="57">
        <v>224972033.64</v>
      </c>
      <c r="C38" s="57">
        <v>161913957.06999996</v>
      </c>
      <c r="D38" s="58">
        <f t="shared" si="0"/>
        <v>71.97070429166965</v>
      </c>
      <c r="E38" s="58">
        <f t="shared" si="1"/>
        <v>0</v>
      </c>
      <c r="F38" s="58">
        <f t="shared" si="2"/>
        <v>0</v>
      </c>
      <c r="G38" s="57">
        <f t="shared" si="3"/>
        <v>0</v>
      </c>
    </row>
    <row r="39" spans="1:7" ht="15.75">
      <c r="A39" s="61" t="s">
        <v>29</v>
      </c>
      <c r="B39" s="57">
        <v>211516329.68</v>
      </c>
      <c r="C39" s="57">
        <v>140105195.22</v>
      </c>
      <c r="D39" s="58">
        <f t="shared" si="0"/>
        <v>66.23847692136259</v>
      </c>
      <c r="E39" s="58">
        <f t="shared" si="1"/>
        <v>0</v>
      </c>
      <c r="F39" s="58">
        <f t="shared" si="2"/>
        <v>0</v>
      </c>
      <c r="G39" s="57">
        <f t="shared" si="3"/>
        <v>0</v>
      </c>
    </row>
    <row r="40" spans="1:7" ht="15.75">
      <c r="A40" s="61" t="s">
        <v>30</v>
      </c>
      <c r="B40" s="57">
        <v>557097617.5400001</v>
      </c>
      <c r="C40" s="57">
        <v>373299806.45</v>
      </c>
      <c r="D40" s="58">
        <f t="shared" si="0"/>
        <v>67.00797036224925</v>
      </c>
      <c r="E40" s="58">
        <f t="shared" si="1"/>
        <v>0</v>
      </c>
      <c r="F40" s="58">
        <f t="shared" si="2"/>
        <v>0</v>
      </c>
      <c r="G40" s="57">
        <f t="shared" si="3"/>
        <v>0</v>
      </c>
    </row>
    <row r="41" spans="1:7" ht="15.75">
      <c r="A41" s="61" t="s">
        <v>31</v>
      </c>
      <c r="B41" s="57">
        <v>938778905.11</v>
      </c>
      <c r="C41" s="57">
        <v>660787065.9200001</v>
      </c>
      <c r="D41" s="58">
        <f t="shared" si="0"/>
        <v>70.38793291191107</v>
      </c>
      <c r="E41" s="58">
        <f t="shared" si="1"/>
        <v>0</v>
      </c>
      <c r="F41" s="58">
        <f t="shared" si="2"/>
        <v>0</v>
      </c>
      <c r="G41" s="57">
        <f t="shared" si="3"/>
        <v>0</v>
      </c>
    </row>
    <row r="42" spans="1:7" ht="15.75">
      <c r="A42" s="61" t="s">
        <v>32</v>
      </c>
      <c r="B42" s="57">
        <v>270797457.39</v>
      </c>
      <c r="C42" s="57">
        <v>190540034.06</v>
      </c>
      <c r="D42" s="58">
        <f t="shared" si="0"/>
        <v>70.36256392377643</v>
      </c>
      <c r="E42" s="58">
        <f t="shared" si="1"/>
        <v>0</v>
      </c>
      <c r="F42" s="58">
        <f t="shared" si="2"/>
        <v>0</v>
      </c>
      <c r="G42" s="57">
        <f t="shared" si="3"/>
        <v>0</v>
      </c>
    </row>
    <row r="43" spans="1:7" ht="15.75">
      <c r="A43" s="61" t="s">
        <v>33</v>
      </c>
      <c r="B43" s="57">
        <v>178181200.21</v>
      </c>
      <c r="C43" s="57">
        <v>124312857.23</v>
      </c>
      <c r="D43" s="58">
        <f t="shared" si="0"/>
        <v>69.7676618428251</v>
      </c>
      <c r="E43" s="58">
        <f t="shared" si="1"/>
        <v>0</v>
      </c>
      <c r="F43" s="58">
        <f t="shared" si="2"/>
        <v>0</v>
      </c>
      <c r="G43" s="57">
        <f t="shared" si="3"/>
        <v>0</v>
      </c>
    </row>
    <row r="44" spans="1:7" ht="15.75">
      <c r="A44" s="61" t="s">
        <v>34</v>
      </c>
      <c r="B44" s="57">
        <v>120450752.25</v>
      </c>
      <c r="C44" s="57">
        <v>89168313.75</v>
      </c>
      <c r="D44" s="58">
        <f t="shared" si="0"/>
        <v>74.02885584718297</v>
      </c>
      <c r="E44" s="58">
        <f t="shared" si="1"/>
        <v>0.7805991860795984</v>
      </c>
      <c r="F44" s="58">
        <f t="shared" si="2"/>
        <v>0.0899317562280506</v>
      </c>
      <c r="G44" s="57">
        <f t="shared" si="3"/>
        <v>-0.0899317562280506</v>
      </c>
    </row>
    <row r="45" spans="1:7" ht="15.75">
      <c r="A45" s="61" t="s">
        <v>35</v>
      </c>
      <c r="B45" s="57">
        <v>125804284.5</v>
      </c>
      <c r="C45" s="57">
        <v>90492525.85000001</v>
      </c>
      <c r="D45" s="58">
        <f t="shared" si="0"/>
        <v>71.93119551504624</v>
      </c>
      <c r="E45" s="58">
        <f t="shared" si="1"/>
        <v>0</v>
      </c>
      <c r="F45" s="58">
        <f t="shared" si="2"/>
        <v>0</v>
      </c>
      <c r="G45" s="57">
        <f t="shared" si="3"/>
        <v>0</v>
      </c>
    </row>
    <row r="46" spans="1:7" ht="15.75">
      <c r="A46" s="61" t="s">
        <v>36</v>
      </c>
      <c r="B46" s="57">
        <v>235227148.13</v>
      </c>
      <c r="C46" s="57">
        <v>159832226.54</v>
      </c>
      <c r="D46" s="58">
        <f t="shared" si="0"/>
        <v>67.94803567982194</v>
      </c>
      <c r="E46" s="58">
        <f t="shared" si="1"/>
        <v>0</v>
      </c>
      <c r="F46" s="58">
        <f t="shared" si="2"/>
        <v>0</v>
      </c>
      <c r="G46" s="57">
        <f t="shared" si="3"/>
        <v>0</v>
      </c>
    </row>
    <row r="47" spans="1:7" ht="15.75">
      <c r="A47" s="14" t="s">
        <v>90</v>
      </c>
      <c r="B47" s="35">
        <f>AVERAGE(B$10:B$46)</f>
        <v>1182611784.4591894</v>
      </c>
      <c r="C47" s="35">
        <f>AVERAGE(C$10:C$46)</f>
        <v>807111925.9621621</v>
      </c>
      <c r="D47" s="15">
        <f>$C47/$B47*100</f>
        <v>68.24825666110337</v>
      </c>
      <c r="E47" s="22"/>
      <c r="F47" s="22"/>
      <c r="G47" s="22"/>
    </row>
    <row r="48" ht="15.75">
      <c r="A48" s="6" t="s">
        <v>184</v>
      </c>
    </row>
    <row r="49" ht="15.75">
      <c r="D49" s="20"/>
    </row>
    <row r="50" spans="2:4" ht="15.75">
      <c r="B50" s="20">
        <f>SUM(B$10:B$46)</f>
        <v>43756636024.990005</v>
      </c>
      <c r="C50" s="20">
        <f>SUM(C$10:C$46)</f>
        <v>29863141260.6</v>
      </c>
      <c r="D50" s="20">
        <f>C50/B50*100</f>
        <v>68.24825666110337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conditionalFormatting sqref="G10:G46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37.5" customHeight="1">
      <c r="A1" s="112" t="s">
        <v>187</v>
      </c>
      <c r="B1" s="113"/>
      <c r="C1" s="113"/>
      <c r="D1" s="113"/>
      <c r="E1" s="113"/>
    </row>
    <row r="3" spans="1:2" ht="15.75">
      <c r="A3" s="10" t="s">
        <v>53</v>
      </c>
      <c r="B3" s="10">
        <v>1</v>
      </c>
    </row>
    <row r="4" spans="1:2" ht="15.75">
      <c r="A4" s="11" t="s">
        <v>54</v>
      </c>
      <c r="B4" s="11">
        <v>0</v>
      </c>
    </row>
    <row r="5" spans="1:2" ht="15.75">
      <c r="A5" s="12" t="s">
        <v>55</v>
      </c>
      <c r="B5" s="13" t="s">
        <v>40</v>
      </c>
    </row>
    <row r="7" spans="1:5" s="8" customFormat="1" ht="78.75">
      <c r="A7" s="3" t="s">
        <v>38</v>
      </c>
      <c r="B7" s="3" t="s">
        <v>360</v>
      </c>
      <c r="C7" s="9" t="s">
        <v>80</v>
      </c>
      <c r="D7" s="9" t="s">
        <v>81</v>
      </c>
      <c r="E7" s="9" t="s">
        <v>82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73"/>
      <c r="C9" s="19">
        <f>IF($B9="+",1,0)</f>
        <v>0</v>
      </c>
      <c r="D9" s="19">
        <f>($C9-$B$4)/($B$3-$B$4)</f>
        <v>0</v>
      </c>
      <c r="E9" s="80">
        <f>$D9*$B$5</f>
        <v>0</v>
      </c>
    </row>
    <row r="10" spans="1:5" ht="15.75">
      <c r="A10" s="5" t="s">
        <v>1</v>
      </c>
      <c r="B10" s="73"/>
      <c r="C10" s="19">
        <f aca="true" t="shared" si="0" ref="C10:C45">IF($B10="+",1,0)</f>
        <v>0</v>
      </c>
      <c r="D10" s="19">
        <f aca="true" t="shared" si="1" ref="D10:D45">($C10-$B$4)/($B$3-$B$4)</f>
        <v>0</v>
      </c>
      <c r="E10" s="80">
        <f aca="true" t="shared" si="2" ref="E10:E45">$D10*$B$5</f>
        <v>0</v>
      </c>
    </row>
    <row r="11" spans="1:5" ht="15.75">
      <c r="A11" s="5" t="s">
        <v>2</v>
      </c>
      <c r="B11" s="73"/>
      <c r="C11" s="19">
        <f t="shared" si="0"/>
        <v>0</v>
      </c>
      <c r="D11" s="19">
        <f t="shared" si="1"/>
        <v>0</v>
      </c>
      <c r="E11" s="80">
        <f t="shared" si="2"/>
        <v>0</v>
      </c>
    </row>
    <row r="12" spans="1:5" ht="15.75">
      <c r="A12" s="5" t="s">
        <v>3</v>
      </c>
      <c r="B12" s="73"/>
      <c r="C12" s="19">
        <f t="shared" si="0"/>
        <v>0</v>
      </c>
      <c r="D12" s="19">
        <f t="shared" si="1"/>
        <v>0</v>
      </c>
      <c r="E12" s="80">
        <f t="shared" si="2"/>
        <v>0</v>
      </c>
    </row>
    <row r="13" spans="1:5" ht="15.75">
      <c r="A13" s="5" t="s">
        <v>4</v>
      </c>
      <c r="B13" s="74"/>
      <c r="C13" s="19">
        <f t="shared" si="0"/>
        <v>0</v>
      </c>
      <c r="D13" s="19">
        <f t="shared" si="1"/>
        <v>0</v>
      </c>
      <c r="E13" s="80">
        <f t="shared" si="2"/>
        <v>0</v>
      </c>
    </row>
    <row r="14" spans="1:5" ht="15.75">
      <c r="A14" s="5" t="s">
        <v>5</v>
      </c>
      <c r="B14" s="73"/>
      <c r="C14" s="19">
        <f t="shared" si="0"/>
        <v>0</v>
      </c>
      <c r="D14" s="19">
        <f t="shared" si="1"/>
        <v>0</v>
      </c>
      <c r="E14" s="80">
        <f t="shared" si="2"/>
        <v>0</v>
      </c>
    </row>
    <row r="15" spans="1:5" ht="15.75">
      <c r="A15" s="5" t="s">
        <v>6</v>
      </c>
      <c r="B15" s="74"/>
      <c r="C15" s="19">
        <f t="shared" si="0"/>
        <v>0</v>
      </c>
      <c r="D15" s="19">
        <f t="shared" si="1"/>
        <v>0</v>
      </c>
      <c r="E15" s="80">
        <f t="shared" si="2"/>
        <v>0</v>
      </c>
    </row>
    <row r="16" spans="1:5" ht="15.75">
      <c r="A16" s="5" t="s">
        <v>7</v>
      </c>
      <c r="B16" s="74"/>
      <c r="C16" s="19">
        <f t="shared" si="0"/>
        <v>0</v>
      </c>
      <c r="D16" s="19">
        <f t="shared" si="1"/>
        <v>0</v>
      </c>
      <c r="E16" s="80">
        <f t="shared" si="2"/>
        <v>0</v>
      </c>
    </row>
    <row r="17" spans="1:5" ht="15.75">
      <c r="A17" s="5" t="s">
        <v>8</v>
      </c>
      <c r="B17" s="74"/>
      <c r="C17" s="19">
        <f t="shared" si="0"/>
        <v>0</v>
      </c>
      <c r="D17" s="19">
        <f t="shared" si="1"/>
        <v>0</v>
      </c>
      <c r="E17" s="80">
        <f t="shared" si="2"/>
        <v>0</v>
      </c>
    </row>
    <row r="18" spans="1:5" ht="15.75">
      <c r="A18" s="61" t="s">
        <v>9</v>
      </c>
      <c r="B18" s="74" t="s">
        <v>37</v>
      </c>
      <c r="C18" s="19">
        <f t="shared" si="0"/>
        <v>1</v>
      </c>
      <c r="D18" s="19">
        <f t="shared" si="1"/>
        <v>1</v>
      </c>
      <c r="E18" s="80">
        <f t="shared" si="2"/>
        <v>-1</v>
      </c>
    </row>
    <row r="19" spans="1:5" ht="15.75">
      <c r="A19" s="61" t="s">
        <v>10</v>
      </c>
      <c r="B19" s="74"/>
      <c r="C19" s="19">
        <f t="shared" si="0"/>
        <v>0</v>
      </c>
      <c r="D19" s="19">
        <f t="shared" si="1"/>
        <v>0</v>
      </c>
      <c r="E19" s="80">
        <f t="shared" si="2"/>
        <v>0</v>
      </c>
    </row>
    <row r="20" spans="1:5" ht="15.75">
      <c r="A20" s="61" t="s">
        <v>11</v>
      </c>
      <c r="B20" s="74"/>
      <c r="C20" s="19">
        <f t="shared" si="0"/>
        <v>0</v>
      </c>
      <c r="D20" s="19">
        <f t="shared" si="1"/>
        <v>0</v>
      </c>
      <c r="E20" s="80">
        <f t="shared" si="2"/>
        <v>0</v>
      </c>
    </row>
    <row r="21" spans="1:5" ht="15.75">
      <c r="A21" s="61" t="s">
        <v>12</v>
      </c>
      <c r="B21" s="74"/>
      <c r="C21" s="19">
        <f t="shared" si="0"/>
        <v>0</v>
      </c>
      <c r="D21" s="19">
        <f t="shared" si="1"/>
        <v>0</v>
      </c>
      <c r="E21" s="80">
        <f t="shared" si="2"/>
        <v>0</v>
      </c>
    </row>
    <row r="22" spans="1:5" ht="15.75">
      <c r="A22" s="61" t="s">
        <v>13</v>
      </c>
      <c r="B22" s="73"/>
      <c r="C22" s="19">
        <f t="shared" si="0"/>
        <v>0</v>
      </c>
      <c r="D22" s="19">
        <f t="shared" si="1"/>
        <v>0</v>
      </c>
      <c r="E22" s="80">
        <f t="shared" si="2"/>
        <v>0</v>
      </c>
    </row>
    <row r="23" spans="1:5" ht="15.75">
      <c r="A23" s="61" t="s">
        <v>14</v>
      </c>
      <c r="B23" s="74"/>
      <c r="C23" s="19">
        <f t="shared" si="0"/>
        <v>0</v>
      </c>
      <c r="D23" s="19">
        <f t="shared" si="1"/>
        <v>0</v>
      </c>
      <c r="E23" s="80">
        <f t="shared" si="2"/>
        <v>0</v>
      </c>
    </row>
    <row r="24" spans="1:5" ht="15.75">
      <c r="A24" s="61" t="s">
        <v>15</v>
      </c>
      <c r="B24" s="74"/>
      <c r="C24" s="19">
        <f t="shared" si="0"/>
        <v>0</v>
      </c>
      <c r="D24" s="19">
        <f t="shared" si="1"/>
        <v>0</v>
      </c>
      <c r="E24" s="80">
        <f t="shared" si="2"/>
        <v>0</v>
      </c>
    </row>
    <row r="25" spans="1:5" ht="15.75">
      <c r="A25" s="61" t="s">
        <v>16</v>
      </c>
      <c r="B25" s="73"/>
      <c r="C25" s="19">
        <f t="shared" si="0"/>
        <v>0</v>
      </c>
      <c r="D25" s="19">
        <f t="shared" si="1"/>
        <v>0</v>
      </c>
      <c r="E25" s="80">
        <f t="shared" si="2"/>
        <v>0</v>
      </c>
    </row>
    <row r="26" spans="1:5" ht="15.75">
      <c r="A26" s="61" t="s">
        <v>17</v>
      </c>
      <c r="B26" s="73"/>
      <c r="C26" s="19">
        <f t="shared" si="0"/>
        <v>0</v>
      </c>
      <c r="D26" s="19">
        <f t="shared" si="1"/>
        <v>0</v>
      </c>
      <c r="E26" s="80">
        <f t="shared" si="2"/>
        <v>0</v>
      </c>
    </row>
    <row r="27" spans="1:5" ht="15.75">
      <c r="A27" s="61" t="s">
        <v>18</v>
      </c>
      <c r="B27" s="74"/>
      <c r="C27" s="19">
        <f t="shared" si="0"/>
        <v>0</v>
      </c>
      <c r="D27" s="19">
        <f t="shared" si="1"/>
        <v>0</v>
      </c>
      <c r="E27" s="80">
        <f t="shared" si="2"/>
        <v>0</v>
      </c>
    </row>
    <row r="28" spans="1:5" ht="15.75">
      <c r="A28" s="61" t="s">
        <v>19</v>
      </c>
      <c r="B28" s="73"/>
      <c r="C28" s="19">
        <f t="shared" si="0"/>
        <v>0</v>
      </c>
      <c r="D28" s="19">
        <f t="shared" si="1"/>
        <v>0</v>
      </c>
      <c r="E28" s="80">
        <f t="shared" si="2"/>
        <v>0</v>
      </c>
    </row>
    <row r="29" spans="1:5" ht="15.75">
      <c r="A29" s="61" t="s">
        <v>20</v>
      </c>
      <c r="B29" s="73"/>
      <c r="C29" s="19">
        <f t="shared" si="0"/>
        <v>0</v>
      </c>
      <c r="D29" s="19">
        <f t="shared" si="1"/>
        <v>0</v>
      </c>
      <c r="E29" s="80">
        <f t="shared" si="2"/>
        <v>0</v>
      </c>
    </row>
    <row r="30" spans="1:5" ht="15.75">
      <c r="A30" s="61" t="s">
        <v>21</v>
      </c>
      <c r="B30" s="74"/>
      <c r="C30" s="19">
        <f t="shared" si="0"/>
        <v>0</v>
      </c>
      <c r="D30" s="19">
        <f t="shared" si="1"/>
        <v>0</v>
      </c>
      <c r="E30" s="80">
        <f t="shared" si="2"/>
        <v>0</v>
      </c>
    </row>
    <row r="31" spans="1:5" ht="15.75">
      <c r="A31" s="5" t="s">
        <v>22</v>
      </c>
      <c r="B31" s="73"/>
      <c r="C31" s="19">
        <f t="shared" si="0"/>
        <v>0</v>
      </c>
      <c r="D31" s="19">
        <f t="shared" si="1"/>
        <v>0</v>
      </c>
      <c r="E31" s="80">
        <f t="shared" si="2"/>
        <v>0</v>
      </c>
    </row>
    <row r="32" spans="1:5" ht="15.75">
      <c r="A32" s="5" t="s">
        <v>23</v>
      </c>
      <c r="B32" s="74"/>
      <c r="C32" s="19">
        <f t="shared" si="0"/>
        <v>0</v>
      </c>
      <c r="D32" s="19">
        <f t="shared" si="1"/>
        <v>0</v>
      </c>
      <c r="E32" s="80">
        <f t="shared" si="2"/>
        <v>0</v>
      </c>
    </row>
    <row r="33" spans="1:5" ht="15.75">
      <c r="A33" s="5" t="s">
        <v>24</v>
      </c>
      <c r="B33" s="73"/>
      <c r="C33" s="19">
        <f t="shared" si="0"/>
        <v>0</v>
      </c>
      <c r="D33" s="19">
        <f t="shared" si="1"/>
        <v>0</v>
      </c>
      <c r="E33" s="80">
        <f t="shared" si="2"/>
        <v>0</v>
      </c>
    </row>
    <row r="34" spans="1:5" ht="15.75">
      <c r="A34" s="5" t="s">
        <v>25</v>
      </c>
      <c r="B34" s="74"/>
      <c r="C34" s="19">
        <f t="shared" si="0"/>
        <v>0</v>
      </c>
      <c r="D34" s="19">
        <f t="shared" si="1"/>
        <v>0</v>
      </c>
      <c r="E34" s="80">
        <f t="shared" si="2"/>
        <v>0</v>
      </c>
    </row>
    <row r="35" spans="1:5" ht="15.75">
      <c r="A35" s="5" t="s">
        <v>26</v>
      </c>
      <c r="B35" s="73"/>
      <c r="C35" s="19">
        <f t="shared" si="0"/>
        <v>0</v>
      </c>
      <c r="D35" s="19">
        <f t="shared" si="1"/>
        <v>0</v>
      </c>
      <c r="E35" s="80">
        <f t="shared" si="2"/>
        <v>0</v>
      </c>
    </row>
    <row r="36" spans="1:5" ht="15.75">
      <c r="A36" s="5" t="s">
        <v>27</v>
      </c>
      <c r="B36" s="73"/>
      <c r="C36" s="19">
        <f t="shared" si="0"/>
        <v>0</v>
      </c>
      <c r="D36" s="19">
        <f t="shared" si="1"/>
        <v>0</v>
      </c>
      <c r="E36" s="80">
        <f t="shared" si="2"/>
        <v>0</v>
      </c>
    </row>
    <row r="37" spans="1:5" ht="15.75">
      <c r="A37" s="5" t="s">
        <v>28</v>
      </c>
      <c r="B37" s="74"/>
      <c r="C37" s="19">
        <f t="shared" si="0"/>
        <v>0</v>
      </c>
      <c r="D37" s="19">
        <f t="shared" si="1"/>
        <v>0</v>
      </c>
      <c r="E37" s="80">
        <f t="shared" si="2"/>
        <v>0</v>
      </c>
    </row>
    <row r="38" spans="1:5" ht="15.75">
      <c r="A38" s="5" t="s">
        <v>29</v>
      </c>
      <c r="B38" s="74"/>
      <c r="C38" s="19">
        <f t="shared" si="0"/>
        <v>0</v>
      </c>
      <c r="D38" s="19">
        <f t="shared" si="1"/>
        <v>0</v>
      </c>
      <c r="E38" s="80">
        <f t="shared" si="2"/>
        <v>0</v>
      </c>
    </row>
    <row r="39" spans="1:5" ht="15.75">
      <c r="A39" s="5" t="s">
        <v>30</v>
      </c>
      <c r="B39" s="74"/>
      <c r="C39" s="19">
        <f t="shared" si="0"/>
        <v>0</v>
      </c>
      <c r="D39" s="19">
        <f t="shared" si="1"/>
        <v>0</v>
      </c>
      <c r="E39" s="80">
        <f t="shared" si="2"/>
        <v>0</v>
      </c>
    </row>
    <row r="40" spans="1:5" ht="15.75">
      <c r="A40" s="5" t="s">
        <v>31</v>
      </c>
      <c r="B40" s="73"/>
      <c r="C40" s="19">
        <f t="shared" si="0"/>
        <v>0</v>
      </c>
      <c r="D40" s="19">
        <f t="shared" si="1"/>
        <v>0</v>
      </c>
      <c r="E40" s="80">
        <f t="shared" si="2"/>
        <v>0</v>
      </c>
    </row>
    <row r="41" spans="1:5" ht="15.75">
      <c r="A41" s="5" t="s">
        <v>32</v>
      </c>
      <c r="B41" s="73"/>
      <c r="C41" s="19">
        <f t="shared" si="0"/>
        <v>0</v>
      </c>
      <c r="D41" s="19">
        <f t="shared" si="1"/>
        <v>0</v>
      </c>
      <c r="E41" s="80">
        <f t="shared" si="2"/>
        <v>0</v>
      </c>
    </row>
    <row r="42" spans="1:5" ht="15.75">
      <c r="A42" s="5" t="s">
        <v>33</v>
      </c>
      <c r="B42" s="74"/>
      <c r="C42" s="19">
        <f t="shared" si="0"/>
        <v>0</v>
      </c>
      <c r="D42" s="19">
        <f t="shared" si="1"/>
        <v>0</v>
      </c>
      <c r="E42" s="80">
        <f t="shared" si="2"/>
        <v>0</v>
      </c>
    </row>
    <row r="43" spans="1:5" ht="15.75">
      <c r="A43" s="5" t="s">
        <v>34</v>
      </c>
      <c r="B43" s="74"/>
      <c r="C43" s="19">
        <f t="shared" si="0"/>
        <v>0</v>
      </c>
      <c r="D43" s="19">
        <f t="shared" si="1"/>
        <v>0</v>
      </c>
      <c r="E43" s="80">
        <f t="shared" si="2"/>
        <v>0</v>
      </c>
    </row>
    <row r="44" spans="1:5" ht="15.75">
      <c r="A44" s="5" t="s">
        <v>35</v>
      </c>
      <c r="B44" s="73"/>
      <c r="C44" s="19">
        <f t="shared" si="0"/>
        <v>0</v>
      </c>
      <c r="D44" s="19">
        <f t="shared" si="1"/>
        <v>0</v>
      </c>
      <c r="E44" s="80">
        <f t="shared" si="2"/>
        <v>0</v>
      </c>
    </row>
    <row r="45" spans="1:5" ht="15.75">
      <c r="A45" s="5" t="s">
        <v>36</v>
      </c>
      <c r="B45" s="74"/>
      <c r="C45" s="19">
        <f t="shared" si="0"/>
        <v>0</v>
      </c>
      <c r="D45" s="19">
        <f t="shared" si="1"/>
        <v>0</v>
      </c>
      <c r="E45" s="80">
        <f t="shared" si="2"/>
        <v>0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 horizontalCentered="1"/>
  <pageMargins left="0.15748031496062992" right="0.2362204724409449" top="0.33" bottom="0.2362204724409449" header="0.15748031496062992" footer="0.2362204724409449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9.57421875" style="1" bestFit="1" customWidth="1"/>
    <col min="6" max="6" width="10.7109375" style="1" bestFit="1" customWidth="1"/>
    <col min="7" max="7" width="15.421875" style="1" customWidth="1"/>
    <col min="8" max="16384" width="8.7109375" style="1" customWidth="1"/>
  </cols>
  <sheetData>
    <row r="1" spans="1:7" ht="18" customHeight="1">
      <c r="A1" s="112" t="s">
        <v>137</v>
      </c>
      <c r="B1" s="112"/>
      <c r="C1" s="112"/>
      <c r="D1" s="112"/>
      <c r="E1" s="112"/>
      <c r="F1" s="112"/>
      <c r="G1" s="112"/>
    </row>
    <row r="3" spans="1:2" ht="15.75">
      <c r="A3" s="10" t="s">
        <v>102</v>
      </c>
      <c r="B3" s="26">
        <f>MAX($E$10:$E$46)</f>
        <v>100</v>
      </c>
    </row>
    <row r="4" spans="1:2" ht="15.75">
      <c r="A4" s="11" t="s">
        <v>103</v>
      </c>
      <c r="B4" s="27">
        <f>MIN($E$10:$E$46)</f>
        <v>4.170421242909226</v>
      </c>
    </row>
    <row r="5" spans="1:2" ht="15.75">
      <c r="A5" s="12" t="s">
        <v>104</v>
      </c>
      <c r="B5" s="13" t="s">
        <v>99</v>
      </c>
    </row>
    <row r="6" spans="1:2" ht="15.75">
      <c r="A6" s="25"/>
      <c r="B6" s="24"/>
    </row>
    <row r="7" spans="1:7" s="7" customFormat="1" ht="22.5" customHeight="1">
      <c r="A7" s="107" t="s">
        <v>38</v>
      </c>
      <c r="B7" s="107" t="s">
        <v>135</v>
      </c>
      <c r="C7" s="107"/>
      <c r="D7" s="107" t="s">
        <v>136</v>
      </c>
      <c r="E7" s="108" t="s">
        <v>105</v>
      </c>
      <c r="F7" s="108" t="s">
        <v>106</v>
      </c>
      <c r="G7" s="108" t="s">
        <v>107</v>
      </c>
    </row>
    <row r="8" spans="1:7" s="8" customFormat="1" ht="50.25" customHeight="1">
      <c r="A8" s="111"/>
      <c r="B8" s="3" t="s">
        <v>334</v>
      </c>
      <c r="C8" s="3" t="s">
        <v>359</v>
      </c>
      <c r="D8" s="107"/>
      <c r="E8" s="109"/>
      <c r="F8" s="109"/>
      <c r="G8" s="109"/>
    </row>
    <row r="9" spans="1:7" s="7" customFormat="1" ht="15.75">
      <c r="A9" s="9">
        <v>1</v>
      </c>
      <c r="B9" s="9">
        <v>2</v>
      </c>
      <c r="C9" s="9">
        <v>3</v>
      </c>
      <c r="D9" s="9" t="s">
        <v>89</v>
      </c>
      <c r="E9" s="9">
        <v>5</v>
      </c>
      <c r="F9" s="9">
        <v>6</v>
      </c>
      <c r="G9" s="9">
        <v>7</v>
      </c>
    </row>
    <row r="10" spans="1:7" ht="15.75">
      <c r="A10" s="61" t="s">
        <v>0</v>
      </c>
      <c r="B10" s="57">
        <v>184227074.7</v>
      </c>
      <c r="C10" s="57">
        <v>362999554.11</v>
      </c>
      <c r="D10" s="58">
        <f>IF($B10&lt;&gt;0,$C10/$B10*100,100)</f>
        <v>197.03919996619263</v>
      </c>
      <c r="E10" s="58">
        <f>IF($D10&gt;=100,100,$C10/$B10*100)</f>
        <v>100</v>
      </c>
      <c r="F10" s="58">
        <f>($E10-$B$4)/($B$3-$B$4)</f>
        <v>1</v>
      </c>
      <c r="G10" s="58">
        <f>$F10*$B$5</f>
        <v>1</v>
      </c>
    </row>
    <row r="11" spans="1:7" ht="15.75">
      <c r="A11" s="61" t="s">
        <v>1</v>
      </c>
      <c r="B11" s="57">
        <v>138308000</v>
      </c>
      <c r="C11" s="57">
        <v>116504417.28</v>
      </c>
      <c r="D11" s="58">
        <f aca="true" t="shared" si="0" ref="D11:D46">IF($B11&lt;&gt;0,$C11/$B11*100,100)</f>
        <v>84.235486942187</v>
      </c>
      <c r="E11" s="58">
        <f aca="true" t="shared" si="1" ref="E11:E46">IF($D11&gt;=100,100,$C11/$B11*100)</f>
        <v>84.235486942187</v>
      </c>
      <c r="F11" s="58">
        <f aca="true" t="shared" si="2" ref="F11:F46">($E11-$B$4)/($B$3-$B$4)</f>
        <v>0.8354942882742608</v>
      </c>
      <c r="G11" s="58">
        <f aca="true" t="shared" si="3" ref="G11:G46">$F11*$B$5</f>
        <v>0.8354942882742608</v>
      </c>
    </row>
    <row r="12" spans="1:7" ht="15.75">
      <c r="A12" s="61" t="s">
        <v>2</v>
      </c>
      <c r="B12" s="57">
        <v>15058180</v>
      </c>
      <c r="C12" s="57">
        <v>14156978.95</v>
      </c>
      <c r="D12" s="58">
        <f t="shared" si="0"/>
        <v>94.01520602091354</v>
      </c>
      <c r="E12" s="58">
        <f t="shared" si="1"/>
        <v>94.01520602091354</v>
      </c>
      <c r="F12" s="58">
        <f t="shared" si="2"/>
        <v>0.9375475290958261</v>
      </c>
      <c r="G12" s="58">
        <f t="shared" si="3"/>
        <v>0.9375475290958261</v>
      </c>
    </row>
    <row r="13" spans="1:7" ht="15.75">
      <c r="A13" s="61" t="s">
        <v>3</v>
      </c>
      <c r="B13" s="57">
        <v>48400000</v>
      </c>
      <c r="C13" s="57">
        <v>52507498.2</v>
      </c>
      <c r="D13" s="58">
        <f t="shared" si="0"/>
        <v>108.48656652892564</v>
      </c>
      <c r="E13" s="58">
        <f t="shared" si="1"/>
        <v>100</v>
      </c>
      <c r="F13" s="58">
        <f t="shared" si="2"/>
        <v>1</v>
      </c>
      <c r="G13" s="58">
        <f t="shared" si="3"/>
        <v>1</v>
      </c>
    </row>
    <row r="14" spans="1:7" ht="15.75">
      <c r="A14" s="61" t="s">
        <v>4</v>
      </c>
      <c r="B14" s="57">
        <v>7400000</v>
      </c>
      <c r="C14" s="57">
        <v>8880533.65</v>
      </c>
      <c r="D14" s="58">
        <f t="shared" si="0"/>
        <v>120.0072114864865</v>
      </c>
      <c r="E14" s="58">
        <f t="shared" si="1"/>
        <v>100</v>
      </c>
      <c r="F14" s="58">
        <f t="shared" si="2"/>
        <v>1</v>
      </c>
      <c r="G14" s="58">
        <f t="shared" si="3"/>
        <v>1</v>
      </c>
    </row>
    <row r="15" spans="1:7" ht="15.75">
      <c r="A15" s="61" t="s">
        <v>5</v>
      </c>
      <c r="B15" s="57">
        <v>13318900</v>
      </c>
      <c r="C15" s="57">
        <v>9364927.83</v>
      </c>
      <c r="D15" s="58">
        <f t="shared" si="0"/>
        <v>70.31307262611777</v>
      </c>
      <c r="E15" s="58">
        <f t="shared" si="1"/>
        <v>70.31307262611777</v>
      </c>
      <c r="F15" s="58">
        <f t="shared" si="2"/>
        <v>0.690211229571062</v>
      </c>
      <c r="G15" s="58">
        <f t="shared" si="3"/>
        <v>0.690211229571062</v>
      </c>
    </row>
    <row r="16" spans="1:7" ht="15.75">
      <c r="A16" s="61" t="s">
        <v>6</v>
      </c>
      <c r="B16" s="57">
        <v>20713524.73</v>
      </c>
      <c r="C16" s="57">
        <v>21028751.24</v>
      </c>
      <c r="D16" s="58">
        <f t="shared" si="0"/>
        <v>101.52183905978805</v>
      </c>
      <c r="E16" s="58">
        <f t="shared" si="1"/>
        <v>100</v>
      </c>
      <c r="F16" s="58">
        <f t="shared" si="2"/>
        <v>1</v>
      </c>
      <c r="G16" s="58">
        <f t="shared" si="3"/>
        <v>1</v>
      </c>
    </row>
    <row r="17" spans="1:7" ht="15.75">
      <c r="A17" s="61" t="s">
        <v>7</v>
      </c>
      <c r="B17" s="57">
        <v>8970000</v>
      </c>
      <c r="C17" s="57">
        <v>2150595.85</v>
      </c>
      <c r="D17" s="58">
        <f t="shared" si="0"/>
        <v>23.975427536231887</v>
      </c>
      <c r="E17" s="58">
        <f t="shared" si="1"/>
        <v>23.975427536231887</v>
      </c>
      <c r="F17" s="58">
        <f t="shared" si="2"/>
        <v>0.20666903215263502</v>
      </c>
      <c r="G17" s="58">
        <f t="shared" si="3"/>
        <v>0.20666903215263502</v>
      </c>
    </row>
    <row r="18" spans="1:7" ht="15.75">
      <c r="A18" s="61" t="s">
        <v>8</v>
      </c>
      <c r="B18" s="57">
        <v>22826483</v>
      </c>
      <c r="C18" s="57">
        <v>19203262.24</v>
      </c>
      <c r="D18" s="58">
        <f t="shared" si="0"/>
        <v>84.12711778682682</v>
      </c>
      <c r="E18" s="58">
        <f t="shared" si="1"/>
        <v>84.12711778682682</v>
      </c>
      <c r="F18" s="58">
        <f t="shared" si="2"/>
        <v>0.8343634353918237</v>
      </c>
      <c r="G18" s="58">
        <f t="shared" si="3"/>
        <v>0.8343634353918237</v>
      </c>
    </row>
    <row r="19" spans="1:7" ht="15.75">
      <c r="A19" s="61" t="s">
        <v>9</v>
      </c>
      <c r="B19" s="57">
        <v>2914943.02</v>
      </c>
      <c r="C19" s="57">
        <v>2991491.84</v>
      </c>
      <c r="D19" s="58">
        <f t="shared" si="0"/>
        <v>102.62608289338017</v>
      </c>
      <c r="E19" s="58">
        <f t="shared" si="1"/>
        <v>100</v>
      </c>
      <c r="F19" s="58">
        <f t="shared" si="2"/>
        <v>1</v>
      </c>
      <c r="G19" s="58">
        <f t="shared" si="3"/>
        <v>1</v>
      </c>
    </row>
    <row r="20" spans="1:7" ht="15.75">
      <c r="A20" s="61" t="s">
        <v>10</v>
      </c>
      <c r="B20" s="57">
        <v>5185000</v>
      </c>
      <c r="C20" s="57">
        <v>1749834.86</v>
      </c>
      <c r="D20" s="58">
        <f t="shared" si="0"/>
        <v>33.74802044358727</v>
      </c>
      <c r="E20" s="58">
        <f t="shared" si="1"/>
        <v>33.74802044358727</v>
      </c>
      <c r="F20" s="58">
        <f t="shared" si="2"/>
        <v>0.3086479100117039</v>
      </c>
      <c r="G20" s="58">
        <f t="shared" si="3"/>
        <v>0.3086479100117039</v>
      </c>
    </row>
    <row r="21" spans="1:7" ht="15.75">
      <c r="A21" s="61" t="s">
        <v>11</v>
      </c>
      <c r="B21" s="57">
        <v>16205685.19</v>
      </c>
      <c r="C21" s="57">
        <v>13875370.7</v>
      </c>
      <c r="D21" s="58">
        <f t="shared" si="0"/>
        <v>85.62038900127492</v>
      </c>
      <c r="E21" s="58">
        <f t="shared" si="1"/>
        <v>85.62038900127492</v>
      </c>
      <c r="F21" s="58">
        <f t="shared" si="2"/>
        <v>0.8499460063872911</v>
      </c>
      <c r="G21" s="58">
        <f t="shared" si="3"/>
        <v>0.8499460063872911</v>
      </c>
    </row>
    <row r="22" spans="1:7" ht="15.75">
      <c r="A22" s="61" t="s">
        <v>12</v>
      </c>
      <c r="B22" s="57">
        <v>900478</v>
      </c>
      <c r="C22" s="57">
        <v>1887877.11</v>
      </c>
      <c r="D22" s="58">
        <f t="shared" si="0"/>
        <v>209.65277441536608</v>
      </c>
      <c r="E22" s="58">
        <f t="shared" si="1"/>
        <v>100</v>
      </c>
      <c r="F22" s="58">
        <f t="shared" si="2"/>
        <v>1</v>
      </c>
      <c r="G22" s="58">
        <f t="shared" si="3"/>
        <v>1</v>
      </c>
    </row>
    <row r="23" spans="1:7" ht="15.75">
      <c r="A23" s="61" t="s">
        <v>13</v>
      </c>
      <c r="B23" s="57">
        <v>3971972</v>
      </c>
      <c r="C23" s="57">
        <v>3971972.83</v>
      </c>
      <c r="D23" s="58">
        <f t="shared" si="0"/>
        <v>100.00002089642122</v>
      </c>
      <c r="E23" s="58">
        <f t="shared" si="1"/>
        <v>100</v>
      </c>
      <c r="F23" s="58">
        <f t="shared" si="2"/>
        <v>1</v>
      </c>
      <c r="G23" s="58">
        <f t="shared" si="3"/>
        <v>1</v>
      </c>
    </row>
    <row r="24" spans="1:7" ht="15.75">
      <c r="A24" s="61" t="s">
        <v>14</v>
      </c>
      <c r="B24" s="57">
        <v>2829040.17</v>
      </c>
      <c r="C24" s="57">
        <v>3272700.46</v>
      </c>
      <c r="D24" s="58">
        <f t="shared" si="0"/>
        <v>115.68236091889781</v>
      </c>
      <c r="E24" s="58">
        <f t="shared" si="1"/>
        <v>100</v>
      </c>
      <c r="F24" s="58">
        <f t="shared" si="2"/>
        <v>1</v>
      </c>
      <c r="G24" s="58">
        <f t="shared" si="3"/>
        <v>1</v>
      </c>
    </row>
    <row r="25" spans="1:7" ht="15.75">
      <c r="A25" s="61" t="s">
        <v>15</v>
      </c>
      <c r="B25" s="57">
        <v>5604995.87</v>
      </c>
      <c r="C25" s="57">
        <v>6070758.51</v>
      </c>
      <c r="D25" s="58">
        <f t="shared" si="0"/>
        <v>108.30977668499156</v>
      </c>
      <c r="E25" s="58">
        <f t="shared" si="1"/>
        <v>100</v>
      </c>
      <c r="F25" s="58">
        <f t="shared" si="2"/>
        <v>1</v>
      </c>
      <c r="G25" s="58">
        <f t="shared" si="3"/>
        <v>1</v>
      </c>
    </row>
    <row r="26" spans="1:7" ht="15.75">
      <c r="A26" s="61" t="s">
        <v>16</v>
      </c>
      <c r="B26" s="57">
        <v>21427408.98</v>
      </c>
      <c r="C26" s="57">
        <v>25311630.29</v>
      </c>
      <c r="D26" s="58">
        <f t="shared" si="0"/>
        <v>118.12734947853689</v>
      </c>
      <c r="E26" s="58">
        <f t="shared" si="1"/>
        <v>100</v>
      </c>
      <c r="F26" s="58">
        <f t="shared" si="2"/>
        <v>1</v>
      </c>
      <c r="G26" s="58">
        <f t="shared" si="3"/>
        <v>1</v>
      </c>
    </row>
    <row r="27" spans="1:7" ht="15.75">
      <c r="A27" s="61" t="s">
        <v>17</v>
      </c>
      <c r="B27" s="57">
        <v>6396230</v>
      </c>
      <c r="C27" s="57">
        <v>2910505.35</v>
      </c>
      <c r="D27" s="58">
        <f t="shared" si="0"/>
        <v>45.50345047004251</v>
      </c>
      <c r="E27" s="58">
        <f t="shared" si="1"/>
        <v>45.50345047004251</v>
      </c>
      <c r="F27" s="58">
        <f t="shared" si="2"/>
        <v>0.43131807280406004</v>
      </c>
      <c r="G27" s="58">
        <f t="shared" si="3"/>
        <v>0.43131807280406004</v>
      </c>
    </row>
    <row r="28" spans="1:7" ht="15.75">
      <c r="A28" s="61" t="s">
        <v>18</v>
      </c>
      <c r="B28" s="57">
        <v>2682620</v>
      </c>
      <c r="C28" s="57">
        <v>3300671.92</v>
      </c>
      <c r="D28" s="58">
        <f t="shared" si="0"/>
        <v>123.03911549157166</v>
      </c>
      <c r="E28" s="58">
        <f t="shared" si="1"/>
        <v>100</v>
      </c>
      <c r="F28" s="58">
        <f t="shared" si="2"/>
        <v>1</v>
      </c>
      <c r="G28" s="58">
        <f t="shared" si="3"/>
        <v>1</v>
      </c>
    </row>
    <row r="29" spans="1:7" ht="15.75">
      <c r="A29" s="61" t="s">
        <v>19</v>
      </c>
      <c r="B29" s="57">
        <v>38854047.27</v>
      </c>
      <c r="C29" s="57">
        <v>24022629.81</v>
      </c>
      <c r="D29" s="58">
        <f t="shared" si="0"/>
        <v>61.827869933509746</v>
      </c>
      <c r="E29" s="58">
        <f t="shared" si="1"/>
        <v>61.827869933509746</v>
      </c>
      <c r="F29" s="58">
        <f t="shared" si="2"/>
        <v>0.6016665150616061</v>
      </c>
      <c r="G29" s="58">
        <f t="shared" si="3"/>
        <v>0.6016665150616061</v>
      </c>
    </row>
    <row r="30" spans="1:7" ht="15.75">
      <c r="A30" s="61" t="s">
        <v>20</v>
      </c>
      <c r="B30" s="57">
        <v>5071604.22</v>
      </c>
      <c r="C30" s="57">
        <v>5071604.22</v>
      </c>
      <c r="D30" s="58">
        <f t="shared" si="0"/>
        <v>100</v>
      </c>
      <c r="E30" s="58">
        <f t="shared" si="1"/>
        <v>100</v>
      </c>
      <c r="F30" s="58">
        <f t="shared" si="2"/>
        <v>1</v>
      </c>
      <c r="G30" s="58">
        <f t="shared" si="3"/>
        <v>1</v>
      </c>
    </row>
    <row r="31" spans="1:7" ht="15.75">
      <c r="A31" s="61" t="s">
        <v>21</v>
      </c>
      <c r="B31" s="57">
        <v>15930737</v>
      </c>
      <c r="C31" s="57">
        <v>664378.84</v>
      </c>
      <c r="D31" s="58">
        <f t="shared" si="0"/>
        <v>4.170421242909226</v>
      </c>
      <c r="E31" s="58">
        <f t="shared" si="1"/>
        <v>4.170421242909226</v>
      </c>
      <c r="F31" s="58">
        <f t="shared" si="2"/>
        <v>0</v>
      </c>
      <c r="G31" s="58">
        <f t="shared" si="3"/>
        <v>0</v>
      </c>
    </row>
    <row r="32" spans="1:7" ht="15.75">
      <c r="A32" s="61" t="s">
        <v>22</v>
      </c>
      <c r="B32" s="57">
        <v>21236690</v>
      </c>
      <c r="C32" s="57">
        <v>2824177.38</v>
      </c>
      <c r="D32" s="58">
        <f t="shared" si="0"/>
        <v>13.298576096369066</v>
      </c>
      <c r="E32" s="58">
        <f t="shared" si="1"/>
        <v>13.298576096369066</v>
      </c>
      <c r="F32" s="58">
        <f t="shared" si="2"/>
        <v>0.09525404339507665</v>
      </c>
      <c r="G32" s="58">
        <f t="shared" si="3"/>
        <v>0.09525404339507665</v>
      </c>
    </row>
    <row r="33" spans="1:7" ht="15.75">
      <c r="A33" s="61" t="s">
        <v>23</v>
      </c>
      <c r="B33" s="57">
        <v>47784530</v>
      </c>
      <c r="C33" s="57">
        <v>14666835.82</v>
      </c>
      <c r="D33" s="58">
        <f t="shared" si="0"/>
        <v>30.693690656787876</v>
      </c>
      <c r="E33" s="58">
        <f t="shared" si="1"/>
        <v>30.693690656787876</v>
      </c>
      <c r="F33" s="58">
        <f t="shared" si="2"/>
        <v>0.27677539396379847</v>
      </c>
      <c r="G33" s="58">
        <f t="shared" si="3"/>
        <v>0.27677539396379847</v>
      </c>
    </row>
    <row r="34" spans="1:7" ht="15.75">
      <c r="A34" s="61" t="s">
        <v>24</v>
      </c>
      <c r="B34" s="57">
        <v>34793237.5</v>
      </c>
      <c r="C34" s="57">
        <v>45616430.64</v>
      </c>
      <c r="D34" s="58">
        <f t="shared" si="0"/>
        <v>131.10717460541002</v>
      </c>
      <c r="E34" s="58">
        <f t="shared" si="1"/>
        <v>100</v>
      </c>
      <c r="F34" s="58">
        <f t="shared" si="2"/>
        <v>1</v>
      </c>
      <c r="G34" s="58">
        <f t="shared" si="3"/>
        <v>1</v>
      </c>
    </row>
    <row r="35" spans="1:7" ht="15.75">
      <c r="A35" s="61" t="s">
        <v>25</v>
      </c>
      <c r="B35" s="57">
        <v>2108000</v>
      </c>
      <c r="C35" s="57">
        <v>108461.5</v>
      </c>
      <c r="D35" s="58">
        <f t="shared" si="0"/>
        <v>5.145232447817836</v>
      </c>
      <c r="E35" s="58">
        <f t="shared" si="1"/>
        <v>5.145232447817836</v>
      </c>
      <c r="F35" s="58">
        <f t="shared" si="2"/>
        <v>0.01017234154163993</v>
      </c>
      <c r="G35" s="58">
        <f t="shared" si="3"/>
        <v>0.01017234154163993</v>
      </c>
    </row>
    <row r="36" spans="1:7" ht="15.75">
      <c r="A36" s="61" t="s">
        <v>26</v>
      </c>
      <c r="B36" s="57">
        <v>5217521.24</v>
      </c>
      <c r="C36" s="57">
        <v>5574870.62</v>
      </c>
      <c r="D36" s="58">
        <f t="shared" si="0"/>
        <v>106.84902587957647</v>
      </c>
      <c r="E36" s="58">
        <f t="shared" si="1"/>
        <v>100</v>
      </c>
      <c r="F36" s="58">
        <f t="shared" si="2"/>
        <v>1</v>
      </c>
      <c r="G36" s="58">
        <f t="shared" si="3"/>
        <v>1</v>
      </c>
    </row>
    <row r="37" spans="1:7" ht="15.75">
      <c r="A37" s="61" t="s">
        <v>27</v>
      </c>
      <c r="B37" s="57">
        <v>3339284.56</v>
      </c>
      <c r="C37" s="57">
        <v>3396883.03</v>
      </c>
      <c r="D37" s="58">
        <f t="shared" si="0"/>
        <v>101.72487456414913</v>
      </c>
      <c r="E37" s="58">
        <f t="shared" si="1"/>
        <v>100</v>
      </c>
      <c r="F37" s="58">
        <f t="shared" si="2"/>
        <v>1</v>
      </c>
      <c r="G37" s="58">
        <f t="shared" si="3"/>
        <v>1</v>
      </c>
    </row>
    <row r="38" spans="1:7" ht="15.75">
      <c r="A38" s="61" t="s">
        <v>28</v>
      </c>
      <c r="B38" s="57">
        <v>829600</v>
      </c>
      <c r="C38" s="57">
        <v>2513298.71</v>
      </c>
      <c r="D38" s="58">
        <f t="shared" si="0"/>
        <v>302.95307497589204</v>
      </c>
      <c r="E38" s="58">
        <f t="shared" si="1"/>
        <v>100</v>
      </c>
      <c r="F38" s="58">
        <f t="shared" si="2"/>
        <v>1</v>
      </c>
      <c r="G38" s="58">
        <f t="shared" si="3"/>
        <v>1</v>
      </c>
    </row>
    <row r="39" spans="1:7" ht="15.75">
      <c r="A39" s="61" t="s">
        <v>29</v>
      </c>
      <c r="B39" s="57">
        <v>4535000</v>
      </c>
      <c r="C39" s="57">
        <v>3019601.13</v>
      </c>
      <c r="D39" s="58">
        <f t="shared" si="0"/>
        <v>66.58436890848952</v>
      </c>
      <c r="E39" s="58">
        <f t="shared" si="1"/>
        <v>66.58436890848952</v>
      </c>
      <c r="F39" s="58">
        <f t="shared" si="2"/>
        <v>0.6513014924524236</v>
      </c>
      <c r="G39" s="58">
        <f t="shared" si="3"/>
        <v>0.6513014924524236</v>
      </c>
    </row>
    <row r="40" spans="1:7" ht="15.75">
      <c r="A40" s="61" t="s">
        <v>30</v>
      </c>
      <c r="B40" s="57">
        <v>46036212.29</v>
      </c>
      <c r="C40" s="57">
        <v>20722934.95</v>
      </c>
      <c r="D40" s="58">
        <f t="shared" si="0"/>
        <v>45.01442216718042</v>
      </c>
      <c r="E40" s="58">
        <f t="shared" si="1"/>
        <v>45.01442216718042</v>
      </c>
      <c r="F40" s="58">
        <f t="shared" si="2"/>
        <v>0.42621496884383414</v>
      </c>
      <c r="G40" s="58">
        <f t="shared" si="3"/>
        <v>0.42621496884383414</v>
      </c>
    </row>
    <row r="41" spans="1:7" ht="15.75">
      <c r="A41" s="61" t="s">
        <v>31</v>
      </c>
      <c r="B41" s="57">
        <v>17705258.54</v>
      </c>
      <c r="C41" s="57">
        <v>18925763.55</v>
      </c>
      <c r="D41" s="58">
        <f t="shared" si="0"/>
        <v>106.89346053457858</v>
      </c>
      <c r="E41" s="58">
        <f t="shared" si="1"/>
        <v>100</v>
      </c>
      <c r="F41" s="58">
        <f t="shared" si="2"/>
        <v>1</v>
      </c>
      <c r="G41" s="58">
        <f t="shared" si="3"/>
        <v>1</v>
      </c>
    </row>
    <row r="42" spans="1:7" ht="15.75">
      <c r="A42" s="61" t="s">
        <v>32</v>
      </c>
      <c r="B42" s="57">
        <v>37612266.09</v>
      </c>
      <c r="C42" s="57">
        <v>25465869.94</v>
      </c>
      <c r="D42" s="58">
        <f t="shared" si="0"/>
        <v>67.70628996153631</v>
      </c>
      <c r="E42" s="58">
        <f t="shared" si="1"/>
        <v>67.70628996153631</v>
      </c>
      <c r="F42" s="58">
        <f t="shared" si="2"/>
        <v>0.6630089534221796</v>
      </c>
      <c r="G42" s="58">
        <f t="shared" si="3"/>
        <v>0.6630089534221796</v>
      </c>
    </row>
    <row r="43" spans="1:7" ht="15.75">
      <c r="A43" s="61" t="s">
        <v>33</v>
      </c>
      <c r="B43" s="57">
        <v>13009634.23</v>
      </c>
      <c r="C43" s="57">
        <v>12171949.08</v>
      </c>
      <c r="D43" s="58">
        <f t="shared" si="0"/>
        <v>93.5610399555407</v>
      </c>
      <c r="E43" s="58">
        <f t="shared" si="1"/>
        <v>93.5610399555407</v>
      </c>
      <c r="F43" s="58">
        <f t="shared" si="2"/>
        <v>0.9328082192578473</v>
      </c>
      <c r="G43" s="58">
        <f t="shared" si="3"/>
        <v>0.9328082192578473</v>
      </c>
    </row>
    <row r="44" spans="1:7" ht="15.75">
      <c r="A44" s="61" t="s">
        <v>34</v>
      </c>
      <c r="B44" s="57">
        <v>2158755.72</v>
      </c>
      <c r="C44" s="57">
        <v>2158755.72</v>
      </c>
      <c r="D44" s="58">
        <f t="shared" si="0"/>
        <v>100</v>
      </c>
      <c r="E44" s="58">
        <f t="shared" si="1"/>
        <v>100</v>
      </c>
      <c r="F44" s="58">
        <f t="shared" si="2"/>
        <v>1</v>
      </c>
      <c r="G44" s="58">
        <f t="shared" si="3"/>
        <v>1</v>
      </c>
    </row>
    <row r="45" spans="1:7" ht="15.75">
      <c r="A45" s="61" t="s">
        <v>35</v>
      </c>
      <c r="B45" s="57">
        <v>1131065.71</v>
      </c>
      <c r="C45" s="57">
        <v>1192442.58</v>
      </c>
      <c r="D45" s="58">
        <f t="shared" si="0"/>
        <v>105.42646368441318</v>
      </c>
      <c r="E45" s="58">
        <f t="shared" si="1"/>
        <v>100</v>
      </c>
      <c r="F45" s="58">
        <f t="shared" si="2"/>
        <v>1</v>
      </c>
      <c r="G45" s="58">
        <f t="shared" si="3"/>
        <v>1</v>
      </c>
    </row>
    <row r="46" spans="1:7" ht="15.75">
      <c r="A46" s="61" t="s">
        <v>36</v>
      </c>
      <c r="B46" s="57">
        <v>6406443</v>
      </c>
      <c r="C46" s="57">
        <v>6987629.28</v>
      </c>
      <c r="D46" s="58">
        <f t="shared" si="0"/>
        <v>109.07190277038288</v>
      </c>
      <c r="E46" s="58">
        <f t="shared" si="1"/>
        <v>100</v>
      </c>
      <c r="F46" s="58">
        <f t="shared" si="2"/>
        <v>1</v>
      </c>
      <c r="G46" s="58">
        <f t="shared" si="3"/>
        <v>1</v>
      </c>
    </row>
    <row r="47" spans="1:7" ht="15.75">
      <c r="A47" s="64" t="s">
        <v>90</v>
      </c>
      <c r="B47" s="59">
        <f>AVERAGE(B$10:B$46)</f>
        <v>22462173.595405407</v>
      </c>
      <c r="C47" s="59">
        <f>AVERAGE(C$10:C$46)</f>
        <v>23439022.97351352</v>
      </c>
      <c r="D47" s="60">
        <f>$C47/$B47*100</f>
        <v>104.34886398664432</v>
      </c>
      <c r="E47" s="60"/>
      <c r="F47" s="65"/>
      <c r="G47" s="65"/>
    </row>
    <row r="48" ht="15.75">
      <c r="A48" s="6" t="s">
        <v>184</v>
      </c>
    </row>
    <row r="49" ht="15.75">
      <c r="E49" s="20"/>
    </row>
    <row r="50" spans="2:4" ht="15.75">
      <c r="B50" s="20">
        <f>SUM(B$10:B$46)</f>
        <v>831100423.0300001</v>
      </c>
      <c r="C50" s="20">
        <f>SUM(C$10:C$46)</f>
        <v>867243850.0200003</v>
      </c>
      <c r="D50" s="20">
        <f>$C$50/$B$50*100</f>
        <v>104.34886398664432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conditionalFormatting sqref="G10:G46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J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8.7109375" defaultRowHeight="15"/>
  <cols>
    <col min="1" max="1" width="24.7109375" style="39" customWidth="1"/>
    <col min="2" max="2" width="23.8515625" style="39" customWidth="1"/>
    <col min="3" max="3" width="17.28125" style="39" customWidth="1"/>
    <col min="4" max="4" width="18.57421875" style="39" customWidth="1"/>
    <col min="5" max="6" width="8.421875" style="40" customWidth="1"/>
    <col min="7" max="7" width="17.28125" style="40" customWidth="1"/>
    <col min="8" max="9" width="8.7109375" style="39" customWidth="1"/>
    <col min="10" max="10" width="16.00390625" style="39" bestFit="1" customWidth="1"/>
    <col min="11" max="16384" width="8.7109375" style="39" customWidth="1"/>
  </cols>
  <sheetData>
    <row r="1" spans="1:7" ht="17.25" customHeight="1">
      <c r="A1" s="110" t="s">
        <v>151</v>
      </c>
      <c r="B1" s="110"/>
      <c r="C1" s="110"/>
      <c r="D1" s="114"/>
      <c r="E1" s="114"/>
      <c r="F1" s="114"/>
      <c r="G1" s="114"/>
    </row>
    <row r="3" spans="1:7" ht="15.75">
      <c r="A3" s="10" t="s">
        <v>150</v>
      </c>
      <c r="B3" s="10">
        <v>1</v>
      </c>
      <c r="C3" s="40"/>
      <c r="D3" s="40"/>
      <c r="F3" s="39"/>
      <c r="G3" s="39"/>
    </row>
    <row r="4" spans="1:7" ht="15.75">
      <c r="A4" s="11" t="s">
        <v>149</v>
      </c>
      <c r="B4" s="11">
        <v>0</v>
      </c>
      <c r="C4" s="40"/>
      <c r="D4" s="40"/>
      <c r="F4" s="39"/>
      <c r="G4" s="39"/>
    </row>
    <row r="5" spans="1:7" ht="15.75">
      <c r="A5" s="12" t="s">
        <v>148</v>
      </c>
      <c r="B5" s="13" t="s">
        <v>42</v>
      </c>
      <c r="C5" s="40"/>
      <c r="D5" s="40"/>
      <c r="F5" s="39"/>
      <c r="G5" s="39"/>
    </row>
    <row r="7" spans="1:7" s="8" customFormat="1" ht="114.75" customHeight="1">
      <c r="A7" s="3" t="s">
        <v>38</v>
      </c>
      <c r="B7" s="3" t="s">
        <v>335</v>
      </c>
      <c r="C7" s="3" t="s">
        <v>361</v>
      </c>
      <c r="D7" s="3" t="s">
        <v>147</v>
      </c>
      <c r="E7" s="9" t="s">
        <v>146</v>
      </c>
      <c r="F7" s="9" t="s">
        <v>145</v>
      </c>
      <c r="G7" s="9" t="s">
        <v>144</v>
      </c>
    </row>
    <row r="8" spans="1:7" s="7" customFormat="1" ht="15.75">
      <c r="A8" s="9">
        <v>1</v>
      </c>
      <c r="B8" s="9">
        <v>2</v>
      </c>
      <c r="C8" s="9">
        <v>3</v>
      </c>
      <c r="D8" s="9" t="s">
        <v>143</v>
      </c>
      <c r="E8" s="9">
        <v>5</v>
      </c>
      <c r="F8" s="9">
        <v>6</v>
      </c>
      <c r="G8" s="9">
        <v>7</v>
      </c>
    </row>
    <row r="9" spans="1:10" ht="15.75">
      <c r="A9" s="5" t="s">
        <v>142</v>
      </c>
      <c r="B9" s="54"/>
      <c r="C9" s="54">
        <v>1338120472.75</v>
      </c>
      <c r="D9" s="43">
        <f>IF($B9="",0,$B9-$C9)</f>
        <v>0</v>
      </c>
      <c r="E9" s="42">
        <f>IF($D9&lt;0,1,0)</f>
        <v>0</v>
      </c>
      <c r="F9" s="42">
        <f>($E9-$B$4)/($B$3-$B$4)</f>
        <v>0</v>
      </c>
      <c r="G9" s="81">
        <f>$F9*$B$5</f>
        <v>0</v>
      </c>
      <c r="J9" s="41"/>
    </row>
    <row r="10" spans="1:10" ht="15.75">
      <c r="A10" s="5" t="s">
        <v>1</v>
      </c>
      <c r="B10" s="54">
        <v>1270067088</v>
      </c>
      <c r="C10" s="54">
        <v>1021687231.68</v>
      </c>
      <c r="D10" s="43">
        <f aca="true" t="shared" si="0" ref="D10:D45">IF($B10="",0,$B10-$C10)</f>
        <v>248379856.32000005</v>
      </c>
      <c r="E10" s="42">
        <f aca="true" t="shared" si="1" ref="E10:E45">IF($D10&lt;0,1,0)</f>
        <v>0</v>
      </c>
      <c r="F10" s="42">
        <f aca="true" t="shared" si="2" ref="F10:F45">($E10-$B$4)/($B$3-$B$4)</f>
        <v>0</v>
      </c>
      <c r="G10" s="81">
        <f aca="true" t="shared" si="3" ref="G10:G45">$F10*$B$5</f>
        <v>0</v>
      </c>
      <c r="J10" s="41"/>
    </row>
    <row r="11" spans="1:10" ht="15.75">
      <c r="A11" s="5" t="s">
        <v>2</v>
      </c>
      <c r="B11" s="54">
        <v>440510779.21</v>
      </c>
      <c r="C11" s="54">
        <v>323231835.52</v>
      </c>
      <c r="D11" s="43">
        <f t="shared" si="0"/>
        <v>117278943.69</v>
      </c>
      <c r="E11" s="42">
        <f t="shared" si="1"/>
        <v>0</v>
      </c>
      <c r="F11" s="42">
        <f t="shared" si="2"/>
        <v>0</v>
      </c>
      <c r="G11" s="81">
        <f t="shared" si="3"/>
        <v>0</v>
      </c>
      <c r="J11" s="41"/>
    </row>
    <row r="12" spans="1:10" ht="15.75">
      <c r="A12" s="5" t="s">
        <v>141</v>
      </c>
      <c r="B12" s="54"/>
      <c r="C12" s="54">
        <v>197313207.25</v>
      </c>
      <c r="D12" s="43">
        <f t="shared" si="0"/>
        <v>0</v>
      </c>
      <c r="E12" s="42">
        <f t="shared" si="1"/>
        <v>0</v>
      </c>
      <c r="F12" s="42">
        <f t="shared" si="2"/>
        <v>0</v>
      </c>
      <c r="G12" s="81">
        <f t="shared" si="3"/>
        <v>0</v>
      </c>
      <c r="J12" s="41"/>
    </row>
    <row r="13" spans="1:10" ht="15.75">
      <c r="A13" s="5" t="s">
        <v>4</v>
      </c>
      <c r="B13" s="54">
        <v>210550187.4</v>
      </c>
      <c r="C13" s="54">
        <v>145758788.63</v>
      </c>
      <c r="D13" s="43">
        <f t="shared" si="0"/>
        <v>64791398.77000001</v>
      </c>
      <c r="E13" s="42">
        <f t="shared" si="1"/>
        <v>0</v>
      </c>
      <c r="F13" s="42">
        <f t="shared" si="2"/>
        <v>0</v>
      </c>
      <c r="G13" s="81">
        <f t="shared" si="3"/>
        <v>0</v>
      </c>
      <c r="J13" s="41"/>
    </row>
    <row r="14" spans="1:10" ht="15.75">
      <c r="A14" s="5" t="s">
        <v>5</v>
      </c>
      <c r="B14" s="54">
        <v>133058839.36</v>
      </c>
      <c r="C14" s="54">
        <v>98038685.85</v>
      </c>
      <c r="D14" s="43">
        <f t="shared" si="0"/>
        <v>35020153.510000005</v>
      </c>
      <c r="E14" s="42">
        <f t="shared" si="1"/>
        <v>0</v>
      </c>
      <c r="F14" s="42">
        <f t="shared" si="2"/>
        <v>0</v>
      </c>
      <c r="G14" s="81">
        <f t="shared" si="3"/>
        <v>0</v>
      </c>
      <c r="J14" s="41"/>
    </row>
    <row r="15" spans="1:10" ht="15.75">
      <c r="A15" s="5" t="s">
        <v>6</v>
      </c>
      <c r="B15" s="54">
        <v>147411734.35</v>
      </c>
      <c r="C15" s="54">
        <v>129089983.58</v>
      </c>
      <c r="D15" s="43">
        <f t="shared" si="0"/>
        <v>18321750.769999996</v>
      </c>
      <c r="E15" s="42">
        <f t="shared" si="1"/>
        <v>0</v>
      </c>
      <c r="F15" s="42">
        <f t="shared" si="2"/>
        <v>0</v>
      </c>
      <c r="G15" s="81">
        <f t="shared" si="3"/>
        <v>0</v>
      </c>
      <c r="J15" s="41"/>
    </row>
    <row r="16" spans="1:10" ht="15.75">
      <c r="A16" s="5" t="s">
        <v>7</v>
      </c>
      <c r="B16" s="54">
        <v>68284484.63</v>
      </c>
      <c r="C16" s="54">
        <v>65350458.13</v>
      </c>
      <c r="D16" s="43">
        <f t="shared" si="0"/>
        <v>2934026.4999999925</v>
      </c>
      <c r="E16" s="42">
        <f t="shared" si="1"/>
        <v>0</v>
      </c>
      <c r="F16" s="42">
        <f t="shared" si="2"/>
        <v>0</v>
      </c>
      <c r="G16" s="81">
        <f t="shared" si="3"/>
        <v>0</v>
      </c>
      <c r="J16" s="41"/>
    </row>
    <row r="17" spans="1:10" ht="15.75">
      <c r="A17" s="5" t="s">
        <v>8</v>
      </c>
      <c r="B17" s="54">
        <v>165848003.55</v>
      </c>
      <c r="C17" s="54">
        <v>115420485.13</v>
      </c>
      <c r="D17" s="43">
        <f t="shared" si="0"/>
        <v>50427518.42000002</v>
      </c>
      <c r="E17" s="42">
        <f t="shared" si="1"/>
        <v>0</v>
      </c>
      <c r="F17" s="42">
        <f t="shared" si="2"/>
        <v>0</v>
      </c>
      <c r="G17" s="81">
        <f t="shared" si="3"/>
        <v>0</v>
      </c>
      <c r="J17" s="41"/>
    </row>
    <row r="18" spans="1:10" ht="15.75">
      <c r="A18" s="5" t="s">
        <v>9</v>
      </c>
      <c r="B18" s="54">
        <v>86005852.56</v>
      </c>
      <c r="C18" s="54">
        <v>54478053.04</v>
      </c>
      <c r="D18" s="43">
        <f t="shared" si="0"/>
        <v>31527799.520000003</v>
      </c>
      <c r="E18" s="42">
        <f t="shared" si="1"/>
        <v>0</v>
      </c>
      <c r="F18" s="42">
        <f t="shared" si="2"/>
        <v>0</v>
      </c>
      <c r="G18" s="81">
        <f t="shared" si="3"/>
        <v>0</v>
      </c>
      <c r="J18" s="41"/>
    </row>
    <row r="19" spans="1:10" ht="15.75">
      <c r="A19" s="5" t="s">
        <v>10</v>
      </c>
      <c r="B19" s="54">
        <v>46311676.22</v>
      </c>
      <c r="C19" s="54">
        <v>44860237.55</v>
      </c>
      <c r="D19" s="43">
        <f t="shared" si="0"/>
        <v>1451438.6700000018</v>
      </c>
      <c r="E19" s="42">
        <f t="shared" si="1"/>
        <v>0</v>
      </c>
      <c r="F19" s="42">
        <f t="shared" si="2"/>
        <v>0</v>
      </c>
      <c r="G19" s="81">
        <f t="shared" si="3"/>
        <v>0</v>
      </c>
      <c r="J19" s="41"/>
    </row>
    <row r="20" spans="1:10" ht="15.75">
      <c r="A20" s="5" t="s">
        <v>11</v>
      </c>
      <c r="B20" s="54">
        <v>115036492.11</v>
      </c>
      <c r="C20" s="54">
        <v>72332882.18</v>
      </c>
      <c r="D20" s="43">
        <f t="shared" si="0"/>
        <v>42703609.92999999</v>
      </c>
      <c r="E20" s="42">
        <f t="shared" si="1"/>
        <v>0</v>
      </c>
      <c r="F20" s="42">
        <f t="shared" si="2"/>
        <v>0</v>
      </c>
      <c r="G20" s="81">
        <f t="shared" si="3"/>
        <v>0</v>
      </c>
      <c r="J20" s="41"/>
    </row>
    <row r="21" spans="1:10" ht="15.75">
      <c r="A21" s="5" t="s">
        <v>12</v>
      </c>
      <c r="B21" s="54">
        <v>50142224.87</v>
      </c>
      <c r="C21" s="54">
        <v>41897896.21</v>
      </c>
      <c r="D21" s="43">
        <f t="shared" si="0"/>
        <v>8244328.659999996</v>
      </c>
      <c r="E21" s="42">
        <f t="shared" si="1"/>
        <v>0</v>
      </c>
      <c r="F21" s="42">
        <f t="shared" si="2"/>
        <v>0</v>
      </c>
      <c r="G21" s="81">
        <f t="shared" si="3"/>
        <v>0</v>
      </c>
      <c r="J21" s="41"/>
    </row>
    <row r="22" spans="1:10" ht="15.75">
      <c r="A22" s="5" t="s">
        <v>13</v>
      </c>
      <c r="B22" s="54">
        <v>67872500.8</v>
      </c>
      <c r="C22" s="54">
        <v>42340297.07</v>
      </c>
      <c r="D22" s="43">
        <f t="shared" si="0"/>
        <v>25532203.729999997</v>
      </c>
      <c r="E22" s="42">
        <f t="shared" si="1"/>
        <v>0</v>
      </c>
      <c r="F22" s="42">
        <f t="shared" si="2"/>
        <v>0</v>
      </c>
      <c r="G22" s="81">
        <f t="shared" si="3"/>
        <v>0</v>
      </c>
      <c r="J22" s="41"/>
    </row>
    <row r="23" spans="1:10" ht="15.75">
      <c r="A23" s="5" t="s">
        <v>14</v>
      </c>
      <c r="B23" s="54">
        <v>60364544.61</v>
      </c>
      <c r="C23" s="54">
        <v>41850736.11</v>
      </c>
      <c r="D23" s="43">
        <f t="shared" si="0"/>
        <v>18513808.5</v>
      </c>
      <c r="E23" s="42">
        <f t="shared" si="1"/>
        <v>0</v>
      </c>
      <c r="F23" s="42">
        <f t="shared" si="2"/>
        <v>0</v>
      </c>
      <c r="G23" s="81">
        <f t="shared" si="3"/>
        <v>0</v>
      </c>
      <c r="J23" s="41"/>
    </row>
    <row r="24" spans="1:10" ht="15.75">
      <c r="A24" s="5" t="s">
        <v>15</v>
      </c>
      <c r="B24" s="54">
        <v>72196456.82</v>
      </c>
      <c r="C24" s="54">
        <v>43586785.74</v>
      </c>
      <c r="D24" s="43">
        <f t="shared" si="0"/>
        <v>28609671.07999999</v>
      </c>
      <c r="E24" s="42">
        <f t="shared" si="1"/>
        <v>0</v>
      </c>
      <c r="F24" s="42">
        <f t="shared" si="2"/>
        <v>0</v>
      </c>
      <c r="G24" s="81">
        <f t="shared" si="3"/>
        <v>0</v>
      </c>
      <c r="J24" s="41"/>
    </row>
    <row r="25" spans="1:10" ht="15.75">
      <c r="A25" s="5" t="s">
        <v>16</v>
      </c>
      <c r="B25" s="54">
        <v>227764538.43</v>
      </c>
      <c r="C25" s="54">
        <v>163430871.09</v>
      </c>
      <c r="D25" s="43">
        <f t="shared" si="0"/>
        <v>64333667.34</v>
      </c>
      <c r="E25" s="42">
        <f t="shared" si="1"/>
        <v>0</v>
      </c>
      <c r="F25" s="42">
        <f t="shared" si="2"/>
        <v>0</v>
      </c>
      <c r="G25" s="81">
        <f t="shared" si="3"/>
        <v>0</v>
      </c>
      <c r="J25" s="41"/>
    </row>
    <row r="26" spans="1:10" ht="15.75">
      <c r="A26" s="5" t="s">
        <v>17</v>
      </c>
      <c r="B26" s="54">
        <v>34693665.17</v>
      </c>
      <c r="C26" s="54">
        <v>30607996.49</v>
      </c>
      <c r="D26" s="43">
        <f t="shared" si="0"/>
        <v>4085668.6800000034</v>
      </c>
      <c r="E26" s="42">
        <f t="shared" si="1"/>
        <v>0</v>
      </c>
      <c r="F26" s="42">
        <f t="shared" si="2"/>
        <v>0</v>
      </c>
      <c r="G26" s="81">
        <f t="shared" si="3"/>
        <v>0</v>
      </c>
      <c r="J26" s="41"/>
    </row>
    <row r="27" spans="1:10" ht="15.75">
      <c r="A27" s="5" t="s">
        <v>18</v>
      </c>
      <c r="B27" s="54">
        <v>46071693.5</v>
      </c>
      <c r="C27" s="54">
        <v>34195713.13</v>
      </c>
      <c r="D27" s="43">
        <f t="shared" si="0"/>
        <v>11875980.369999997</v>
      </c>
      <c r="E27" s="42">
        <f t="shared" si="1"/>
        <v>0</v>
      </c>
      <c r="F27" s="42">
        <f t="shared" si="2"/>
        <v>0</v>
      </c>
      <c r="G27" s="81">
        <f t="shared" si="3"/>
        <v>0</v>
      </c>
      <c r="J27" s="41"/>
    </row>
    <row r="28" spans="1:10" ht="15.75">
      <c r="A28" s="5" t="s">
        <v>19</v>
      </c>
      <c r="B28" s="54">
        <v>97626486.82</v>
      </c>
      <c r="C28" s="54">
        <v>61543811.1</v>
      </c>
      <c r="D28" s="43">
        <f t="shared" si="0"/>
        <v>36082675.71999999</v>
      </c>
      <c r="E28" s="42">
        <f t="shared" si="1"/>
        <v>0</v>
      </c>
      <c r="F28" s="42">
        <f t="shared" si="2"/>
        <v>0</v>
      </c>
      <c r="G28" s="81">
        <f t="shared" si="3"/>
        <v>0</v>
      </c>
      <c r="J28" s="41"/>
    </row>
    <row r="29" spans="1:10" ht="15.75">
      <c r="A29" s="5" t="s">
        <v>20</v>
      </c>
      <c r="B29" s="54">
        <v>122795700.77</v>
      </c>
      <c r="C29" s="54">
        <v>80627841.53</v>
      </c>
      <c r="D29" s="43">
        <f t="shared" si="0"/>
        <v>42167859.239999995</v>
      </c>
      <c r="E29" s="42">
        <f t="shared" si="1"/>
        <v>0</v>
      </c>
      <c r="F29" s="42">
        <f t="shared" si="2"/>
        <v>0</v>
      </c>
      <c r="G29" s="81">
        <f t="shared" si="3"/>
        <v>0</v>
      </c>
      <c r="J29" s="41"/>
    </row>
    <row r="30" spans="1:10" ht="15.75">
      <c r="A30" s="5" t="s">
        <v>21</v>
      </c>
      <c r="B30" s="54">
        <v>60029169.41</v>
      </c>
      <c r="C30" s="54">
        <v>32153393.61</v>
      </c>
      <c r="D30" s="43">
        <f t="shared" si="0"/>
        <v>27875775.799999997</v>
      </c>
      <c r="E30" s="42">
        <f t="shared" si="1"/>
        <v>0</v>
      </c>
      <c r="F30" s="42">
        <f t="shared" si="2"/>
        <v>0</v>
      </c>
      <c r="G30" s="81">
        <f t="shared" si="3"/>
        <v>0</v>
      </c>
      <c r="J30" s="41"/>
    </row>
    <row r="31" spans="1:10" ht="15.75">
      <c r="A31" s="5" t="s">
        <v>22</v>
      </c>
      <c r="B31" s="54">
        <v>68782752.63</v>
      </c>
      <c r="C31" s="54">
        <v>48397353.69</v>
      </c>
      <c r="D31" s="43">
        <f t="shared" si="0"/>
        <v>20385398.939999998</v>
      </c>
      <c r="E31" s="42">
        <f t="shared" si="1"/>
        <v>0</v>
      </c>
      <c r="F31" s="42">
        <f t="shared" si="2"/>
        <v>0</v>
      </c>
      <c r="G31" s="81">
        <f t="shared" si="3"/>
        <v>0</v>
      </c>
      <c r="J31" s="41"/>
    </row>
    <row r="32" spans="1:10" ht="15.75">
      <c r="A32" s="5" t="s">
        <v>23</v>
      </c>
      <c r="B32" s="54">
        <v>72753538.4</v>
      </c>
      <c r="C32" s="54">
        <v>42393591.2</v>
      </c>
      <c r="D32" s="43">
        <f t="shared" si="0"/>
        <v>30359947.200000003</v>
      </c>
      <c r="E32" s="42">
        <f t="shared" si="1"/>
        <v>0</v>
      </c>
      <c r="F32" s="42">
        <f t="shared" si="2"/>
        <v>0</v>
      </c>
      <c r="G32" s="81">
        <f t="shared" si="3"/>
        <v>0</v>
      </c>
      <c r="J32" s="41"/>
    </row>
    <row r="33" spans="1:10" ht="15.75">
      <c r="A33" s="5" t="s">
        <v>24</v>
      </c>
      <c r="B33" s="54">
        <v>168715812.88</v>
      </c>
      <c r="C33" s="54">
        <v>142981795.62</v>
      </c>
      <c r="D33" s="43">
        <f t="shared" si="0"/>
        <v>25734017.25999999</v>
      </c>
      <c r="E33" s="42">
        <f t="shared" si="1"/>
        <v>0</v>
      </c>
      <c r="F33" s="42">
        <f t="shared" si="2"/>
        <v>0</v>
      </c>
      <c r="G33" s="81">
        <f t="shared" si="3"/>
        <v>0</v>
      </c>
      <c r="J33" s="41"/>
    </row>
    <row r="34" spans="1:10" ht="15.75">
      <c r="A34" s="5" t="s">
        <v>25</v>
      </c>
      <c r="B34" s="54">
        <v>34788057.11</v>
      </c>
      <c r="C34" s="54">
        <v>29231059.05</v>
      </c>
      <c r="D34" s="43">
        <f t="shared" si="0"/>
        <v>5556998.059999999</v>
      </c>
      <c r="E34" s="42">
        <f t="shared" si="1"/>
        <v>0</v>
      </c>
      <c r="F34" s="42">
        <f t="shared" si="2"/>
        <v>0</v>
      </c>
      <c r="G34" s="81">
        <f t="shared" si="3"/>
        <v>0</v>
      </c>
      <c r="J34" s="41"/>
    </row>
    <row r="35" spans="1:10" ht="15.75">
      <c r="A35" s="5" t="s">
        <v>26</v>
      </c>
      <c r="B35" s="54">
        <v>95078637.04</v>
      </c>
      <c r="C35" s="54">
        <v>65900287.74</v>
      </c>
      <c r="D35" s="43">
        <f t="shared" si="0"/>
        <v>29178349.300000004</v>
      </c>
      <c r="E35" s="42">
        <f t="shared" si="1"/>
        <v>0</v>
      </c>
      <c r="F35" s="42">
        <f t="shared" si="2"/>
        <v>0</v>
      </c>
      <c r="G35" s="81">
        <f t="shared" si="3"/>
        <v>0</v>
      </c>
      <c r="J35" s="41"/>
    </row>
    <row r="36" spans="1:10" ht="15.75">
      <c r="A36" s="5" t="s">
        <v>27</v>
      </c>
      <c r="B36" s="54">
        <v>73440098.4</v>
      </c>
      <c r="C36" s="54">
        <v>40410883.97</v>
      </c>
      <c r="D36" s="43">
        <f t="shared" si="0"/>
        <v>33029214.430000007</v>
      </c>
      <c r="E36" s="42">
        <f t="shared" si="1"/>
        <v>0</v>
      </c>
      <c r="F36" s="42">
        <f t="shared" si="2"/>
        <v>0</v>
      </c>
      <c r="G36" s="81">
        <f t="shared" si="3"/>
        <v>0</v>
      </c>
      <c r="J36" s="41"/>
    </row>
    <row r="37" spans="1:10" ht="15.75">
      <c r="A37" s="5" t="s">
        <v>28</v>
      </c>
      <c r="B37" s="54">
        <v>80650320.3</v>
      </c>
      <c r="C37" s="54">
        <v>50971939</v>
      </c>
      <c r="D37" s="43">
        <f t="shared" si="0"/>
        <v>29678381.299999997</v>
      </c>
      <c r="E37" s="42">
        <f t="shared" si="1"/>
        <v>0</v>
      </c>
      <c r="F37" s="42">
        <f t="shared" si="2"/>
        <v>0</v>
      </c>
      <c r="G37" s="81">
        <f t="shared" si="3"/>
        <v>0</v>
      </c>
      <c r="J37" s="41"/>
    </row>
    <row r="38" spans="1:10" ht="15.75">
      <c r="A38" s="5" t="s">
        <v>29</v>
      </c>
      <c r="B38" s="54">
        <v>70101144.76</v>
      </c>
      <c r="C38" s="54">
        <v>53457711.21</v>
      </c>
      <c r="D38" s="43">
        <f t="shared" si="0"/>
        <v>16643433.550000004</v>
      </c>
      <c r="E38" s="42">
        <f t="shared" si="1"/>
        <v>0</v>
      </c>
      <c r="F38" s="42">
        <f t="shared" si="2"/>
        <v>0</v>
      </c>
      <c r="G38" s="81">
        <f t="shared" si="3"/>
        <v>0</v>
      </c>
      <c r="J38" s="41"/>
    </row>
    <row r="39" spans="1:10" ht="15.75">
      <c r="A39" s="5" t="s">
        <v>30</v>
      </c>
      <c r="B39" s="54">
        <v>148133249.26</v>
      </c>
      <c r="C39" s="54">
        <v>92017934.37</v>
      </c>
      <c r="D39" s="43">
        <f t="shared" si="0"/>
        <v>56115314.889999986</v>
      </c>
      <c r="E39" s="42">
        <f t="shared" si="1"/>
        <v>0</v>
      </c>
      <c r="F39" s="42">
        <f t="shared" si="2"/>
        <v>0</v>
      </c>
      <c r="G39" s="81">
        <f t="shared" si="3"/>
        <v>0</v>
      </c>
      <c r="J39" s="41"/>
    </row>
    <row r="40" spans="1:10" ht="15.75">
      <c r="A40" s="5" t="s">
        <v>31</v>
      </c>
      <c r="B40" s="54">
        <v>188058451.79</v>
      </c>
      <c r="C40" s="54">
        <v>148361880.01</v>
      </c>
      <c r="D40" s="43">
        <f t="shared" si="0"/>
        <v>39696571.78</v>
      </c>
      <c r="E40" s="42">
        <f t="shared" si="1"/>
        <v>0</v>
      </c>
      <c r="F40" s="42">
        <f t="shared" si="2"/>
        <v>0</v>
      </c>
      <c r="G40" s="81">
        <f t="shared" si="3"/>
        <v>0</v>
      </c>
      <c r="J40" s="41"/>
    </row>
    <row r="41" spans="1:10" ht="15.75">
      <c r="A41" s="5" t="s">
        <v>32</v>
      </c>
      <c r="B41" s="54">
        <v>82142239.41</v>
      </c>
      <c r="C41" s="54">
        <v>60657839.33</v>
      </c>
      <c r="D41" s="43">
        <f t="shared" si="0"/>
        <v>21484400.08</v>
      </c>
      <c r="E41" s="42">
        <f t="shared" si="1"/>
        <v>0</v>
      </c>
      <c r="F41" s="42">
        <f t="shared" si="2"/>
        <v>0</v>
      </c>
      <c r="G41" s="81">
        <f t="shared" si="3"/>
        <v>0</v>
      </c>
      <c r="J41" s="41"/>
    </row>
    <row r="42" spans="1:10" ht="15.75">
      <c r="A42" s="5" t="s">
        <v>33</v>
      </c>
      <c r="B42" s="54">
        <v>52800440.43</v>
      </c>
      <c r="C42" s="54">
        <v>40147794.42</v>
      </c>
      <c r="D42" s="43">
        <f t="shared" si="0"/>
        <v>12652646.009999998</v>
      </c>
      <c r="E42" s="42">
        <f t="shared" si="1"/>
        <v>0</v>
      </c>
      <c r="F42" s="42">
        <f t="shared" si="2"/>
        <v>0</v>
      </c>
      <c r="G42" s="81">
        <f t="shared" si="3"/>
        <v>0</v>
      </c>
      <c r="J42" s="41"/>
    </row>
    <row r="43" spans="1:10" ht="15.75">
      <c r="A43" s="5" t="s">
        <v>34</v>
      </c>
      <c r="B43" s="54">
        <v>53079190.4</v>
      </c>
      <c r="C43" s="54">
        <v>40902034.81</v>
      </c>
      <c r="D43" s="43">
        <f t="shared" si="0"/>
        <v>12177155.589999996</v>
      </c>
      <c r="E43" s="42">
        <f t="shared" si="1"/>
        <v>0</v>
      </c>
      <c r="F43" s="42">
        <f t="shared" si="2"/>
        <v>0</v>
      </c>
      <c r="G43" s="81">
        <f t="shared" si="3"/>
        <v>0</v>
      </c>
      <c r="J43" s="41"/>
    </row>
    <row r="44" spans="1:10" ht="15.75">
      <c r="A44" s="5" t="s">
        <v>35</v>
      </c>
      <c r="B44" s="54">
        <v>54411279.49</v>
      </c>
      <c r="C44" s="54">
        <v>37382077.13</v>
      </c>
      <c r="D44" s="43">
        <f t="shared" si="0"/>
        <v>17029202.36</v>
      </c>
      <c r="E44" s="42">
        <f t="shared" si="1"/>
        <v>0</v>
      </c>
      <c r="F44" s="42">
        <f t="shared" si="2"/>
        <v>0</v>
      </c>
      <c r="G44" s="81">
        <f t="shared" si="3"/>
        <v>0</v>
      </c>
      <c r="J44" s="41"/>
    </row>
    <row r="45" spans="1:10" ht="15.75">
      <c r="A45" s="5" t="s">
        <v>36</v>
      </c>
      <c r="B45" s="54">
        <v>52650322</v>
      </c>
      <c r="C45" s="54">
        <v>45325678</v>
      </c>
      <c r="D45" s="43">
        <f t="shared" si="0"/>
        <v>7324644</v>
      </c>
      <c r="E45" s="42">
        <f t="shared" si="1"/>
        <v>0</v>
      </c>
      <c r="F45" s="42">
        <f t="shared" si="2"/>
        <v>0</v>
      </c>
      <c r="G45" s="81">
        <f t="shared" si="3"/>
        <v>0</v>
      </c>
      <c r="J45" s="41"/>
    </row>
    <row r="46" spans="1:7" ht="33" customHeight="1">
      <c r="A46" s="115" t="s">
        <v>336</v>
      </c>
      <c r="B46" s="115"/>
      <c r="C46" s="115"/>
      <c r="D46" s="115"/>
      <c r="E46" s="115"/>
      <c r="F46" s="115"/>
      <c r="G46" s="115"/>
    </row>
  </sheetData>
  <sheetProtection/>
  <mergeCells count="2">
    <mergeCell ref="A1:G1"/>
    <mergeCell ref="A46:G46"/>
  </mergeCells>
  <conditionalFormatting sqref="G9:G45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I56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24.421875" style="39" customWidth="1"/>
    <col min="2" max="2" width="15.421875" style="39" customWidth="1"/>
    <col min="3" max="3" width="17.421875" style="39" customWidth="1"/>
    <col min="4" max="4" width="15.8515625" style="39" customWidth="1"/>
    <col min="5" max="6" width="18.00390625" style="39" customWidth="1"/>
    <col min="7" max="7" width="12.00390625" style="39" customWidth="1"/>
    <col min="8" max="8" width="8.140625" style="39" customWidth="1"/>
    <col min="9" max="9" width="17.140625" style="39" customWidth="1"/>
    <col min="10" max="16384" width="9.140625" style="39" customWidth="1"/>
  </cols>
  <sheetData>
    <row r="1" spans="1:9" ht="30.75" customHeight="1">
      <c r="A1" s="117" t="s">
        <v>294</v>
      </c>
      <c r="B1" s="117"/>
      <c r="C1" s="117"/>
      <c r="D1" s="117"/>
      <c r="E1" s="117"/>
      <c r="F1" s="117"/>
      <c r="G1" s="117"/>
      <c r="H1" s="117"/>
      <c r="I1" s="117"/>
    </row>
    <row r="2" spans="3:6" ht="15.75">
      <c r="C2" s="71"/>
      <c r="D2" s="71"/>
      <c r="E2" s="69" t="s">
        <v>188</v>
      </c>
      <c r="F2" s="69" t="s">
        <v>189</v>
      </c>
    </row>
    <row r="3" spans="1:6" ht="15.75">
      <c r="A3" s="10" t="s">
        <v>157</v>
      </c>
      <c r="B3" s="26">
        <f>MAX($G$12:$G$48)</f>
        <v>0.33251921138503915</v>
      </c>
      <c r="D3" s="71" t="s">
        <v>190</v>
      </c>
      <c r="E3" s="55">
        <f>MIN($B$12:$B$21)</f>
        <v>20190</v>
      </c>
      <c r="F3" s="55">
        <f>MIN($B$22:$B$48)</f>
        <v>9309</v>
      </c>
    </row>
    <row r="4" spans="1:6" ht="15.75">
      <c r="A4" s="11" t="s">
        <v>156</v>
      </c>
      <c r="B4" s="27">
        <f>MIN($G$12:$G$48)</f>
        <v>0</v>
      </c>
      <c r="D4" s="71" t="s">
        <v>191</v>
      </c>
      <c r="E4" s="55">
        <f>MAX($B$12:$B$21)</f>
        <v>1163724</v>
      </c>
      <c r="F4" s="55">
        <f>MAX($B$22:$B$48)</f>
        <v>127070</v>
      </c>
    </row>
    <row r="5" spans="1:6" ht="15.75">
      <c r="A5" s="12" t="s">
        <v>155</v>
      </c>
      <c r="B5" s="13" t="s">
        <v>40</v>
      </c>
      <c r="D5" s="71" t="s">
        <v>194</v>
      </c>
      <c r="E5" s="50">
        <f>MIN($D$12:$D$21)</f>
        <v>1514440.851548256</v>
      </c>
      <c r="F5" s="50">
        <f>MIN($D$22:$D$48)</f>
        <v>2576386.517982214</v>
      </c>
    </row>
    <row r="6" spans="4:6" ht="15.75">
      <c r="D6" s="71" t="s">
        <v>195</v>
      </c>
      <c r="E6" s="50">
        <f>MAX($D$12:$D$21)</f>
        <v>3236773.557701833</v>
      </c>
      <c r="F6" s="50">
        <f>MAX($D$22:$D$48)</f>
        <v>5674481.22546718</v>
      </c>
    </row>
    <row r="7" spans="4:6" ht="15.75">
      <c r="D7" s="71" t="s">
        <v>198</v>
      </c>
      <c r="E7" s="50">
        <f>$E$6*$E$3/1000</f>
        <v>65350458.13000001</v>
      </c>
      <c r="F7" s="50">
        <f>$F$6*$F$3/1000</f>
        <v>52823745.72787398</v>
      </c>
    </row>
    <row r="8" spans="4:6" ht="15.75">
      <c r="D8" s="71" t="s">
        <v>199</v>
      </c>
      <c r="E8" s="50">
        <f>$E$5*$E$4/1000</f>
        <v>1762391165.5271425</v>
      </c>
      <c r="F8" s="50">
        <f>$F$5*$F$4/1000</f>
        <v>327381434.8399999</v>
      </c>
    </row>
    <row r="9" spans="3:4" ht="15.75">
      <c r="C9" s="71"/>
      <c r="D9" s="71"/>
    </row>
    <row r="10" spans="1:9" s="8" customFormat="1" ht="111.75" customHeight="1">
      <c r="A10" s="3" t="s">
        <v>38</v>
      </c>
      <c r="B10" s="3" t="s">
        <v>337</v>
      </c>
      <c r="C10" s="3" t="s">
        <v>353</v>
      </c>
      <c r="D10" s="3" t="s">
        <v>281</v>
      </c>
      <c r="E10" s="3" t="s">
        <v>192</v>
      </c>
      <c r="F10" s="3" t="s">
        <v>193</v>
      </c>
      <c r="G10" s="9" t="s">
        <v>154</v>
      </c>
      <c r="H10" s="9" t="s">
        <v>153</v>
      </c>
      <c r="I10" s="9" t="s">
        <v>152</v>
      </c>
    </row>
    <row r="11" spans="1:9" s="7" customFormat="1" ht="31.5">
      <c r="A11" s="9">
        <v>1</v>
      </c>
      <c r="B11" s="9">
        <v>2</v>
      </c>
      <c r="C11" s="9">
        <v>3</v>
      </c>
      <c r="D11" s="9" t="s">
        <v>197</v>
      </c>
      <c r="E11" s="9">
        <v>5</v>
      </c>
      <c r="F11" s="9" t="s">
        <v>196</v>
      </c>
      <c r="G11" s="3" t="s">
        <v>243</v>
      </c>
      <c r="H11" s="9">
        <v>8</v>
      </c>
      <c r="I11" s="9">
        <v>9</v>
      </c>
    </row>
    <row r="12" spans="1:9" ht="15.75">
      <c r="A12" s="5" t="s">
        <v>0</v>
      </c>
      <c r="B12" s="48">
        <v>1163724</v>
      </c>
      <c r="C12" s="45">
        <v>2094474760.35</v>
      </c>
      <c r="D12" s="45">
        <f>$C12/$B12*1000</f>
        <v>1799803.6994596657</v>
      </c>
      <c r="E12" s="45">
        <f>$E$7+($E$8-$E$7)*($B12-$E$3)/($E$4-$E$3)</f>
        <v>1762391165.5271425</v>
      </c>
      <c r="F12" s="45">
        <f>$C12-$E12</f>
        <v>332083594.8228574</v>
      </c>
      <c r="G12" s="44">
        <f>IF($F12/$C12&lt;0,0,$F12/$C12)</f>
        <v>0.15855220655290403</v>
      </c>
      <c r="H12" s="44">
        <f>($G12-$B$4)/($B$3-$B$4)</f>
        <v>0.4768211914508278</v>
      </c>
      <c r="I12" s="45">
        <f>$H12*$B$5</f>
        <v>-0.4768211914508278</v>
      </c>
    </row>
    <row r="13" spans="1:9" ht="15.75">
      <c r="A13" s="5" t="s">
        <v>1</v>
      </c>
      <c r="B13" s="48">
        <v>674630</v>
      </c>
      <c r="C13" s="45">
        <v>1021687231.68</v>
      </c>
      <c r="D13" s="45">
        <f aca="true" t="shared" si="0" ref="D13:D48">$C13/$B13*1000</f>
        <v>1514440.851548256</v>
      </c>
      <c r="E13" s="45">
        <f aca="true" t="shared" si="1" ref="E13:E21">$E$7+($E$8-$E$7)*($B13-$E$3)/($E$4-$E$3)</f>
        <v>1036560164.6616693</v>
      </c>
      <c r="F13" s="45">
        <f aca="true" t="shared" si="2" ref="F13:F48">$C13-$E13</f>
        <v>-14872932.981669307</v>
      </c>
      <c r="G13" s="44">
        <f aca="true" t="shared" si="3" ref="G13:G48">IF($F13/$C13&lt;0,0,$F13/$C13)</f>
        <v>0</v>
      </c>
      <c r="H13" s="44">
        <f aca="true" t="shared" si="4" ref="H13:H48">($G13-$B$4)/($B$3-$B$4)</f>
        <v>0</v>
      </c>
      <c r="I13" s="45">
        <f aca="true" t="shared" si="5" ref="I13:I48">$H13*$B$5</f>
        <v>0</v>
      </c>
    </row>
    <row r="14" spans="1:9" ht="15.75">
      <c r="A14" s="5" t="s">
        <v>2</v>
      </c>
      <c r="B14" s="48">
        <v>164066</v>
      </c>
      <c r="C14" s="45">
        <v>323231835.52</v>
      </c>
      <c r="D14" s="45">
        <f t="shared" si="0"/>
        <v>1970132.9679519217</v>
      </c>
      <c r="E14" s="45">
        <f t="shared" si="1"/>
        <v>278867003.17148656</v>
      </c>
      <c r="F14" s="45">
        <f t="shared" si="2"/>
        <v>44364832.348513424</v>
      </c>
      <c r="G14" s="44">
        <f t="shared" si="3"/>
        <v>0.1372539071751438</v>
      </c>
      <c r="H14" s="44">
        <f t="shared" si="4"/>
        <v>0.41276985652480463</v>
      </c>
      <c r="I14" s="45">
        <f t="shared" si="5"/>
        <v>-0.41276985652480463</v>
      </c>
    </row>
    <row r="15" spans="1:9" ht="15.75">
      <c r="A15" s="5" t="s">
        <v>3</v>
      </c>
      <c r="B15" s="48">
        <v>99247</v>
      </c>
      <c r="C15" s="45">
        <v>197313207.25</v>
      </c>
      <c r="D15" s="45">
        <f t="shared" si="0"/>
        <v>1988102.4842060718</v>
      </c>
      <c r="E15" s="45">
        <f t="shared" si="1"/>
        <v>182673552.33156803</v>
      </c>
      <c r="F15" s="45">
        <f t="shared" si="2"/>
        <v>14639654.918431967</v>
      </c>
      <c r="G15" s="44">
        <f t="shared" si="3"/>
        <v>0.07419500763516157</v>
      </c>
      <c r="H15" s="44">
        <f t="shared" si="4"/>
        <v>0.2231299879670645</v>
      </c>
      <c r="I15" s="45">
        <f t="shared" si="5"/>
        <v>-0.2231299879670645</v>
      </c>
    </row>
    <row r="16" spans="1:9" ht="15.75">
      <c r="A16" s="5" t="s">
        <v>4</v>
      </c>
      <c r="B16" s="48">
        <v>69177</v>
      </c>
      <c r="C16" s="45">
        <v>145758788.63</v>
      </c>
      <c r="D16" s="45">
        <f t="shared" si="0"/>
        <v>2107041.1933156974</v>
      </c>
      <c r="E16" s="45">
        <f t="shared" si="1"/>
        <v>138048719.07656026</v>
      </c>
      <c r="F16" s="45">
        <f t="shared" si="2"/>
        <v>7710069.553439736</v>
      </c>
      <c r="G16" s="44">
        <f t="shared" si="3"/>
        <v>0.05289608692489404</v>
      </c>
      <c r="H16" s="44">
        <f t="shared" si="4"/>
        <v>0.15907678447980936</v>
      </c>
      <c r="I16" s="45">
        <f t="shared" si="5"/>
        <v>-0.15907678447980936</v>
      </c>
    </row>
    <row r="17" spans="1:9" ht="15.75">
      <c r="A17" s="5" t="s">
        <v>5</v>
      </c>
      <c r="B17" s="48">
        <v>46755</v>
      </c>
      <c r="C17" s="45">
        <v>98038685.85</v>
      </c>
      <c r="D17" s="45">
        <f t="shared" si="0"/>
        <v>2096859.9262111</v>
      </c>
      <c r="E17" s="45">
        <f t="shared" si="1"/>
        <v>104773760.27231067</v>
      </c>
      <c r="F17" s="45">
        <f t="shared" si="2"/>
        <v>-6735074.42231068</v>
      </c>
      <c r="G17" s="44">
        <f t="shared" si="3"/>
        <v>0</v>
      </c>
      <c r="H17" s="44">
        <f t="shared" si="4"/>
        <v>0</v>
      </c>
      <c r="I17" s="45">
        <f t="shared" si="5"/>
        <v>0</v>
      </c>
    </row>
    <row r="18" spans="1:9" ht="15.75">
      <c r="A18" s="5" t="s">
        <v>6</v>
      </c>
      <c r="B18" s="48">
        <v>52957</v>
      </c>
      <c r="C18" s="45">
        <v>129089983.58</v>
      </c>
      <c r="D18" s="45">
        <f t="shared" si="0"/>
        <v>2437637.7736654268</v>
      </c>
      <c r="E18" s="45">
        <f t="shared" si="1"/>
        <v>113977724.88313736</v>
      </c>
      <c r="F18" s="45">
        <f t="shared" si="2"/>
        <v>15112258.696862638</v>
      </c>
      <c r="G18" s="44">
        <f t="shared" si="3"/>
        <v>0.11706763203279229</v>
      </c>
      <c r="H18" s="44">
        <f t="shared" si="4"/>
        <v>0.35206276216394106</v>
      </c>
      <c r="I18" s="45">
        <f t="shared" si="5"/>
        <v>-0.35206276216394106</v>
      </c>
    </row>
    <row r="19" spans="1:9" ht="15.75">
      <c r="A19" s="5" t="s">
        <v>7</v>
      </c>
      <c r="B19" s="48">
        <v>20190</v>
      </c>
      <c r="C19" s="45">
        <v>65350458.13</v>
      </c>
      <c r="D19" s="45">
        <f t="shared" si="0"/>
        <v>3236773.557701833</v>
      </c>
      <c r="E19" s="45">
        <f t="shared" si="1"/>
        <v>65350458.13000001</v>
      </c>
      <c r="F19" s="45">
        <f t="shared" si="2"/>
        <v>0</v>
      </c>
      <c r="G19" s="44">
        <f t="shared" si="3"/>
        <v>0</v>
      </c>
      <c r="H19" s="44">
        <f t="shared" si="4"/>
        <v>0</v>
      </c>
      <c r="I19" s="45">
        <f t="shared" si="5"/>
        <v>0</v>
      </c>
    </row>
    <row r="20" spans="1:9" ht="15.75">
      <c r="A20" s="5" t="s">
        <v>8</v>
      </c>
      <c r="B20" s="48">
        <v>57729</v>
      </c>
      <c r="C20" s="45">
        <v>115420485.13</v>
      </c>
      <c r="D20" s="45">
        <f t="shared" si="0"/>
        <v>1999350.1555544005</v>
      </c>
      <c r="E20" s="45">
        <f t="shared" si="1"/>
        <v>121059524.16125166</v>
      </c>
      <c r="F20" s="45">
        <f t="shared" si="2"/>
        <v>-5639039.031251669</v>
      </c>
      <c r="G20" s="44">
        <f t="shared" si="3"/>
        <v>0</v>
      </c>
      <c r="H20" s="44">
        <f t="shared" si="4"/>
        <v>0</v>
      </c>
      <c r="I20" s="45">
        <f t="shared" si="5"/>
        <v>0</v>
      </c>
    </row>
    <row r="21" spans="1:9" ht="15.75">
      <c r="A21" s="5" t="s">
        <v>9</v>
      </c>
      <c r="B21" s="48">
        <v>27913</v>
      </c>
      <c r="C21" s="45">
        <v>54478053.04</v>
      </c>
      <c r="D21" s="45">
        <f t="shared" si="0"/>
        <v>1951708.9900763086</v>
      </c>
      <c r="E21" s="45">
        <f t="shared" si="1"/>
        <v>76811634.95834804</v>
      </c>
      <c r="F21" s="45">
        <f t="shared" si="2"/>
        <v>-22333581.918348037</v>
      </c>
      <c r="G21" s="44">
        <f t="shared" si="3"/>
        <v>0</v>
      </c>
      <c r="H21" s="44">
        <f t="shared" si="4"/>
        <v>0</v>
      </c>
      <c r="I21" s="45">
        <f t="shared" si="5"/>
        <v>0</v>
      </c>
    </row>
    <row r="22" spans="1:9" ht="15.75">
      <c r="A22" s="5" t="s">
        <v>10</v>
      </c>
      <c r="B22" s="48">
        <v>10649</v>
      </c>
      <c r="C22" s="45">
        <v>60427550.57</v>
      </c>
      <c r="D22" s="45">
        <f t="shared" si="0"/>
        <v>5674481.22546718</v>
      </c>
      <c r="E22" s="45">
        <f>$F$7+($F$8-$F$7)*($B22-$F$3)/($F$4-$F$3)</f>
        <v>55947932.032425135</v>
      </c>
      <c r="F22" s="45">
        <f t="shared" si="2"/>
        <v>4479618.537574865</v>
      </c>
      <c r="G22" s="44">
        <f t="shared" si="3"/>
        <v>0.07413205558258763</v>
      </c>
      <c r="H22" s="44">
        <f t="shared" si="4"/>
        <v>0.22294066942419982</v>
      </c>
      <c r="I22" s="45">
        <f t="shared" si="5"/>
        <v>-0.22294066942419982</v>
      </c>
    </row>
    <row r="23" spans="1:9" ht="15.75">
      <c r="A23" s="5" t="s">
        <v>11</v>
      </c>
      <c r="B23" s="48">
        <v>36495</v>
      </c>
      <c r="C23" s="45">
        <v>112270991.15</v>
      </c>
      <c r="D23" s="45">
        <f t="shared" si="0"/>
        <v>3076338.982052336</v>
      </c>
      <c r="E23" s="45">
        <f aca="true" t="shared" si="6" ref="E23:E48">$F$7+($F$8-$F$7)*($B23-$F$3)/($F$4-$F$3)</f>
        <v>116207423.9931932</v>
      </c>
      <c r="F23" s="45">
        <f t="shared" si="2"/>
        <v>-3936432.8431931883</v>
      </c>
      <c r="G23" s="44">
        <f t="shared" si="3"/>
        <v>0</v>
      </c>
      <c r="H23" s="44">
        <f t="shared" si="4"/>
        <v>0</v>
      </c>
      <c r="I23" s="45">
        <f t="shared" si="5"/>
        <v>0</v>
      </c>
    </row>
    <row r="24" spans="1:9" ht="15.75">
      <c r="A24" s="5" t="s">
        <v>12</v>
      </c>
      <c r="B24" s="48">
        <v>13077</v>
      </c>
      <c r="C24" s="45">
        <v>64573006.23</v>
      </c>
      <c r="D24" s="45">
        <f t="shared" si="0"/>
        <v>4937906.724019269</v>
      </c>
      <c r="E24" s="45">
        <f t="shared" si="6"/>
        <v>61608771.097686484</v>
      </c>
      <c r="F24" s="45">
        <f t="shared" si="2"/>
        <v>2964235.1323135123</v>
      </c>
      <c r="G24" s="44">
        <f t="shared" si="3"/>
        <v>0.045905174706522445</v>
      </c>
      <c r="H24" s="44">
        <f t="shared" si="4"/>
        <v>0.13805269931717343</v>
      </c>
      <c r="I24" s="45">
        <f t="shared" si="5"/>
        <v>-0.13805269931717343</v>
      </c>
    </row>
    <row r="25" spans="1:9" ht="15.75">
      <c r="A25" s="5" t="s">
        <v>13</v>
      </c>
      <c r="B25" s="48">
        <v>18041</v>
      </c>
      <c r="C25" s="45">
        <v>59410574.54</v>
      </c>
      <c r="D25" s="45">
        <f t="shared" si="0"/>
        <v>3293086.55506901</v>
      </c>
      <c r="E25" s="45">
        <f t="shared" si="6"/>
        <v>73182249.31842674</v>
      </c>
      <c r="F25" s="45">
        <f t="shared" si="2"/>
        <v>-13771674.778426744</v>
      </c>
      <c r="G25" s="44">
        <f t="shared" si="3"/>
        <v>0</v>
      </c>
      <c r="H25" s="44">
        <f t="shared" si="4"/>
        <v>0</v>
      </c>
      <c r="I25" s="45">
        <f t="shared" si="5"/>
        <v>0</v>
      </c>
    </row>
    <row r="26" spans="1:9" ht="15.75">
      <c r="A26" s="5" t="s">
        <v>14</v>
      </c>
      <c r="B26" s="48">
        <v>17336</v>
      </c>
      <c r="C26" s="45">
        <v>75495565.62</v>
      </c>
      <c r="D26" s="45">
        <f t="shared" si="0"/>
        <v>4354843.42524227</v>
      </c>
      <c r="E26" s="45">
        <f t="shared" si="6"/>
        <v>71538554.28506213</v>
      </c>
      <c r="F26" s="45">
        <f t="shared" si="2"/>
        <v>3957011.3349378705</v>
      </c>
      <c r="G26" s="44">
        <f t="shared" si="3"/>
        <v>0.05241382460600565</v>
      </c>
      <c r="H26" s="44">
        <f t="shared" si="4"/>
        <v>0.1576264552886639</v>
      </c>
      <c r="I26" s="45">
        <f t="shared" si="5"/>
        <v>-0.1576264552886639</v>
      </c>
    </row>
    <row r="27" spans="1:9" ht="15.75">
      <c r="A27" s="5" t="s">
        <v>15</v>
      </c>
      <c r="B27" s="48">
        <v>22484</v>
      </c>
      <c r="C27" s="45">
        <v>83237322.82</v>
      </c>
      <c r="D27" s="45">
        <f t="shared" si="0"/>
        <v>3702069.15228607</v>
      </c>
      <c r="E27" s="45">
        <f t="shared" si="6"/>
        <v>83541025.25209898</v>
      </c>
      <c r="F27" s="45">
        <f t="shared" si="2"/>
        <v>-303702.4320989847</v>
      </c>
      <c r="G27" s="44">
        <f t="shared" si="3"/>
        <v>0</v>
      </c>
      <c r="H27" s="44">
        <f t="shared" si="4"/>
        <v>0</v>
      </c>
      <c r="I27" s="45">
        <f t="shared" si="5"/>
        <v>0</v>
      </c>
    </row>
    <row r="28" spans="1:9" ht="15.75">
      <c r="A28" s="5" t="s">
        <v>16</v>
      </c>
      <c r="B28" s="48">
        <v>127070</v>
      </c>
      <c r="C28" s="45">
        <v>327381434.84</v>
      </c>
      <c r="D28" s="45">
        <f t="shared" si="0"/>
        <v>2576386.517982214</v>
      </c>
      <c r="E28" s="45">
        <f t="shared" si="6"/>
        <v>327381434.8399999</v>
      </c>
      <c r="F28" s="45">
        <f t="shared" si="2"/>
        <v>0</v>
      </c>
      <c r="G28" s="44">
        <f t="shared" si="3"/>
        <v>0</v>
      </c>
      <c r="H28" s="44">
        <f t="shared" si="4"/>
        <v>0</v>
      </c>
      <c r="I28" s="45">
        <f t="shared" si="5"/>
        <v>0</v>
      </c>
    </row>
    <row r="29" spans="1:9" ht="15.75">
      <c r="A29" s="5" t="s">
        <v>17</v>
      </c>
      <c r="B29" s="48">
        <v>9309</v>
      </c>
      <c r="C29" s="45">
        <v>49510202.49</v>
      </c>
      <c r="D29" s="45">
        <f t="shared" si="0"/>
        <v>5318530.72188205</v>
      </c>
      <c r="E29" s="45">
        <f t="shared" si="6"/>
        <v>52823745.72787398</v>
      </c>
      <c r="F29" s="45">
        <f t="shared" si="2"/>
        <v>-3313543.237873979</v>
      </c>
      <c r="G29" s="44">
        <f t="shared" si="3"/>
        <v>0</v>
      </c>
      <c r="H29" s="44">
        <f t="shared" si="4"/>
        <v>0</v>
      </c>
      <c r="I29" s="45">
        <f t="shared" si="5"/>
        <v>0</v>
      </c>
    </row>
    <row r="30" spans="1:9" ht="15.75">
      <c r="A30" s="5" t="s">
        <v>18</v>
      </c>
      <c r="B30" s="48">
        <v>12390</v>
      </c>
      <c r="C30" s="45">
        <v>63617308.15</v>
      </c>
      <c r="D30" s="45">
        <f t="shared" si="0"/>
        <v>5134568.857949959</v>
      </c>
      <c r="E30" s="45">
        <f t="shared" si="6"/>
        <v>60007042.74602481</v>
      </c>
      <c r="F30" s="45">
        <f t="shared" si="2"/>
        <v>3610265.4039751887</v>
      </c>
      <c r="G30" s="44">
        <f t="shared" si="3"/>
        <v>0.05674973539375053</v>
      </c>
      <c r="H30" s="44">
        <f t="shared" si="4"/>
        <v>0.17066603507620323</v>
      </c>
      <c r="I30" s="45">
        <f t="shared" si="5"/>
        <v>-0.17066603507620323</v>
      </c>
    </row>
    <row r="31" spans="1:9" ht="15.75">
      <c r="A31" s="5" t="s">
        <v>19</v>
      </c>
      <c r="B31" s="48">
        <v>30535</v>
      </c>
      <c r="C31" s="45">
        <v>100802220</v>
      </c>
      <c r="D31" s="45">
        <f t="shared" si="0"/>
        <v>3301202.554445718</v>
      </c>
      <c r="E31" s="45">
        <f t="shared" si="6"/>
        <v>102311789.38489103</v>
      </c>
      <c r="F31" s="45">
        <f t="shared" si="2"/>
        <v>-1509569.3848910332</v>
      </c>
      <c r="G31" s="44">
        <f t="shared" si="3"/>
        <v>0</v>
      </c>
      <c r="H31" s="44">
        <f t="shared" si="4"/>
        <v>0</v>
      </c>
      <c r="I31" s="45">
        <f t="shared" si="5"/>
        <v>0</v>
      </c>
    </row>
    <row r="32" spans="1:9" ht="15.75">
      <c r="A32" s="5" t="s">
        <v>20</v>
      </c>
      <c r="B32" s="48">
        <v>41008</v>
      </c>
      <c r="C32" s="45">
        <v>118472138.96</v>
      </c>
      <c r="D32" s="45">
        <f t="shared" si="0"/>
        <v>2889000.657432696</v>
      </c>
      <c r="E32" s="45">
        <f t="shared" si="6"/>
        <v>126729403.68904348</v>
      </c>
      <c r="F32" s="45">
        <f t="shared" si="2"/>
        <v>-8257264.729043484</v>
      </c>
      <c r="G32" s="44">
        <f t="shared" si="3"/>
        <v>0</v>
      </c>
      <c r="H32" s="44">
        <f t="shared" si="4"/>
        <v>0</v>
      </c>
      <c r="I32" s="45">
        <f t="shared" si="5"/>
        <v>0</v>
      </c>
    </row>
    <row r="33" spans="1:9" ht="15.75">
      <c r="A33" s="5" t="s">
        <v>21</v>
      </c>
      <c r="B33" s="48">
        <v>14206</v>
      </c>
      <c r="C33" s="45">
        <v>48287399.81</v>
      </c>
      <c r="D33" s="45">
        <f t="shared" si="0"/>
        <v>3399084.8803322543</v>
      </c>
      <c r="E33" s="45">
        <f t="shared" si="6"/>
        <v>64241014.63338668</v>
      </c>
      <c r="F33" s="45">
        <f t="shared" si="2"/>
        <v>-15953614.823386677</v>
      </c>
      <c r="G33" s="44">
        <f t="shared" si="3"/>
        <v>0</v>
      </c>
      <c r="H33" s="44">
        <f t="shared" si="4"/>
        <v>0</v>
      </c>
      <c r="I33" s="45">
        <f t="shared" si="5"/>
        <v>0</v>
      </c>
    </row>
    <row r="34" spans="1:9" ht="15.75">
      <c r="A34" s="5" t="s">
        <v>22</v>
      </c>
      <c r="B34" s="48">
        <v>21056</v>
      </c>
      <c r="C34" s="45">
        <v>75894553.69</v>
      </c>
      <c r="D34" s="45">
        <f t="shared" si="0"/>
        <v>3604414.59393997</v>
      </c>
      <c r="E34" s="45">
        <f t="shared" si="6"/>
        <v>80211668.50366685</v>
      </c>
      <c r="F34" s="45">
        <f t="shared" si="2"/>
        <v>-4317114.81366685</v>
      </c>
      <c r="G34" s="44">
        <f t="shared" si="3"/>
        <v>0</v>
      </c>
      <c r="H34" s="44">
        <f t="shared" si="4"/>
        <v>0</v>
      </c>
      <c r="I34" s="45">
        <f t="shared" si="5"/>
        <v>0</v>
      </c>
    </row>
    <row r="35" spans="1:9" ht="15.75">
      <c r="A35" s="5" t="s">
        <v>23</v>
      </c>
      <c r="B35" s="48">
        <v>16013</v>
      </c>
      <c r="C35" s="45">
        <v>68813386.78</v>
      </c>
      <c r="D35" s="45">
        <f t="shared" si="0"/>
        <v>4297345.080871792</v>
      </c>
      <c r="E35" s="45">
        <f t="shared" si="6"/>
        <v>68454003.17989708</v>
      </c>
      <c r="F35" s="45">
        <f t="shared" si="2"/>
        <v>359383.60010291636</v>
      </c>
      <c r="G35" s="44">
        <f t="shared" si="3"/>
        <v>0.005222582653167247</v>
      </c>
      <c r="H35" s="44">
        <f t="shared" si="4"/>
        <v>0.015706108021288974</v>
      </c>
      <c r="I35" s="45">
        <f t="shared" si="5"/>
        <v>-0.015706108021288974</v>
      </c>
    </row>
    <row r="36" spans="1:9" ht="15.75">
      <c r="A36" s="5" t="s">
        <v>24</v>
      </c>
      <c r="B36" s="48">
        <v>56520</v>
      </c>
      <c r="C36" s="45">
        <v>244045012.48</v>
      </c>
      <c r="D36" s="45">
        <f t="shared" si="0"/>
        <v>4317852.30856334</v>
      </c>
      <c r="E36" s="45">
        <f t="shared" si="6"/>
        <v>162895357.38769835</v>
      </c>
      <c r="F36" s="45">
        <f t="shared" si="2"/>
        <v>81149655.09230164</v>
      </c>
      <c r="G36" s="44">
        <f t="shared" si="3"/>
        <v>0.33251921138503915</v>
      </c>
      <c r="H36" s="44">
        <f t="shared" si="4"/>
        <v>1</v>
      </c>
      <c r="I36" s="45">
        <f t="shared" si="5"/>
        <v>-1</v>
      </c>
    </row>
    <row r="37" spans="1:9" ht="15.75">
      <c r="A37" s="5" t="s">
        <v>25</v>
      </c>
      <c r="B37" s="48">
        <v>10541</v>
      </c>
      <c r="C37" s="45">
        <v>45179451.68</v>
      </c>
      <c r="D37" s="45">
        <f t="shared" si="0"/>
        <v>4286068.843563229</v>
      </c>
      <c r="E37" s="45">
        <f t="shared" si="6"/>
        <v>55696131.94220758</v>
      </c>
      <c r="F37" s="45">
        <f t="shared" si="2"/>
        <v>-10516680.262207583</v>
      </c>
      <c r="G37" s="44">
        <f t="shared" si="3"/>
        <v>0</v>
      </c>
      <c r="H37" s="44">
        <f t="shared" si="4"/>
        <v>0</v>
      </c>
      <c r="I37" s="45">
        <f t="shared" si="5"/>
        <v>0</v>
      </c>
    </row>
    <row r="38" spans="1:9" ht="15.75">
      <c r="A38" s="5" t="s">
        <v>26</v>
      </c>
      <c r="B38" s="48">
        <v>32051</v>
      </c>
      <c r="C38" s="45">
        <v>88105348.21</v>
      </c>
      <c r="D38" s="45">
        <f t="shared" si="0"/>
        <v>2748911.0545692802</v>
      </c>
      <c r="E38" s="45">
        <f t="shared" si="6"/>
        <v>105846316.57720414</v>
      </c>
      <c r="F38" s="45">
        <f t="shared" si="2"/>
        <v>-17740968.367204145</v>
      </c>
      <c r="G38" s="44">
        <f t="shared" si="3"/>
        <v>0</v>
      </c>
      <c r="H38" s="44">
        <f t="shared" si="4"/>
        <v>0</v>
      </c>
      <c r="I38" s="45">
        <f t="shared" si="5"/>
        <v>0</v>
      </c>
    </row>
    <row r="39" spans="1:9" ht="15.75">
      <c r="A39" s="5" t="s">
        <v>27</v>
      </c>
      <c r="B39" s="48">
        <v>14590</v>
      </c>
      <c r="C39" s="45">
        <v>79601034.97</v>
      </c>
      <c r="D39" s="45">
        <f t="shared" si="0"/>
        <v>5455862.575051405</v>
      </c>
      <c r="E39" s="45">
        <f t="shared" si="6"/>
        <v>65136303.843049094</v>
      </c>
      <c r="F39" s="45">
        <f t="shared" si="2"/>
        <v>14464731.126950905</v>
      </c>
      <c r="G39" s="44">
        <f t="shared" si="3"/>
        <v>0.18171536503768282</v>
      </c>
      <c r="H39" s="44">
        <f t="shared" si="4"/>
        <v>0.5464808011566776</v>
      </c>
      <c r="I39" s="45">
        <f t="shared" si="5"/>
        <v>-0.5464808011566776</v>
      </c>
    </row>
    <row r="40" spans="1:9" ht="15.75">
      <c r="A40" s="5" t="s">
        <v>28</v>
      </c>
      <c r="B40" s="48">
        <v>25962</v>
      </c>
      <c r="C40" s="45">
        <v>90316373.89</v>
      </c>
      <c r="D40" s="45">
        <f t="shared" si="0"/>
        <v>3478791.07503274</v>
      </c>
      <c r="E40" s="45">
        <f t="shared" si="6"/>
        <v>91649920.75003101</v>
      </c>
      <c r="F40" s="45">
        <f t="shared" si="2"/>
        <v>-1333546.8600310087</v>
      </c>
      <c r="G40" s="44">
        <f t="shared" si="3"/>
        <v>0</v>
      </c>
      <c r="H40" s="44">
        <f t="shared" si="4"/>
        <v>0</v>
      </c>
      <c r="I40" s="45">
        <f t="shared" si="5"/>
        <v>0</v>
      </c>
    </row>
    <row r="41" spans="1:9" ht="15.75">
      <c r="A41" s="5" t="s">
        <v>29</v>
      </c>
      <c r="B41" s="48">
        <v>21741</v>
      </c>
      <c r="C41" s="45">
        <v>87145717.12</v>
      </c>
      <c r="D41" s="45">
        <f t="shared" si="0"/>
        <v>4008358.2687088912</v>
      </c>
      <c r="E41" s="45">
        <f t="shared" si="6"/>
        <v>81808733.89069486</v>
      </c>
      <c r="F41" s="45">
        <f t="shared" si="2"/>
        <v>5336983.229305148</v>
      </c>
      <c r="G41" s="44">
        <f t="shared" si="3"/>
        <v>0.06124205991622171</v>
      </c>
      <c r="H41" s="44">
        <f t="shared" si="4"/>
        <v>0.18417600493255934</v>
      </c>
      <c r="I41" s="45">
        <f t="shared" si="5"/>
        <v>-0.18417600493255934</v>
      </c>
    </row>
    <row r="42" spans="1:9" ht="15.75">
      <c r="A42" s="5" t="s">
        <v>30</v>
      </c>
      <c r="B42" s="48">
        <v>44027</v>
      </c>
      <c r="C42" s="45">
        <v>145610543.1</v>
      </c>
      <c r="D42" s="45">
        <f t="shared" si="0"/>
        <v>3307301.04481341</v>
      </c>
      <c r="E42" s="45">
        <f t="shared" si="6"/>
        <v>133768148.8035509</v>
      </c>
      <c r="F42" s="45">
        <f t="shared" si="2"/>
        <v>11842394.296449095</v>
      </c>
      <c r="G42" s="44">
        <f t="shared" si="3"/>
        <v>0.08132923649845995</v>
      </c>
      <c r="H42" s="44">
        <f t="shared" si="4"/>
        <v>0.24458507573051208</v>
      </c>
      <c r="I42" s="45">
        <f t="shared" si="5"/>
        <v>-0.24458507573051208</v>
      </c>
    </row>
    <row r="43" spans="1:9" ht="15.75">
      <c r="A43" s="5" t="s">
        <v>31</v>
      </c>
      <c r="B43" s="48">
        <v>84781</v>
      </c>
      <c r="C43" s="45">
        <v>253255032.08</v>
      </c>
      <c r="D43" s="45">
        <f t="shared" si="0"/>
        <v>2987167.314374683</v>
      </c>
      <c r="E43" s="45">
        <f t="shared" si="6"/>
        <v>228785379.14360896</v>
      </c>
      <c r="F43" s="45">
        <f t="shared" si="2"/>
        <v>24469652.936391056</v>
      </c>
      <c r="G43" s="44">
        <f t="shared" si="3"/>
        <v>0.0966205991463238</v>
      </c>
      <c r="H43" s="44">
        <f t="shared" si="4"/>
        <v>0.29057147929549976</v>
      </c>
      <c r="I43" s="45">
        <f t="shared" si="5"/>
        <v>-0.29057147929549976</v>
      </c>
    </row>
    <row r="44" spans="1:9" ht="15.75">
      <c r="A44" s="5" t="s">
        <v>32</v>
      </c>
      <c r="B44" s="48">
        <v>23643</v>
      </c>
      <c r="C44" s="45">
        <v>109702702.21</v>
      </c>
      <c r="D44" s="45">
        <f t="shared" si="0"/>
        <v>4639965.410903861</v>
      </c>
      <c r="E44" s="45">
        <f t="shared" si="6"/>
        <v>86243213.25730404</v>
      </c>
      <c r="F44" s="45">
        <f t="shared" si="2"/>
        <v>23459488.95269595</v>
      </c>
      <c r="G44" s="44">
        <f t="shared" si="3"/>
        <v>0.2138460446287666</v>
      </c>
      <c r="H44" s="44">
        <f t="shared" si="4"/>
        <v>0.6431088409539879</v>
      </c>
      <c r="I44" s="45">
        <f t="shared" si="5"/>
        <v>-0.6431088409539879</v>
      </c>
    </row>
    <row r="45" spans="1:9" ht="15.75">
      <c r="A45" s="5" t="s">
        <v>33</v>
      </c>
      <c r="B45" s="48">
        <v>15910</v>
      </c>
      <c r="C45" s="45">
        <v>73437133.76</v>
      </c>
      <c r="D45" s="45">
        <f t="shared" si="0"/>
        <v>4615784.6486486485</v>
      </c>
      <c r="E45" s="45">
        <f t="shared" si="6"/>
        <v>68213860.50126368</v>
      </c>
      <c r="F45" s="45">
        <f t="shared" si="2"/>
        <v>5223273.258736327</v>
      </c>
      <c r="G45" s="44">
        <f t="shared" si="3"/>
        <v>0.07112577780890134</v>
      </c>
      <c r="H45" s="44">
        <f t="shared" si="4"/>
        <v>0.21389975488225718</v>
      </c>
      <c r="I45" s="45">
        <f t="shared" si="5"/>
        <v>-0.21389975488225718</v>
      </c>
    </row>
    <row r="46" spans="1:9" ht="15.75">
      <c r="A46" s="5" t="s">
        <v>34</v>
      </c>
      <c r="B46" s="48">
        <v>14672</v>
      </c>
      <c r="C46" s="45">
        <v>69992233.08</v>
      </c>
      <c r="D46" s="45">
        <f t="shared" si="0"/>
        <v>4770462.996183206</v>
      </c>
      <c r="E46" s="45">
        <f t="shared" si="6"/>
        <v>65327485.393029094</v>
      </c>
      <c r="F46" s="45">
        <f t="shared" si="2"/>
        <v>4664747.6869709045</v>
      </c>
      <c r="G46" s="44">
        <f t="shared" si="3"/>
        <v>0.06664664751643476</v>
      </c>
      <c r="H46" s="44">
        <f t="shared" si="4"/>
        <v>0.20042946462801986</v>
      </c>
      <c r="I46" s="45">
        <f t="shared" si="5"/>
        <v>-0.20042946462801986</v>
      </c>
    </row>
    <row r="47" spans="1:9" ht="15.75">
      <c r="A47" s="5" t="s">
        <v>35</v>
      </c>
      <c r="B47" s="48">
        <v>12745</v>
      </c>
      <c r="C47" s="45">
        <v>62648770.36</v>
      </c>
      <c r="D47" s="45">
        <f t="shared" si="0"/>
        <v>4915556.717143978</v>
      </c>
      <c r="E47" s="45">
        <f t="shared" si="6"/>
        <v>60834718.96849918</v>
      </c>
      <c r="F47" s="45">
        <f t="shared" si="2"/>
        <v>1814051.3915008157</v>
      </c>
      <c r="G47" s="44">
        <f t="shared" si="3"/>
        <v>0.028955897794588667</v>
      </c>
      <c r="H47" s="44">
        <f t="shared" si="4"/>
        <v>0.0870803755186924</v>
      </c>
      <c r="I47" s="45">
        <f t="shared" si="5"/>
        <v>-0.0870803755186924</v>
      </c>
    </row>
    <row r="48" spans="1:9" ht="15.75">
      <c r="A48" s="5" t="s">
        <v>36</v>
      </c>
      <c r="B48" s="48">
        <v>19443</v>
      </c>
      <c r="C48" s="45">
        <v>92052252.63</v>
      </c>
      <c r="D48" s="45">
        <f t="shared" si="0"/>
        <v>4734467.552846783</v>
      </c>
      <c r="E48" s="45">
        <f t="shared" si="6"/>
        <v>76450987.52662131</v>
      </c>
      <c r="F48" s="45">
        <f t="shared" si="2"/>
        <v>15601265.103378683</v>
      </c>
      <c r="G48" s="44">
        <f t="shared" si="3"/>
        <v>0.16948270854475758</v>
      </c>
      <c r="H48" s="44">
        <f t="shared" si="4"/>
        <v>0.5096929823657792</v>
      </c>
      <c r="I48" s="45">
        <f t="shared" si="5"/>
        <v>-0.5096929823657792</v>
      </c>
    </row>
    <row r="49" spans="1:9" s="17" customFormat="1" ht="15.75">
      <c r="A49" s="14" t="s">
        <v>67</v>
      </c>
      <c r="B49" s="70">
        <f>SUM($B12:$B48)</f>
        <v>3142683</v>
      </c>
      <c r="C49" s="15">
        <f>SUM($C12:$C48)</f>
        <v>6994128750.379998</v>
      </c>
      <c r="D49" s="35">
        <f>$C49/$B49*1000</f>
        <v>2225527.916872302</v>
      </c>
      <c r="E49" s="15">
        <f>SUM($E$12:$E$48)</f>
        <v>6507356323.841911</v>
      </c>
      <c r="F49" s="35">
        <f>$C49-$E49</f>
        <v>486772426.5380869</v>
      </c>
      <c r="G49" s="15">
        <f>IF($F49/$C49&lt;0,0,$F49/$C49)</f>
        <v>0.06959729280242948</v>
      </c>
      <c r="H49" s="16"/>
      <c r="I49" s="16"/>
    </row>
    <row r="50" spans="1:2" ht="15.75">
      <c r="A50" s="6" t="s">
        <v>184</v>
      </c>
      <c r="B50" s="6"/>
    </row>
    <row r="52" spans="1:9" ht="33" customHeight="1">
      <c r="A52" s="118" t="s">
        <v>200</v>
      </c>
      <c r="B52" s="118"/>
      <c r="C52" s="118"/>
      <c r="D52" s="118"/>
      <c r="E52" s="118"/>
      <c r="F52" s="118"/>
      <c r="G52" s="118"/>
      <c r="H52" s="118"/>
      <c r="I52" s="118"/>
    </row>
    <row r="53" spans="1:9" ht="32.25" customHeight="1">
      <c r="A53" s="119" t="s">
        <v>204</v>
      </c>
      <c r="B53" s="119"/>
      <c r="C53" s="119"/>
      <c r="D53" s="119"/>
      <c r="E53" s="119"/>
      <c r="F53" s="119"/>
      <c r="G53" s="119"/>
      <c r="H53" s="119"/>
      <c r="I53" s="119"/>
    </row>
    <row r="54" spans="1:9" ht="32.25" customHeight="1">
      <c r="A54" s="118" t="s">
        <v>201</v>
      </c>
      <c r="B54" s="118"/>
      <c r="C54" s="118"/>
      <c r="D54" s="118"/>
      <c r="E54" s="118"/>
      <c r="F54" s="118"/>
      <c r="G54" s="118"/>
      <c r="H54" s="118"/>
      <c r="I54" s="118"/>
    </row>
    <row r="55" spans="1:9" ht="15.75">
      <c r="A55" s="116" t="s">
        <v>202</v>
      </c>
      <c r="B55" s="116"/>
      <c r="C55" s="116"/>
      <c r="D55" s="116"/>
      <c r="E55" s="116"/>
      <c r="F55" s="116"/>
      <c r="G55" s="116"/>
      <c r="H55" s="116"/>
      <c r="I55" s="116"/>
    </row>
    <row r="56" spans="1:9" ht="15.75">
      <c r="A56" s="116" t="s">
        <v>203</v>
      </c>
      <c r="B56" s="116"/>
      <c r="C56" s="116"/>
      <c r="D56" s="116"/>
      <c r="E56" s="116"/>
      <c r="F56" s="116"/>
      <c r="G56" s="116"/>
      <c r="H56" s="116"/>
      <c r="I56" s="116"/>
    </row>
  </sheetData>
  <sheetProtection/>
  <mergeCells count="6">
    <mergeCell ref="A56:I56"/>
    <mergeCell ref="A1:I1"/>
    <mergeCell ref="A52:I52"/>
    <mergeCell ref="A54:I54"/>
    <mergeCell ref="A53:I53"/>
    <mergeCell ref="A55:I55"/>
  </mergeCells>
  <conditionalFormatting sqref="I12:I48">
    <cfRule type="cellIs" priority="1" dxfId="133" operator="equal" stopIfTrue="1">
      <formula>-1</formula>
    </cfRule>
    <cfRule type="cellIs" priority="2" dxfId="132" operator="equal" stopIfTrue="1">
      <formula>0</formula>
    </cfRule>
  </conditionalFormatting>
  <printOptions horizontalCentered="1"/>
  <pageMargins left="0.15748031496062992" right="0.1968503937007874" top="0.53" bottom="0.2362204724409449" header="0.15748031496062992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I56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24.421875" style="39" customWidth="1"/>
    <col min="2" max="3" width="15.421875" style="39" customWidth="1"/>
    <col min="4" max="4" width="16.140625" style="39" customWidth="1"/>
    <col min="5" max="5" width="16.57421875" style="39" customWidth="1"/>
    <col min="6" max="6" width="16.00390625" style="39" customWidth="1"/>
    <col min="7" max="7" width="11.57421875" style="39" customWidth="1"/>
    <col min="8" max="8" width="8.140625" style="39" customWidth="1"/>
    <col min="9" max="9" width="17.140625" style="39" customWidth="1"/>
    <col min="10" max="16384" width="9.140625" style="39" customWidth="1"/>
  </cols>
  <sheetData>
    <row r="1" spans="1:9" ht="28.5" customHeight="1">
      <c r="A1" s="117" t="s">
        <v>208</v>
      </c>
      <c r="B1" s="117"/>
      <c r="C1" s="117"/>
      <c r="D1" s="117"/>
      <c r="E1" s="117"/>
      <c r="F1" s="117"/>
      <c r="G1" s="117"/>
      <c r="H1" s="117"/>
      <c r="I1" s="117"/>
    </row>
    <row r="2" spans="3:6" ht="15.75">
      <c r="C2" s="71"/>
      <c r="D2" s="71"/>
      <c r="E2" s="69" t="s">
        <v>188</v>
      </c>
      <c r="F2" s="69" t="s">
        <v>189</v>
      </c>
    </row>
    <row r="3" spans="1:6" ht="15.75">
      <c r="A3" s="10" t="s">
        <v>319</v>
      </c>
      <c r="B3" s="26">
        <f>MAX($G$12:$G$48)</f>
        <v>0.3656633362232513</v>
      </c>
      <c r="D3" s="71" t="s">
        <v>190</v>
      </c>
      <c r="E3" s="55">
        <f>MIN($B$12:$B$21)</f>
        <v>20190</v>
      </c>
      <c r="F3" s="55">
        <f>MIN($B$22:$B$48)</f>
        <v>9309</v>
      </c>
    </row>
    <row r="4" spans="1:6" ht="15.75">
      <c r="A4" s="11" t="s">
        <v>320</v>
      </c>
      <c r="B4" s="27">
        <f>MIN($G$12:$G$48)</f>
        <v>0</v>
      </c>
      <c r="D4" s="71" t="s">
        <v>191</v>
      </c>
      <c r="E4" s="55">
        <f>MAX($B$12:$B$21)</f>
        <v>1163724</v>
      </c>
      <c r="F4" s="55">
        <f>MAX($B$22:$B$48)</f>
        <v>127070</v>
      </c>
    </row>
    <row r="5" spans="1:6" ht="15.75">
      <c r="A5" s="12" t="s">
        <v>321</v>
      </c>
      <c r="B5" s="13" t="s">
        <v>40</v>
      </c>
      <c r="D5" s="71" t="s">
        <v>322</v>
      </c>
      <c r="E5" s="50">
        <f>MIN($D$12:$D$21)</f>
        <v>1.9232764626536027</v>
      </c>
      <c r="F5" s="50">
        <f>MIN($D$22:$D$48)</f>
        <v>2.6363421736050996</v>
      </c>
    </row>
    <row r="6" spans="4:6" ht="15.75">
      <c r="D6" s="71" t="s">
        <v>323</v>
      </c>
      <c r="E6" s="50">
        <f>MAX($D$12:$D$21)</f>
        <v>4.457652303120357</v>
      </c>
      <c r="F6" s="50">
        <f>MAX($D$22:$D$48)</f>
        <v>9.130948544419379</v>
      </c>
    </row>
    <row r="7" spans="4:6" ht="15.75">
      <c r="D7" s="71" t="s">
        <v>198</v>
      </c>
      <c r="E7" s="50">
        <f>$E$6*$E$3/1000</f>
        <v>90</v>
      </c>
      <c r="F7" s="50">
        <f>$F$6*$F$3/1000</f>
        <v>85</v>
      </c>
    </row>
    <row r="8" spans="4:6" ht="15.75">
      <c r="D8" s="71" t="s">
        <v>199</v>
      </c>
      <c r="E8" s="50">
        <f>$E$5*$E$4/1000</f>
        <v>2238.162978225101</v>
      </c>
      <c r="F8" s="50">
        <f>$F$5*$F$4/1000</f>
        <v>335</v>
      </c>
    </row>
    <row r="9" spans="3:4" ht="15.75">
      <c r="C9" s="71"/>
      <c r="D9" s="71"/>
    </row>
    <row r="10" spans="1:9" s="8" customFormat="1" ht="129.75" customHeight="1">
      <c r="A10" s="3" t="s">
        <v>38</v>
      </c>
      <c r="B10" s="3" t="s">
        <v>337</v>
      </c>
      <c r="C10" s="3" t="s">
        <v>354</v>
      </c>
      <c r="D10" s="3" t="s">
        <v>324</v>
      </c>
      <c r="E10" s="3" t="s">
        <v>325</v>
      </c>
      <c r="F10" s="3" t="s">
        <v>326</v>
      </c>
      <c r="G10" s="9" t="s">
        <v>327</v>
      </c>
      <c r="H10" s="9" t="s">
        <v>328</v>
      </c>
      <c r="I10" s="9" t="s">
        <v>329</v>
      </c>
    </row>
    <row r="11" spans="1:9" s="7" customFormat="1" ht="31.5">
      <c r="A11" s="9">
        <v>1</v>
      </c>
      <c r="B11" s="9">
        <v>2</v>
      </c>
      <c r="C11" s="9">
        <v>3</v>
      </c>
      <c r="D11" s="9" t="s">
        <v>197</v>
      </c>
      <c r="E11" s="9">
        <v>5</v>
      </c>
      <c r="F11" s="9" t="s">
        <v>196</v>
      </c>
      <c r="G11" s="3" t="s">
        <v>243</v>
      </c>
      <c r="H11" s="9">
        <v>8</v>
      </c>
      <c r="I11" s="9">
        <v>9</v>
      </c>
    </row>
    <row r="12" spans="1:9" ht="15.75">
      <c r="A12" s="5" t="s">
        <v>0</v>
      </c>
      <c r="B12" s="84">
        <v>1163724</v>
      </c>
      <c r="C12" s="45">
        <v>2272.5</v>
      </c>
      <c r="D12" s="45">
        <f>$C12/$B12*1000</f>
        <v>1.9527826185590398</v>
      </c>
      <c r="E12" s="45">
        <f>$E$7+($E$8-$E$7)*($B12-$E$3)/($E$4-$E$3)</f>
        <v>2238.162978225101</v>
      </c>
      <c r="F12" s="45">
        <f>$C12-$E12</f>
        <v>34.33702177489886</v>
      </c>
      <c r="G12" s="44">
        <f>IF($F12/$C12&lt;0,0,$F12/$C12)</f>
        <v>0.015109800561011598</v>
      </c>
      <c r="H12" s="44">
        <f>($G12-$B$4)/($B$3-$B$4)</f>
        <v>0.041321617630777435</v>
      </c>
      <c r="I12" s="45">
        <f>$H12*$B$5</f>
        <v>-0.041321617630777435</v>
      </c>
    </row>
    <row r="13" spans="1:9" ht="15.75">
      <c r="A13" s="5" t="s">
        <v>1</v>
      </c>
      <c r="B13" s="84">
        <v>674630</v>
      </c>
      <c r="C13" s="45">
        <v>1297.5</v>
      </c>
      <c r="D13" s="45">
        <f aca="true" t="shared" si="0" ref="D13:D48">$C13/$B13*1000</f>
        <v>1.9232764626536027</v>
      </c>
      <c r="E13" s="45">
        <f aca="true" t="shared" si="1" ref="E13:E21">$E$7+($E$8-$E$7)*($B13-$E$3)/($E$4-$E$3)</f>
        <v>1319.3852036490696</v>
      </c>
      <c r="F13" s="45">
        <f aca="true" t="shared" si="2" ref="F13:F48">$C13-$E13</f>
        <v>-21.88520364906958</v>
      </c>
      <c r="G13" s="44">
        <f aca="true" t="shared" si="3" ref="G13:G48">IF($F13/$C13&lt;0,0,$F13/$C13)</f>
        <v>0</v>
      </c>
      <c r="H13" s="44">
        <f aca="true" t="shared" si="4" ref="H13:H48">($G13-$B$4)/($B$3-$B$4)</f>
        <v>0</v>
      </c>
      <c r="I13" s="45">
        <f aca="true" t="shared" si="5" ref="I13:I48">$H13*$B$5</f>
        <v>0</v>
      </c>
    </row>
    <row r="14" spans="1:9" ht="15.75">
      <c r="A14" s="5" t="s">
        <v>2</v>
      </c>
      <c r="B14" s="84">
        <v>164066</v>
      </c>
      <c r="C14" s="45">
        <v>382</v>
      </c>
      <c r="D14" s="45">
        <f t="shared" si="0"/>
        <v>2.3283312813136177</v>
      </c>
      <c r="E14" s="45">
        <f t="shared" si="1"/>
        <v>360.2753889741054</v>
      </c>
      <c r="F14" s="45">
        <f t="shared" si="2"/>
        <v>21.724611025894603</v>
      </c>
      <c r="G14" s="44">
        <f t="shared" si="3"/>
        <v>0.05687070949187069</v>
      </c>
      <c r="H14" s="44">
        <f t="shared" si="4"/>
        <v>0.15552751358465144</v>
      </c>
      <c r="I14" s="45">
        <f t="shared" si="5"/>
        <v>-0.15552751358465144</v>
      </c>
    </row>
    <row r="15" spans="1:9" ht="15.75">
      <c r="A15" s="5" t="s">
        <v>3</v>
      </c>
      <c r="B15" s="84">
        <v>99247</v>
      </c>
      <c r="C15" s="45">
        <v>234</v>
      </c>
      <c r="D15" s="45">
        <f t="shared" si="0"/>
        <v>2.357753886767358</v>
      </c>
      <c r="E15" s="45">
        <f t="shared" si="1"/>
        <v>238.51094988827776</v>
      </c>
      <c r="F15" s="45">
        <f t="shared" si="2"/>
        <v>-4.510949888277764</v>
      </c>
      <c r="G15" s="44">
        <f t="shared" si="3"/>
        <v>0</v>
      </c>
      <c r="H15" s="44">
        <f t="shared" si="4"/>
        <v>0</v>
      </c>
      <c r="I15" s="45">
        <f t="shared" si="5"/>
        <v>0</v>
      </c>
    </row>
    <row r="16" spans="1:9" ht="15.75">
      <c r="A16" s="5" t="s">
        <v>4</v>
      </c>
      <c r="B16" s="84">
        <v>69177</v>
      </c>
      <c r="C16" s="45">
        <v>155.5</v>
      </c>
      <c r="D16" s="45">
        <f t="shared" si="0"/>
        <v>2.247856946673027</v>
      </c>
      <c r="E16" s="45">
        <f t="shared" si="1"/>
        <v>182.02355138921365</v>
      </c>
      <c r="F16" s="45">
        <f t="shared" si="2"/>
        <v>-26.52355138921365</v>
      </c>
      <c r="G16" s="44">
        <f t="shared" si="3"/>
        <v>0</v>
      </c>
      <c r="H16" s="44">
        <f t="shared" si="4"/>
        <v>0</v>
      </c>
      <c r="I16" s="45">
        <f t="shared" si="5"/>
        <v>0</v>
      </c>
    </row>
    <row r="17" spans="1:9" ht="15.75">
      <c r="A17" s="5" t="s">
        <v>5</v>
      </c>
      <c r="B17" s="84">
        <v>46755</v>
      </c>
      <c r="C17" s="45">
        <v>112</v>
      </c>
      <c r="D17" s="45">
        <f t="shared" si="0"/>
        <v>2.395465725590846</v>
      </c>
      <c r="E17" s="45">
        <f t="shared" si="1"/>
        <v>139.9031506859873</v>
      </c>
      <c r="F17" s="45">
        <f t="shared" si="2"/>
        <v>-27.9031506859873</v>
      </c>
      <c r="G17" s="44">
        <f t="shared" si="3"/>
        <v>0</v>
      </c>
      <c r="H17" s="44">
        <f t="shared" si="4"/>
        <v>0</v>
      </c>
      <c r="I17" s="45">
        <f t="shared" si="5"/>
        <v>0</v>
      </c>
    </row>
    <row r="18" spans="1:9" ht="15.75">
      <c r="A18" s="5" t="s">
        <v>6</v>
      </c>
      <c r="B18" s="84">
        <v>52957</v>
      </c>
      <c r="C18" s="45">
        <v>150.5</v>
      </c>
      <c r="D18" s="45">
        <f t="shared" si="0"/>
        <v>2.841928356968862</v>
      </c>
      <c r="E18" s="45">
        <f t="shared" si="1"/>
        <v>151.5537940345472</v>
      </c>
      <c r="F18" s="45">
        <f t="shared" si="2"/>
        <v>-1.0537940345471952</v>
      </c>
      <c r="G18" s="44">
        <f t="shared" si="3"/>
        <v>0</v>
      </c>
      <c r="H18" s="44">
        <f t="shared" si="4"/>
        <v>0</v>
      </c>
      <c r="I18" s="45">
        <f t="shared" si="5"/>
        <v>0</v>
      </c>
    </row>
    <row r="19" spans="1:9" ht="15.75">
      <c r="A19" s="5" t="s">
        <v>7</v>
      </c>
      <c r="B19" s="84">
        <v>20190</v>
      </c>
      <c r="C19" s="45">
        <v>90</v>
      </c>
      <c r="D19" s="45">
        <f t="shared" si="0"/>
        <v>4.457652303120357</v>
      </c>
      <c r="E19" s="45">
        <f t="shared" si="1"/>
        <v>90</v>
      </c>
      <c r="F19" s="45">
        <f t="shared" si="2"/>
        <v>0</v>
      </c>
      <c r="G19" s="44">
        <f t="shared" si="3"/>
        <v>0</v>
      </c>
      <c r="H19" s="44">
        <f t="shared" si="4"/>
        <v>0</v>
      </c>
      <c r="I19" s="45">
        <f t="shared" si="5"/>
        <v>0</v>
      </c>
    </row>
    <row r="20" spans="1:9" ht="15.75">
      <c r="A20" s="5" t="s">
        <v>8</v>
      </c>
      <c r="B20" s="84">
        <v>57729</v>
      </c>
      <c r="C20" s="45">
        <v>139.5</v>
      </c>
      <c r="D20" s="45">
        <f t="shared" si="0"/>
        <v>2.41646312944967</v>
      </c>
      <c r="E20" s="45">
        <f t="shared" si="1"/>
        <v>160.5181394165736</v>
      </c>
      <c r="F20" s="45">
        <f t="shared" si="2"/>
        <v>-21.018139416573604</v>
      </c>
      <c r="G20" s="44">
        <f t="shared" si="3"/>
        <v>0</v>
      </c>
      <c r="H20" s="44">
        <f t="shared" si="4"/>
        <v>0</v>
      </c>
      <c r="I20" s="45">
        <f t="shared" si="5"/>
        <v>0</v>
      </c>
    </row>
    <row r="21" spans="1:9" ht="15.75">
      <c r="A21" s="5" t="s">
        <v>9</v>
      </c>
      <c r="B21" s="84">
        <v>27913</v>
      </c>
      <c r="C21" s="45">
        <v>84</v>
      </c>
      <c r="D21" s="45">
        <f t="shared" si="0"/>
        <v>3.009350481854333</v>
      </c>
      <c r="E21" s="45">
        <f t="shared" si="1"/>
        <v>104.50788754932731</v>
      </c>
      <c r="F21" s="45">
        <f t="shared" si="2"/>
        <v>-20.507887549327307</v>
      </c>
      <c r="G21" s="44">
        <f t="shared" si="3"/>
        <v>0</v>
      </c>
      <c r="H21" s="44">
        <f t="shared" si="4"/>
        <v>0</v>
      </c>
      <c r="I21" s="45">
        <f t="shared" si="5"/>
        <v>0</v>
      </c>
    </row>
    <row r="22" spans="1:9" ht="15.75">
      <c r="A22" s="5" t="s">
        <v>10</v>
      </c>
      <c r="B22" s="84">
        <v>10649</v>
      </c>
      <c r="C22" s="45">
        <v>94</v>
      </c>
      <c r="D22" s="45">
        <f t="shared" si="0"/>
        <v>8.827119917363133</v>
      </c>
      <c r="E22" s="45">
        <f>$F$7+($F$8-$F$7)*($B22-$F$3)/($F$4-$F$3)</f>
        <v>87.84474486459864</v>
      </c>
      <c r="F22" s="45">
        <f t="shared" si="2"/>
        <v>6.155255135401362</v>
      </c>
      <c r="G22" s="44">
        <f t="shared" si="3"/>
        <v>0.06548143761065278</v>
      </c>
      <c r="H22" s="44">
        <f t="shared" si="4"/>
        <v>0.17907575390788943</v>
      </c>
      <c r="I22" s="45">
        <f t="shared" si="5"/>
        <v>-0.17907575390788943</v>
      </c>
    </row>
    <row r="23" spans="1:9" ht="15.75">
      <c r="A23" s="5" t="s">
        <v>11</v>
      </c>
      <c r="B23" s="84">
        <v>36495</v>
      </c>
      <c r="C23" s="45">
        <v>160</v>
      </c>
      <c r="D23" s="45">
        <f t="shared" si="0"/>
        <v>4.384162214001918</v>
      </c>
      <c r="E23" s="45">
        <f aca="true" t="shared" si="6" ref="E23:E48">$F$7+($F$8-$F$7)*($B23-$F$3)/($F$4-$F$3)</f>
        <v>142.71435364849145</v>
      </c>
      <c r="F23" s="45">
        <f t="shared" si="2"/>
        <v>17.285646351508547</v>
      </c>
      <c r="G23" s="44">
        <f t="shared" si="3"/>
        <v>0.10803528969692841</v>
      </c>
      <c r="H23" s="44">
        <f t="shared" si="4"/>
        <v>0.2954501559078069</v>
      </c>
      <c r="I23" s="45">
        <f t="shared" si="5"/>
        <v>-0.2954501559078069</v>
      </c>
    </row>
    <row r="24" spans="1:9" ht="15.75">
      <c r="A24" s="5" t="s">
        <v>12</v>
      </c>
      <c r="B24" s="84">
        <v>13077</v>
      </c>
      <c r="C24" s="45">
        <v>88</v>
      </c>
      <c r="D24" s="45">
        <f t="shared" si="0"/>
        <v>6.729372180163646</v>
      </c>
      <c r="E24" s="45">
        <f t="shared" si="6"/>
        <v>92.99925272373706</v>
      </c>
      <c r="F24" s="45">
        <f t="shared" si="2"/>
        <v>-4.999252723737058</v>
      </c>
      <c r="G24" s="44">
        <f t="shared" si="3"/>
        <v>0</v>
      </c>
      <c r="H24" s="44">
        <f t="shared" si="4"/>
        <v>0</v>
      </c>
      <c r="I24" s="45">
        <f t="shared" si="5"/>
        <v>0</v>
      </c>
    </row>
    <row r="25" spans="1:9" ht="15.75">
      <c r="A25" s="5" t="s">
        <v>13</v>
      </c>
      <c r="B25" s="84">
        <v>18041</v>
      </c>
      <c r="C25" s="45">
        <v>67</v>
      </c>
      <c r="D25" s="45">
        <f t="shared" si="0"/>
        <v>3.713763095172108</v>
      </c>
      <c r="E25" s="45">
        <f t="shared" si="6"/>
        <v>103.53754638632485</v>
      </c>
      <c r="F25" s="45">
        <f t="shared" si="2"/>
        <v>-36.53754638632485</v>
      </c>
      <c r="G25" s="44">
        <f t="shared" si="3"/>
        <v>0</v>
      </c>
      <c r="H25" s="44">
        <f t="shared" si="4"/>
        <v>0</v>
      </c>
      <c r="I25" s="45">
        <f t="shared" si="5"/>
        <v>0</v>
      </c>
    </row>
    <row r="26" spans="1:9" ht="15.75">
      <c r="A26" s="5" t="s">
        <v>14</v>
      </c>
      <c r="B26" s="84">
        <v>17336</v>
      </c>
      <c r="C26" s="45">
        <v>116</v>
      </c>
      <c r="D26" s="45">
        <f t="shared" si="0"/>
        <v>6.6912782648823255</v>
      </c>
      <c r="E26" s="45">
        <f t="shared" si="6"/>
        <v>102.04087091651735</v>
      </c>
      <c r="F26" s="45">
        <f t="shared" si="2"/>
        <v>13.959129083482651</v>
      </c>
      <c r="G26" s="44">
        <f t="shared" si="3"/>
        <v>0.12033731968519526</v>
      </c>
      <c r="H26" s="44">
        <f t="shared" si="4"/>
        <v>0.32909320613900644</v>
      </c>
      <c r="I26" s="45">
        <f t="shared" si="5"/>
        <v>-0.32909320613900644</v>
      </c>
    </row>
    <row r="27" spans="1:9" ht="15.75">
      <c r="A27" s="5" t="s">
        <v>15</v>
      </c>
      <c r="B27" s="84">
        <v>22484</v>
      </c>
      <c r="C27" s="45">
        <v>128</v>
      </c>
      <c r="D27" s="45">
        <f t="shared" si="0"/>
        <v>5.692937199786515</v>
      </c>
      <c r="E27" s="45">
        <f t="shared" si="6"/>
        <v>112.96978626200524</v>
      </c>
      <c r="F27" s="45">
        <f t="shared" si="2"/>
        <v>15.030213737994757</v>
      </c>
      <c r="G27" s="44">
        <f t="shared" si="3"/>
        <v>0.11742354482808404</v>
      </c>
      <c r="H27" s="44">
        <f t="shared" si="4"/>
        <v>0.32112474288751913</v>
      </c>
      <c r="I27" s="45">
        <f t="shared" si="5"/>
        <v>-0.32112474288751913</v>
      </c>
    </row>
    <row r="28" spans="1:9" ht="15.75">
      <c r="A28" s="5" t="s">
        <v>16</v>
      </c>
      <c r="B28" s="84">
        <v>127070</v>
      </c>
      <c r="C28" s="45">
        <v>335</v>
      </c>
      <c r="D28" s="45">
        <f t="shared" si="0"/>
        <v>2.6363421736050996</v>
      </c>
      <c r="E28" s="45">
        <f t="shared" si="6"/>
        <v>335</v>
      </c>
      <c r="F28" s="45">
        <f t="shared" si="2"/>
        <v>0</v>
      </c>
      <c r="G28" s="44">
        <f t="shared" si="3"/>
        <v>0</v>
      </c>
      <c r="H28" s="44">
        <f t="shared" si="4"/>
        <v>0</v>
      </c>
      <c r="I28" s="45">
        <f t="shared" si="5"/>
        <v>0</v>
      </c>
    </row>
    <row r="29" spans="1:9" ht="15.75">
      <c r="A29" s="5" t="s">
        <v>17</v>
      </c>
      <c r="B29" s="84">
        <v>9309</v>
      </c>
      <c r="C29" s="45">
        <v>85</v>
      </c>
      <c r="D29" s="45">
        <f t="shared" si="0"/>
        <v>9.130948544419379</v>
      </c>
      <c r="E29" s="45">
        <f t="shared" si="6"/>
        <v>85</v>
      </c>
      <c r="F29" s="45">
        <f t="shared" si="2"/>
        <v>0</v>
      </c>
      <c r="G29" s="44">
        <f t="shared" si="3"/>
        <v>0</v>
      </c>
      <c r="H29" s="44">
        <f t="shared" si="4"/>
        <v>0</v>
      </c>
      <c r="I29" s="45">
        <f t="shared" si="5"/>
        <v>0</v>
      </c>
    </row>
    <row r="30" spans="1:9" ht="15.75">
      <c r="A30" s="5" t="s">
        <v>18</v>
      </c>
      <c r="B30" s="84">
        <v>12390</v>
      </c>
      <c r="C30" s="45">
        <v>81</v>
      </c>
      <c r="D30" s="45">
        <f t="shared" si="0"/>
        <v>6.537530266343826</v>
      </c>
      <c r="E30" s="45">
        <f t="shared" si="6"/>
        <v>91.54079024464806</v>
      </c>
      <c r="F30" s="45">
        <f t="shared" si="2"/>
        <v>-10.540790244648065</v>
      </c>
      <c r="G30" s="44">
        <f t="shared" si="3"/>
        <v>0</v>
      </c>
      <c r="H30" s="44">
        <f t="shared" si="4"/>
        <v>0</v>
      </c>
      <c r="I30" s="45">
        <f t="shared" si="5"/>
        <v>0</v>
      </c>
    </row>
    <row r="31" spans="1:9" ht="15.75">
      <c r="A31" s="5" t="s">
        <v>19</v>
      </c>
      <c r="B31" s="84">
        <v>30535</v>
      </c>
      <c r="C31" s="45">
        <v>128.05</v>
      </c>
      <c r="D31" s="45">
        <f t="shared" si="0"/>
        <v>4.193548387096775</v>
      </c>
      <c r="E31" s="45">
        <f t="shared" si="6"/>
        <v>130.06160783281393</v>
      </c>
      <c r="F31" s="45">
        <f t="shared" si="2"/>
        <v>-2.0116078328139224</v>
      </c>
      <c r="G31" s="44">
        <f t="shared" si="3"/>
        <v>0</v>
      </c>
      <c r="H31" s="44">
        <f t="shared" si="4"/>
        <v>0</v>
      </c>
      <c r="I31" s="45">
        <f t="shared" si="5"/>
        <v>0</v>
      </c>
    </row>
    <row r="32" spans="1:9" ht="15.75">
      <c r="A32" s="5" t="s">
        <v>20</v>
      </c>
      <c r="B32" s="84">
        <v>41008</v>
      </c>
      <c r="C32" s="45">
        <v>159</v>
      </c>
      <c r="D32" s="45">
        <f t="shared" si="0"/>
        <v>3.877292235661334</v>
      </c>
      <c r="E32" s="45">
        <f t="shared" si="6"/>
        <v>152.29519959918818</v>
      </c>
      <c r="F32" s="45">
        <f t="shared" si="2"/>
        <v>6.70480040081182</v>
      </c>
      <c r="G32" s="44">
        <f t="shared" si="3"/>
        <v>0.04216855597994855</v>
      </c>
      <c r="H32" s="44">
        <f t="shared" si="4"/>
        <v>0.11532071116422525</v>
      </c>
      <c r="I32" s="45">
        <f t="shared" si="5"/>
        <v>-0.11532071116422525</v>
      </c>
    </row>
    <row r="33" spans="1:9" ht="15.75">
      <c r="A33" s="5" t="s">
        <v>21</v>
      </c>
      <c r="B33" s="84">
        <v>14206</v>
      </c>
      <c r="C33" s="45">
        <v>47.3</v>
      </c>
      <c r="D33" s="45">
        <f t="shared" si="0"/>
        <v>3.3295790511051666</v>
      </c>
      <c r="E33" s="45">
        <f t="shared" si="6"/>
        <v>95.39605641935785</v>
      </c>
      <c r="F33" s="45">
        <f t="shared" si="2"/>
        <v>-48.09605641935785</v>
      </c>
      <c r="G33" s="44">
        <f t="shared" si="3"/>
        <v>0</v>
      </c>
      <c r="H33" s="44">
        <f t="shared" si="4"/>
        <v>0</v>
      </c>
      <c r="I33" s="45">
        <f t="shared" si="5"/>
        <v>0</v>
      </c>
    </row>
    <row r="34" spans="1:9" ht="15.75">
      <c r="A34" s="5" t="s">
        <v>22</v>
      </c>
      <c r="B34" s="84">
        <v>21056</v>
      </c>
      <c r="C34" s="45">
        <v>88.05</v>
      </c>
      <c r="D34" s="45">
        <f t="shared" si="0"/>
        <v>4.181705927051672</v>
      </c>
      <c r="E34" s="45">
        <f t="shared" si="6"/>
        <v>109.93822233167177</v>
      </c>
      <c r="F34" s="45">
        <f t="shared" si="2"/>
        <v>-21.88822233167177</v>
      </c>
      <c r="G34" s="44">
        <f t="shared" si="3"/>
        <v>0</v>
      </c>
      <c r="H34" s="44">
        <f t="shared" si="4"/>
        <v>0</v>
      </c>
      <c r="I34" s="45">
        <f t="shared" si="5"/>
        <v>0</v>
      </c>
    </row>
    <row r="35" spans="1:9" ht="15.75">
      <c r="A35" s="5" t="s">
        <v>23</v>
      </c>
      <c r="B35" s="84">
        <v>16013</v>
      </c>
      <c r="C35" s="45">
        <v>112</v>
      </c>
      <c r="D35" s="45">
        <f t="shared" si="0"/>
        <v>6.99431711734216</v>
      </c>
      <c r="E35" s="45">
        <f t="shared" si="6"/>
        <v>99.2322160987084</v>
      </c>
      <c r="F35" s="45">
        <f t="shared" si="2"/>
        <v>12.767783901291594</v>
      </c>
      <c r="G35" s="44">
        <f t="shared" si="3"/>
        <v>0.11399807054724638</v>
      </c>
      <c r="H35" s="44">
        <f t="shared" si="4"/>
        <v>0.3117569065706009</v>
      </c>
      <c r="I35" s="45">
        <f t="shared" si="5"/>
        <v>-0.3117569065706009</v>
      </c>
    </row>
    <row r="36" spans="1:9" ht="15.75">
      <c r="A36" s="5" t="s">
        <v>24</v>
      </c>
      <c r="B36" s="84">
        <v>56520</v>
      </c>
      <c r="C36" s="45">
        <v>292</v>
      </c>
      <c r="D36" s="45">
        <f t="shared" si="0"/>
        <v>5.166312809624912</v>
      </c>
      <c r="E36" s="45">
        <f t="shared" si="6"/>
        <v>185.22630582281062</v>
      </c>
      <c r="F36" s="45">
        <f t="shared" si="2"/>
        <v>106.77369417718938</v>
      </c>
      <c r="G36" s="44">
        <f t="shared" si="3"/>
        <v>0.3656633362232513</v>
      </c>
      <c r="H36" s="44">
        <f t="shared" si="4"/>
        <v>1</v>
      </c>
      <c r="I36" s="45">
        <f t="shared" si="5"/>
        <v>-1</v>
      </c>
    </row>
    <row r="37" spans="1:9" ht="15.75">
      <c r="A37" s="5" t="s">
        <v>25</v>
      </c>
      <c r="B37" s="84">
        <v>10541</v>
      </c>
      <c r="C37" s="45">
        <v>69.1</v>
      </c>
      <c r="D37" s="45">
        <f t="shared" si="0"/>
        <v>6.555355279385257</v>
      </c>
      <c r="E37" s="45">
        <f t="shared" si="6"/>
        <v>87.6154669202877</v>
      </c>
      <c r="F37" s="45">
        <f t="shared" si="2"/>
        <v>-18.515466920287707</v>
      </c>
      <c r="G37" s="44">
        <f t="shared" si="3"/>
        <v>0</v>
      </c>
      <c r="H37" s="44">
        <f t="shared" si="4"/>
        <v>0</v>
      </c>
      <c r="I37" s="45">
        <f t="shared" si="5"/>
        <v>0</v>
      </c>
    </row>
    <row r="38" spans="1:9" ht="15.75">
      <c r="A38" s="5" t="s">
        <v>26</v>
      </c>
      <c r="B38" s="84">
        <v>32051</v>
      </c>
      <c r="C38" s="45">
        <v>127</v>
      </c>
      <c r="D38" s="45">
        <f t="shared" si="0"/>
        <v>3.9624348694268505</v>
      </c>
      <c r="E38" s="45">
        <f t="shared" si="6"/>
        <v>133.27999082888223</v>
      </c>
      <c r="F38" s="45">
        <f t="shared" si="2"/>
        <v>-6.279990828882234</v>
      </c>
      <c r="G38" s="44">
        <f t="shared" si="3"/>
        <v>0</v>
      </c>
      <c r="H38" s="44">
        <f t="shared" si="4"/>
        <v>0</v>
      </c>
      <c r="I38" s="45">
        <f t="shared" si="5"/>
        <v>0</v>
      </c>
    </row>
    <row r="39" spans="1:9" ht="15.75">
      <c r="A39" s="5" t="s">
        <v>27</v>
      </c>
      <c r="B39" s="84">
        <v>14590</v>
      </c>
      <c r="C39" s="45">
        <v>116</v>
      </c>
      <c r="D39" s="45">
        <f t="shared" si="0"/>
        <v>7.9506511309115835</v>
      </c>
      <c r="E39" s="45">
        <f t="shared" si="6"/>
        <v>96.21126688801895</v>
      </c>
      <c r="F39" s="45">
        <f t="shared" si="2"/>
        <v>19.788733111981045</v>
      </c>
      <c r="G39" s="44">
        <f t="shared" si="3"/>
        <v>0.17059252682742282</v>
      </c>
      <c r="H39" s="44">
        <f t="shared" si="4"/>
        <v>0.46652893502910453</v>
      </c>
      <c r="I39" s="45">
        <f t="shared" si="5"/>
        <v>-0.46652893502910453</v>
      </c>
    </row>
    <row r="40" spans="1:9" ht="15.75">
      <c r="A40" s="5" t="s">
        <v>28</v>
      </c>
      <c r="B40" s="84">
        <v>25962</v>
      </c>
      <c r="C40" s="45">
        <v>110</v>
      </c>
      <c r="D40" s="45">
        <f t="shared" si="0"/>
        <v>4.236961713273245</v>
      </c>
      <c r="E40" s="45">
        <f t="shared" si="6"/>
        <v>120.35338524638888</v>
      </c>
      <c r="F40" s="45">
        <f t="shared" si="2"/>
        <v>-10.353385246388882</v>
      </c>
      <c r="G40" s="44">
        <f t="shared" si="3"/>
        <v>0</v>
      </c>
      <c r="H40" s="44">
        <f t="shared" si="4"/>
        <v>0</v>
      </c>
      <c r="I40" s="45">
        <f t="shared" si="5"/>
        <v>0</v>
      </c>
    </row>
    <row r="41" spans="1:9" ht="15.75">
      <c r="A41" s="5" t="s">
        <v>29</v>
      </c>
      <c r="B41" s="84">
        <v>21741</v>
      </c>
      <c r="C41" s="45">
        <v>122</v>
      </c>
      <c r="D41" s="45">
        <f t="shared" si="0"/>
        <v>5.611517409502783</v>
      </c>
      <c r="E41" s="45">
        <f t="shared" si="6"/>
        <v>111.39243892290317</v>
      </c>
      <c r="F41" s="45">
        <f t="shared" si="2"/>
        <v>10.607561077096832</v>
      </c>
      <c r="G41" s="44">
        <f t="shared" si="3"/>
        <v>0.08694722194341666</v>
      </c>
      <c r="H41" s="44">
        <f t="shared" si="4"/>
        <v>0.2377794362471497</v>
      </c>
      <c r="I41" s="45">
        <f t="shared" si="5"/>
        <v>-0.2377794362471497</v>
      </c>
    </row>
    <row r="42" spans="1:9" ht="15.75">
      <c r="A42" s="5" t="s">
        <v>30</v>
      </c>
      <c r="B42" s="84">
        <v>44027</v>
      </c>
      <c r="C42" s="45">
        <v>189</v>
      </c>
      <c r="D42" s="45">
        <f t="shared" si="0"/>
        <v>4.292820314806823</v>
      </c>
      <c r="E42" s="45">
        <f t="shared" si="6"/>
        <v>158.70436732025036</v>
      </c>
      <c r="F42" s="45">
        <f t="shared" si="2"/>
        <v>30.295632679749644</v>
      </c>
      <c r="G42" s="44">
        <f t="shared" si="3"/>
        <v>0.16029435280290819</v>
      </c>
      <c r="H42" s="44">
        <f t="shared" si="4"/>
        <v>0.4383659419030253</v>
      </c>
      <c r="I42" s="45">
        <f t="shared" si="5"/>
        <v>-0.4383659419030253</v>
      </c>
    </row>
    <row r="43" spans="1:9" ht="15.75">
      <c r="A43" s="5" t="s">
        <v>31</v>
      </c>
      <c r="B43" s="84">
        <v>84781</v>
      </c>
      <c r="C43" s="45">
        <v>321</v>
      </c>
      <c r="D43" s="45">
        <f t="shared" si="0"/>
        <v>3.7862256873591957</v>
      </c>
      <c r="E43" s="45">
        <f t="shared" si="6"/>
        <v>245.22282419476736</v>
      </c>
      <c r="F43" s="45">
        <f t="shared" si="2"/>
        <v>75.77717580523264</v>
      </c>
      <c r="G43" s="44">
        <f t="shared" si="3"/>
        <v>0.23606596824060014</v>
      </c>
      <c r="H43" s="44">
        <f t="shared" si="4"/>
        <v>0.6455828212880301</v>
      </c>
      <c r="I43" s="45">
        <f t="shared" si="5"/>
        <v>-0.6455828212880301</v>
      </c>
    </row>
    <row r="44" spans="1:9" ht="15.75">
      <c r="A44" s="5" t="s">
        <v>32</v>
      </c>
      <c r="B44" s="84">
        <v>23643</v>
      </c>
      <c r="C44" s="45">
        <v>177.3</v>
      </c>
      <c r="D44" s="45">
        <f t="shared" si="0"/>
        <v>7.4990483441187665</v>
      </c>
      <c r="E44" s="45">
        <f t="shared" si="6"/>
        <v>115.4302782754902</v>
      </c>
      <c r="F44" s="45">
        <f t="shared" si="2"/>
        <v>61.869721724509816</v>
      </c>
      <c r="G44" s="44">
        <f t="shared" si="3"/>
        <v>0.34895500126627077</v>
      </c>
      <c r="H44" s="44">
        <f t="shared" si="4"/>
        <v>0.9543067808505158</v>
      </c>
      <c r="I44" s="45">
        <f t="shared" si="5"/>
        <v>-0.9543067808505158</v>
      </c>
    </row>
    <row r="45" spans="1:9" ht="15.75">
      <c r="A45" s="5" t="s">
        <v>33</v>
      </c>
      <c r="B45" s="84">
        <v>15910</v>
      </c>
      <c r="C45" s="45">
        <v>132</v>
      </c>
      <c r="D45" s="45">
        <f t="shared" si="0"/>
        <v>8.29666876178504</v>
      </c>
      <c r="E45" s="45">
        <f t="shared" si="6"/>
        <v>99.0135528740415</v>
      </c>
      <c r="F45" s="45">
        <f t="shared" si="2"/>
        <v>32.986447125958506</v>
      </c>
      <c r="G45" s="44">
        <f t="shared" si="3"/>
        <v>0.24989732671180687</v>
      </c>
      <c r="H45" s="44">
        <f t="shared" si="4"/>
        <v>0.6834082117525588</v>
      </c>
      <c r="I45" s="45">
        <f t="shared" si="5"/>
        <v>-0.6834082117525588</v>
      </c>
    </row>
    <row r="46" spans="1:9" ht="15.75">
      <c r="A46" s="5" t="s">
        <v>34</v>
      </c>
      <c r="B46" s="84">
        <v>14672</v>
      </c>
      <c r="C46" s="45">
        <v>94</v>
      </c>
      <c r="D46" s="45">
        <f t="shared" si="0"/>
        <v>6.406761177753544</v>
      </c>
      <c r="E46" s="45">
        <f t="shared" si="6"/>
        <v>96.38534829018096</v>
      </c>
      <c r="F46" s="45">
        <f t="shared" si="2"/>
        <v>-2.385348290180957</v>
      </c>
      <c r="G46" s="44">
        <f t="shared" si="3"/>
        <v>0</v>
      </c>
      <c r="H46" s="44">
        <f t="shared" si="4"/>
        <v>0</v>
      </c>
      <c r="I46" s="45">
        <f t="shared" si="5"/>
        <v>0</v>
      </c>
    </row>
    <row r="47" spans="1:9" ht="15.75">
      <c r="A47" s="5" t="s">
        <v>35</v>
      </c>
      <c r="B47" s="84">
        <v>12745</v>
      </c>
      <c r="C47" s="45">
        <v>88.6</v>
      </c>
      <c r="D47" s="45">
        <f t="shared" si="0"/>
        <v>6.9517457826598665</v>
      </c>
      <c r="E47" s="45">
        <f t="shared" si="6"/>
        <v>92.29443533937382</v>
      </c>
      <c r="F47" s="45">
        <f t="shared" si="2"/>
        <v>-3.6944353393738254</v>
      </c>
      <c r="G47" s="44">
        <f t="shared" si="3"/>
        <v>0</v>
      </c>
      <c r="H47" s="44">
        <f t="shared" si="4"/>
        <v>0</v>
      </c>
      <c r="I47" s="45">
        <f t="shared" si="5"/>
        <v>0</v>
      </c>
    </row>
    <row r="48" spans="1:9" ht="15.75">
      <c r="A48" s="5" t="s">
        <v>36</v>
      </c>
      <c r="B48" s="84">
        <v>19443</v>
      </c>
      <c r="C48" s="45">
        <v>146</v>
      </c>
      <c r="D48" s="45">
        <f t="shared" si="0"/>
        <v>7.509129249601399</v>
      </c>
      <c r="E48" s="45">
        <f t="shared" si="6"/>
        <v>106.51391377450939</v>
      </c>
      <c r="F48" s="45">
        <f t="shared" si="2"/>
        <v>39.48608622549061</v>
      </c>
      <c r="G48" s="44">
        <f t="shared" si="3"/>
        <v>0.2704526453800727</v>
      </c>
      <c r="H48" s="44">
        <f t="shared" si="4"/>
        <v>0.7396219926598031</v>
      </c>
      <c r="I48" s="45">
        <f t="shared" si="5"/>
        <v>-0.7396219926598031</v>
      </c>
    </row>
    <row r="49" spans="1:9" s="17" customFormat="1" ht="15.75">
      <c r="A49" s="14" t="s">
        <v>67</v>
      </c>
      <c r="B49" s="70">
        <f>SUM($B12:$B48)</f>
        <v>3142683</v>
      </c>
      <c r="C49" s="15">
        <f>SUM($C12:$C48)</f>
        <v>8589.900000000001</v>
      </c>
      <c r="D49" s="35">
        <f>$C49/$B49*1000</f>
        <v>2.7333014497485113</v>
      </c>
      <c r="E49" s="15">
        <f>SUM($E$12:$E$48)</f>
        <v>8373.055265838173</v>
      </c>
      <c r="F49" s="35">
        <f>$C49-$E49</f>
        <v>216.84473416182846</v>
      </c>
      <c r="G49" s="15">
        <f>IF($F49/$C49&lt;0,0,$F49/$C49)</f>
        <v>0.02524415117310195</v>
      </c>
      <c r="H49" s="16"/>
      <c r="I49" s="16"/>
    </row>
    <row r="50" spans="1:2" ht="15.75">
      <c r="A50" s="6" t="s">
        <v>184</v>
      </c>
      <c r="B50" s="6"/>
    </row>
    <row r="52" spans="1:9" ht="33" customHeight="1">
      <c r="A52" s="118" t="s">
        <v>200</v>
      </c>
      <c r="B52" s="118"/>
      <c r="C52" s="118"/>
      <c r="D52" s="118"/>
      <c r="E52" s="118"/>
      <c r="F52" s="118"/>
      <c r="G52" s="118"/>
      <c r="H52" s="118"/>
      <c r="I52" s="118"/>
    </row>
    <row r="53" spans="1:9" ht="32.25" customHeight="1">
      <c r="A53" s="119" t="s">
        <v>330</v>
      </c>
      <c r="B53" s="119"/>
      <c r="C53" s="119"/>
      <c r="D53" s="119"/>
      <c r="E53" s="119"/>
      <c r="F53" s="119"/>
      <c r="G53" s="119"/>
      <c r="H53" s="119"/>
      <c r="I53" s="119"/>
    </row>
    <row r="54" spans="1:9" ht="32.25" customHeight="1">
      <c r="A54" s="118" t="s">
        <v>331</v>
      </c>
      <c r="B54" s="118"/>
      <c r="C54" s="118"/>
      <c r="D54" s="118"/>
      <c r="E54" s="118"/>
      <c r="F54" s="118"/>
      <c r="G54" s="118"/>
      <c r="H54" s="118"/>
      <c r="I54" s="118"/>
    </row>
    <row r="55" spans="1:9" ht="15.75">
      <c r="A55" s="116" t="s">
        <v>332</v>
      </c>
      <c r="B55" s="116"/>
      <c r="C55" s="116"/>
      <c r="D55" s="116"/>
      <c r="E55" s="116"/>
      <c r="F55" s="116"/>
      <c r="G55" s="116"/>
      <c r="H55" s="116"/>
      <c r="I55" s="116"/>
    </row>
    <row r="56" spans="1:9" ht="15.75">
      <c r="A56" s="116" t="s">
        <v>333</v>
      </c>
      <c r="B56" s="116"/>
      <c r="C56" s="116"/>
      <c r="D56" s="116"/>
      <c r="E56" s="116"/>
      <c r="F56" s="116"/>
      <c r="G56" s="116"/>
      <c r="H56" s="116"/>
      <c r="I56" s="116"/>
    </row>
  </sheetData>
  <sheetProtection/>
  <mergeCells count="6">
    <mergeCell ref="A1:I1"/>
    <mergeCell ref="A52:I52"/>
    <mergeCell ref="A53:I53"/>
    <mergeCell ref="A54:I54"/>
    <mergeCell ref="A55:I55"/>
    <mergeCell ref="A56:I56"/>
  </mergeCells>
  <conditionalFormatting sqref="I12:I48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 horizontalCentered="1"/>
  <pageMargins left="0.15748031496062992" right="0.1968503937007874" top="0.53" bottom="0.2362204724409449" header="0.15748031496062992" footer="0.2362204724409449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8.7109375" defaultRowHeight="15"/>
  <cols>
    <col min="1" max="1" width="24.57421875" style="39" customWidth="1"/>
    <col min="2" max="2" width="50.57421875" style="39" customWidth="1"/>
    <col min="3" max="3" width="14.28125" style="39" customWidth="1"/>
    <col min="4" max="4" width="9.421875" style="39" customWidth="1"/>
    <col min="5" max="5" width="9.8515625" style="39" customWidth="1"/>
    <col min="6" max="6" width="17.140625" style="39" customWidth="1"/>
    <col min="7" max="16384" width="8.7109375" style="39" customWidth="1"/>
  </cols>
  <sheetData>
    <row r="1" spans="1:6" ht="33.75" customHeight="1">
      <c r="A1" s="110" t="s">
        <v>205</v>
      </c>
      <c r="B1" s="110"/>
      <c r="C1" s="110"/>
      <c r="D1" s="110"/>
      <c r="E1" s="110"/>
      <c r="F1" s="110"/>
    </row>
    <row r="3" spans="1:2" ht="15.75">
      <c r="A3" s="10" t="s">
        <v>108</v>
      </c>
      <c r="B3" s="23">
        <f>MAX($D$9:$D$45)</f>
        <v>1516.4090295978451</v>
      </c>
    </row>
    <row r="4" spans="1:2" ht="15.75">
      <c r="A4" s="11" t="s">
        <v>109</v>
      </c>
      <c r="B4" s="37">
        <f>MIN($D$9:$D$45)</f>
        <v>0</v>
      </c>
    </row>
    <row r="5" spans="1:2" ht="15.75">
      <c r="A5" s="12" t="s">
        <v>110</v>
      </c>
      <c r="B5" s="13" t="s">
        <v>40</v>
      </c>
    </row>
    <row r="7" spans="1:6" s="8" customFormat="1" ht="174" customHeight="1">
      <c r="A7" s="3" t="s">
        <v>38</v>
      </c>
      <c r="B7" s="3" t="s">
        <v>362</v>
      </c>
      <c r="C7" s="3" t="s">
        <v>338</v>
      </c>
      <c r="D7" s="9" t="s">
        <v>111</v>
      </c>
      <c r="E7" s="9" t="s">
        <v>112</v>
      </c>
      <c r="F7" s="9" t="s">
        <v>113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158</v>
      </c>
      <c r="E8" s="9">
        <v>5</v>
      </c>
      <c r="F8" s="9">
        <v>6</v>
      </c>
    </row>
    <row r="9" spans="1:8" ht="15.75">
      <c r="A9" s="5" t="s">
        <v>0</v>
      </c>
      <c r="B9" s="45">
        <v>234232075.67999986</v>
      </c>
      <c r="C9" s="46">
        <v>1163724</v>
      </c>
      <c r="D9" s="44">
        <f>$B9/$C9</f>
        <v>201.27803128576866</v>
      </c>
      <c r="E9" s="44">
        <f>($D9-$B$4)/($B$3-$B$4)</f>
        <v>0.1327333373497176</v>
      </c>
      <c r="F9" s="45">
        <f>$E9*$B$5</f>
        <v>-0.1327333373497176</v>
      </c>
      <c r="G9" s="50"/>
      <c r="H9" s="50"/>
    </row>
    <row r="10" spans="1:8" ht="15.75">
      <c r="A10" s="5" t="s">
        <v>1</v>
      </c>
      <c r="B10" s="45">
        <v>397887843.53999996</v>
      </c>
      <c r="C10" s="46">
        <v>674630</v>
      </c>
      <c r="D10" s="44">
        <f aca="true" t="shared" si="0" ref="D10:D45">$B10/$C10</f>
        <v>589.7867624327408</v>
      </c>
      <c r="E10" s="44">
        <f aca="true" t="shared" si="1" ref="E10:E45">($D10-$B$4)/($B$3-$B$4)</f>
        <v>0.38893646168089197</v>
      </c>
      <c r="F10" s="45">
        <f aca="true" t="shared" si="2" ref="F10:F45">$E10*$B$5</f>
        <v>-0.38893646168089197</v>
      </c>
      <c r="G10" s="50"/>
      <c r="H10" s="50"/>
    </row>
    <row r="11" spans="1:8" ht="15.75">
      <c r="A11" s="5" t="s">
        <v>2</v>
      </c>
      <c r="B11" s="45">
        <v>248791163.85000005</v>
      </c>
      <c r="C11" s="46">
        <v>164066</v>
      </c>
      <c r="D11" s="44">
        <f t="shared" si="0"/>
        <v>1516.4090295978451</v>
      </c>
      <c r="E11" s="44">
        <f t="shared" si="1"/>
        <v>1</v>
      </c>
      <c r="F11" s="45">
        <f t="shared" si="2"/>
        <v>-1</v>
      </c>
      <c r="G11" s="50"/>
      <c r="H11" s="50"/>
    </row>
    <row r="12" spans="1:8" ht="15.75">
      <c r="A12" s="5" t="s">
        <v>3</v>
      </c>
      <c r="B12" s="45">
        <v>101022915.67000003</v>
      </c>
      <c r="C12" s="46">
        <v>99247</v>
      </c>
      <c r="D12" s="44">
        <f t="shared" si="0"/>
        <v>1017.8938977500583</v>
      </c>
      <c r="E12" s="44">
        <f t="shared" si="1"/>
        <v>0.6712528598039316</v>
      </c>
      <c r="F12" s="45">
        <f t="shared" si="2"/>
        <v>-0.6712528598039316</v>
      </c>
      <c r="G12" s="50"/>
      <c r="H12" s="50"/>
    </row>
    <row r="13" spans="1:8" ht="15.75">
      <c r="A13" s="5" t="s">
        <v>4</v>
      </c>
      <c r="B13" s="45">
        <v>12736585.870000001</v>
      </c>
      <c r="C13" s="46">
        <v>69177</v>
      </c>
      <c r="D13" s="44">
        <f t="shared" si="0"/>
        <v>184.11590369631526</v>
      </c>
      <c r="E13" s="44">
        <f t="shared" si="1"/>
        <v>0.1214157262998778</v>
      </c>
      <c r="F13" s="45">
        <f t="shared" si="2"/>
        <v>-0.1214157262998778</v>
      </c>
      <c r="G13" s="50"/>
      <c r="H13" s="50"/>
    </row>
    <row r="14" spans="1:8" ht="15.75">
      <c r="A14" s="5" t="s">
        <v>5</v>
      </c>
      <c r="B14" s="45">
        <v>33030518.629999995</v>
      </c>
      <c r="C14" s="46">
        <v>46755</v>
      </c>
      <c r="D14" s="44">
        <f t="shared" si="0"/>
        <v>706.4596006844187</v>
      </c>
      <c r="E14" s="44">
        <f t="shared" si="1"/>
        <v>0.46587667766115404</v>
      </c>
      <c r="F14" s="45">
        <f t="shared" si="2"/>
        <v>-0.46587667766115404</v>
      </c>
      <c r="G14" s="50"/>
      <c r="H14" s="50"/>
    </row>
    <row r="15" spans="1:8" ht="15.75">
      <c r="A15" s="5" t="s">
        <v>6</v>
      </c>
      <c r="B15" s="45">
        <v>12297099.43</v>
      </c>
      <c r="C15" s="46">
        <v>52957</v>
      </c>
      <c r="D15" s="44">
        <f t="shared" si="0"/>
        <v>232.20914005702738</v>
      </c>
      <c r="E15" s="44">
        <f t="shared" si="1"/>
        <v>0.1531309399539844</v>
      </c>
      <c r="F15" s="45">
        <f t="shared" si="2"/>
        <v>-0.1531309399539844</v>
      </c>
      <c r="G15" s="50"/>
      <c r="H15" s="50"/>
    </row>
    <row r="16" spans="1:8" ht="15.75">
      <c r="A16" s="5" t="s">
        <v>7</v>
      </c>
      <c r="B16" s="45">
        <v>907053.27</v>
      </c>
      <c r="C16" s="46">
        <v>20190</v>
      </c>
      <c r="D16" s="44">
        <f t="shared" si="0"/>
        <v>44.92586775631501</v>
      </c>
      <c r="E16" s="44">
        <f t="shared" si="1"/>
        <v>0.029626483936348917</v>
      </c>
      <c r="F16" s="45">
        <f t="shared" si="2"/>
        <v>-0.029626483936348917</v>
      </c>
      <c r="G16" s="50"/>
      <c r="H16" s="50"/>
    </row>
    <row r="17" spans="1:8" ht="15.75">
      <c r="A17" s="5" t="s">
        <v>8</v>
      </c>
      <c r="B17" s="45">
        <v>41358047.72000001</v>
      </c>
      <c r="C17" s="46">
        <v>57729</v>
      </c>
      <c r="D17" s="44">
        <f t="shared" si="0"/>
        <v>716.4171858164876</v>
      </c>
      <c r="E17" s="44">
        <f t="shared" si="1"/>
        <v>0.4724432338723827</v>
      </c>
      <c r="F17" s="45">
        <f t="shared" si="2"/>
        <v>-0.4724432338723827</v>
      </c>
      <c r="G17" s="50"/>
      <c r="H17" s="50"/>
    </row>
    <row r="18" spans="1:8" ht="15.75">
      <c r="A18" s="5" t="s">
        <v>9</v>
      </c>
      <c r="B18" s="45">
        <v>37305734.97</v>
      </c>
      <c r="C18" s="46">
        <v>27913</v>
      </c>
      <c r="D18" s="44">
        <f t="shared" si="0"/>
        <v>1336.500375094042</v>
      </c>
      <c r="E18" s="44">
        <f t="shared" si="1"/>
        <v>0.8813587554595904</v>
      </c>
      <c r="F18" s="45">
        <f t="shared" si="2"/>
        <v>-0.8813587554595904</v>
      </c>
      <c r="G18" s="50"/>
      <c r="H18" s="50"/>
    </row>
    <row r="19" spans="1:8" ht="15.75">
      <c r="A19" s="5" t="s">
        <v>10</v>
      </c>
      <c r="B19" s="45">
        <v>15225</v>
      </c>
      <c r="C19" s="46">
        <v>10649</v>
      </c>
      <c r="D19" s="44">
        <f t="shared" si="0"/>
        <v>1.42971171001972</v>
      </c>
      <c r="E19" s="97">
        <f t="shared" si="1"/>
        <v>0.0009428272201721739</v>
      </c>
      <c r="F19" s="98">
        <f t="shared" si="2"/>
        <v>-0.0009428272201721739</v>
      </c>
      <c r="G19" s="50"/>
      <c r="H19" s="50"/>
    </row>
    <row r="20" spans="1:8" ht="15.75">
      <c r="A20" s="5" t="s">
        <v>11</v>
      </c>
      <c r="B20" s="45">
        <v>24999.96</v>
      </c>
      <c r="C20" s="46">
        <v>36495</v>
      </c>
      <c r="D20" s="44">
        <f t="shared" si="0"/>
        <v>0.6850242498972462</v>
      </c>
      <c r="E20" s="97">
        <f t="shared" si="1"/>
        <v>0.00045174107811723867</v>
      </c>
      <c r="F20" s="98">
        <f t="shared" si="2"/>
        <v>-0.00045174107811723867</v>
      </c>
      <c r="G20" s="50"/>
      <c r="H20" s="50"/>
    </row>
    <row r="21" spans="1:8" ht="15.75">
      <c r="A21" s="5" t="s">
        <v>12</v>
      </c>
      <c r="B21" s="45">
        <v>22454.34</v>
      </c>
      <c r="C21" s="46">
        <v>13077</v>
      </c>
      <c r="D21" s="44">
        <f t="shared" si="0"/>
        <v>1.7170864877265428</v>
      </c>
      <c r="E21" s="97">
        <f t="shared" si="1"/>
        <v>0.0011323372877711747</v>
      </c>
      <c r="F21" s="98">
        <f t="shared" si="2"/>
        <v>-0.0011323372877711747</v>
      </c>
      <c r="G21" s="50"/>
      <c r="H21" s="50"/>
    </row>
    <row r="22" spans="1:8" ht="15.75">
      <c r="A22" s="5" t="s">
        <v>13</v>
      </c>
      <c r="B22" s="45">
        <v>0</v>
      </c>
      <c r="C22" s="46">
        <v>18041</v>
      </c>
      <c r="D22" s="44">
        <f t="shared" si="0"/>
        <v>0</v>
      </c>
      <c r="E22" s="44">
        <f t="shared" si="1"/>
        <v>0</v>
      </c>
      <c r="F22" s="45">
        <f t="shared" si="2"/>
        <v>0</v>
      </c>
      <c r="G22" s="50"/>
      <c r="H22" s="50"/>
    </row>
    <row r="23" spans="1:8" ht="15.75">
      <c r="A23" s="5" t="s">
        <v>14</v>
      </c>
      <c r="B23" s="45">
        <v>5695.71</v>
      </c>
      <c r="C23" s="46">
        <v>17336</v>
      </c>
      <c r="D23" s="44">
        <f t="shared" si="0"/>
        <v>0.3285481079833872</v>
      </c>
      <c r="E23" s="97">
        <f t="shared" si="1"/>
        <v>0.0002166619306339259</v>
      </c>
      <c r="F23" s="98">
        <f t="shared" si="2"/>
        <v>-0.0002166619306339259</v>
      </c>
      <c r="G23" s="50"/>
      <c r="H23" s="50"/>
    </row>
    <row r="24" spans="1:8" ht="15.75">
      <c r="A24" s="5" t="s">
        <v>15</v>
      </c>
      <c r="B24" s="45">
        <v>1264555.379999999</v>
      </c>
      <c r="C24" s="46">
        <v>22484</v>
      </c>
      <c r="D24" s="44">
        <f t="shared" si="0"/>
        <v>56.2424559686888</v>
      </c>
      <c r="E24" s="44">
        <f t="shared" si="1"/>
        <v>0.03708923837231728</v>
      </c>
      <c r="F24" s="45">
        <f t="shared" si="2"/>
        <v>-0.03708923837231728</v>
      </c>
      <c r="G24" s="50"/>
      <c r="H24" s="50"/>
    </row>
    <row r="25" spans="1:8" ht="15.75">
      <c r="A25" s="5" t="s">
        <v>16</v>
      </c>
      <c r="B25" s="45">
        <v>10293195.399999991</v>
      </c>
      <c r="C25" s="46">
        <v>127070</v>
      </c>
      <c r="D25" s="44">
        <f t="shared" si="0"/>
        <v>81.00413472888951</v>
      </c>
      <c r="E25" s="44">
        <f t="shared" si="1"/>
        <v>0.05341839381579783</v>
      </c>
      <c r="F25" s="45">
        <f t="shared" si="2"/>
        <v>-0.05341839381579783</v>
      </c>
      <c r="G25" s="50"/>
      <c r="H25" s="50"/>
    </row>
    <row r="26" spans="1:8" ht="15.75">
      <c r="A26" s="5" t="s">
        <v>17</v>
      </c>
      <c r="B26" s="45">
        <v>3381559.3799999994</v>
      </c>
      <c r="C26" s="46">
        <v>9309</v>
      </c>
      <c r="D26" s="44">
        <f t="shared" si="0"/>
        <v>363.25699645504346</v>
      </c>
      <c r="E26" s="44">
        <f t="shared" si="1"/>
        <v>0.23955080018969552</v>
      </c>
      <c r="F26" s="45">
        <f t="shared" si="2"/>
        <v>-0.23955080018969552</v>
      </c>
      <c r="G26" s="50"/>
      <c r="H26" s="50"/>
    </row>
    <row r="27" spans="1:8" ht="15.75">
      <c r="A27" s="5" t="s">
        <v>18</v>
      </c>
      <c r="B27" s="45">
        <v>0</v>
      </c>
      <c r="C27" s="46">
        <v>12390</v>
      </c>
      <c r="D27" s="44">
        <f t="shared" si="0"/>
        <v>0</v>
      </c>
      <c r="E27" s="44">
        <f t="shared" si="1"/>
        <v>0</v>
      </c>
      <c r="F27" s="45">
        <f t="shared" si="2"/>
        <v>0</v>
      </c>
      <c r="G27" s="50"/>
      <c r="H27" s="50"/>
    </row>
    <row r="28" spans="1:8" ht="15.75">
      <c r="A28" s="5" t="s">
        <v>19</v>
      </c>
      <c r="B28" s="45">
        <v>9988214.85</v>
      </c>
      <c r="C28" s="46">
        <v>30535</v>
      </c>
      <c r="D28" s="44">
        <f t="shared" si="0"/>
        <v>327.1070853119371</v>
      </c>
      <c r="E28" s="44">
        <f t="shared" si="1"/>
        <v>0.21571164436991425</v>
      </c>
      <c r="F28" s="45">
        <f t="shared" si="2"/>
        <v>-0.21571164436991425</v>
      </c>
      <c r="G28" s="50"/>
      <c r="H28" s="50"/>
    </row>
    <row r="29" spans="1:8" ht="15.75">
      <c r="A29" s="5" t="s">
        <v>20</v>
      </c>
      <c r="B29" s="45">
        <v>0</v>
      </c>
      <c r="C29" s="46">
        <v>41008</v>
      </c>
      <c r="D29" s="44">
        <f t="shared" si="0"/>
        <v>0</v>
      </c>
      <c r="E29" s="44">
        <f t="shared" si="1"/>
        <v>0</v>
      </c>
      <c r="F29" s="45">
        <f t="shared" si="2"/>
        <v>0</v>
      </c>
      <c r="G29" s="50"/>
      <c r="H29" s="50"/>
    </row>
    <row r="30" spans="1:8" ht="15.75">
      <c r="A30" s="5" t="s">
        <v>21</v>
      </c>
      <c r="B30" s="45">
        <v>5666230.67</v>
      </c>
      <c r="C30" s="46">
        <v>14206</v>
      </c>
      <c r="D30" s="44">
        <f t="shared" si="0"/>
        <v>398.86179572011827</v>
      </c>
      <c r="E30" s="44">
        <f t="shared" si="1"/>
        <v>0.2630304805200858</v>
      </c>
      <c r="F30" s="45">
        <f t="shared" si="2"/>
        <v>-0.2630304805200858</v>
      </c>
      <c r="G30" s="50"/>
      <c r="H30" s="50"/>
    </row>
    <row r="31" spans="1:8" ht="15.75">
      <c r="A31" s="5" t="s">
        <v>22</v>
      </c>
      <c r="B31" s="45">
        <v>291040.19999999995</v>
      </c>
      <c r="C31" s="46">
        <v>21056</v>
      </c>
      <c r="D31" s="44">
        <f t="shared" si="0"/>
        <v>13.822197948328265</v>
      </c>
      <c r="E31" s="44">
        <f t="shared" si="1"/>
        <v>0.009115085493782598</v>
      </c>
      <c r="F31" s="45">
        <f t="shared" si="2"/>
        <v>-0.009115085493782598</v>
      </c>
      <c r="G31" s="50"/>
      <c r="H31" s="50"/>
    </row>
    <row r="32" spans="1:8" ht="15.75">
      <c r="A32" s="5" t="s">
        <v>23</v>
      </c>
      <c r="B32" s="45">
        <v>6819362.379999999</v>
      </c>
      <c r="C32" s="46">
        <v>16013</v>
      </c>
      <c r="D32" s="44">
        <f t="shared" si="0"/>
        <v>425.86413414101037</v>
      </c>
      <c r="E32" s="44">
        <f t="shared" si="1"/>
        <v>0.28083724498392787</v>
      </c>
      <c r="F32" s="45">
        <f t="shared" si="2"/>
        <v>-0.28083724498392787</v>
      </c>
      <c r="G32" s="50"/>
      <c r="H32" s="50"/>
    </row>
    <row r="33" spans="1:8" ht="15.75">
      <c r="A33" s="5" t="s">
        <v>24</v>
      </c>
      <c r="B33" s="45">
        <v>14730601.139999999</v>
      </c>
      <c r="C33" s="46">
        <v>56520</v>
      </c>
      <c r="D33" s="44">
        <f t="shared" si="0"/>
        <v>260.6263471337579</v>
      </c>
      <c r="E33" s="44">
        <f t="shared" si="1"/>
        <v>0.17187074334612515</v>
      </c>
      <c r="F33" s="45">
        <f t="shared" si="2"/>
        <v>-0.17187074334612515</v>
      </c>
      <c r="G33" s="50"/>
      <c r="H33" s="50"/>
    </row>
    <row r="34" spans="1:8" ht="15.75">
      <c r="A34" s="5" t="s">
        <v>25</v>
      </c>
      <c r="B34" s="45">
        <v>2537608.8000000017</v>
      </c>
      <c r="C34" s="46">
        <v>10541</v>
      </c>
      <c r="D34" s="44">
        <f t="shared" si="0"/>
        <v>240.73700787401592</v>
      </c>
      <c r="E34" s="44">
        <f t="shared" si="1"/>
        <v>0.15875466524876858</v>
      </c>
      <c r="F34" s="45">
        <f t="shared" si="2"/>
        <v>-0.15875466524876858</v>
      </c>
      <c r="G34" s="50"/>
      <c r="H34" s="50"/>
    </row>
    <row r="35" spans="1:8" ht="15.75">
      <c r="A35" s="5" t="s">
        <v>26</v>
      </c>
      <c r="B35" s="45">
        <v>7275777.2200000025</v>
      </c>
      <c r="C35" s="46">
        <v>32051</v>
      </c>
      <c r="D35" s="44">
        <f t="shared" si="0"/>
        <v>227.00624691897298</v>
      </c>
      <c r="E35" s="44">
        <f t="shared" si="1"/>
        <v>0.1496998781253469</v>
      </c>
      <c r="F35" s="45">
        <f t="shared" si="2"/>
        <v>-0.1496998781253469</v>
      </c>
      <c r="G35" s="50"/>
      <c r="H35" s="50"/>
    </row>
    <row r="36" spans="1:8" ht="15.75">
      <c r="A36" s="5" t="s">
        <v>27</v>
      </c>
      <c r="B36" s="45">
        <v>1186512.1500000001</v>
      </c>
      <c r="C36" s="46">
        <v>14590</v>
      </c>
      <c r="D36" s="44">
        <f t="shared" si="0"/>
        <v>81.32365661411927</v>
      </c>
      <c r="E36" s="44">
        <f t="shared" si="1"/>
        <v>0.05362910337963793</v>
      </c>
      <c r="F36" s="45">
        <f t="shared" si="2"/>
        <v>-0.05362910337963793</v>
      </c>
      <c r="G36" s="50"/>
      <c r="H36" s="50"/>
    </row>
    <row r="37" spans="1:8" ht="15.75">
      <c r="A37" s="5" t="s">
        <v>28</v>
      </c>
      <c r="B37" s="45">
        <v>8961385.250000002</v>
      </c>
      <c r="C37" s="46">
        <v>25962</v>
      </c>
      <c r="D37" s="44">
        <f t="shared" si="0"/>
        <v>345.17314729219635</v>
      </c>
      <c r="E37" s="44">
        <f t="shared" si="1"/>
        <v>0.22762535737718273</v>
      </c>
      <c r="F37" s="45">
        <f t="shared" si="2"/>
        <v>-0.22762535737718273</v>
      </c>
      <c r="G37" s="50"/>
      <c r="H37" s="50"/>
    </row>
    <row r="38" spans="1:8" ht="15.75">
      <c r="A38" s="5" t="s">
        <v>29</v>
      </c>
      <c r="B38" s="45">
        <v>5068311.700000001</v>
      </c>
      <c r="C38" s="46">
        <v>21741</v>
      </c>
      <c r="D38" s="44">
        <f t="shared" si="0"/>
        <v>233.1222896830873</v>
      </c>
      <c r="E38" s="44">
        <f t="shared" si="1"/>
        <v>0.1537331189230071</v>
      </c>
      <c r="F38" s="45">
        <f t="shared" si="2"/>
        <v>-0.1537331189230071</v>
      </c>
      <c r="G38" s="50"/>
      <c r="H38" s="50"/>
    </row>
    <row r="39" spans="1:8" ht="15.75">
      <c r="A39" s="5" t="s">
        <v>30</v>
      </c>
      <c r="B39" s="45">
        <v>53743401.9</v>
      </c>
      <c r="C39" s="46">
        <v>44027</v>
      </c>
      <c r="D39" s="44">
        <f t="shared" si="0"/>
        <v>1220.6918913394054</v>
      </c>
      <c r="E39" s="44">
        <f t="shared" si="1"/>
        <v>0.8049885403697019</v>
      </c>
      <c r="F39" s="45">
        <f t="shared" si="2"/>
        <v>-0.8049885403697019</v>
      </c>
      <c r="G39" s="50"/>
      <c r="H39" s="50"/>
    </row>
    <row r="40" spans="1:8" ht="15.75">
      <c r="A40" s="5" t="s">
        <v>31</v>
      </c>
      <c r="B40" s="45">
        <v>726477.13</v>
      </c>
      <c r="C40" s="46">
        <v>84781</v>
      </c>
      <c r="D40" s="44">
        <f t="shared" si="0"/>
        <v>8.568867199018648</v>
      </c>
      <c r="E40" s="44">
        <f t="shared" si="1"/>
        <v>0.005650762447181635</v>
      </c>
      <c r="F40" s="45">
        <f t="shared" si="2"/>
        <v>-0.005650762447181635</v>
      </c>
      <c r="G40" s="50"/>
      <c r="H40" s="50"/>
    </row>
    <row r="41" spans="1:8" ht="15.75">
      <c r="A41" s="5" t="s">
        <v>32</v>
      </c>
      <c r="B41" s="45">
        <v>14818776.73</v>
      </c>
      <c r="C41" s="46">
        <v>23643</v>
      </c>
      <c r="D41" s="44">
        <f t="shared" si="0"/>
        <v>626.7722679017046</v>
      </c>
      <c r="E41" s="44">
        <f t="shared" si="1"/>
        <v>0.4133266524190547</v>
      </c>
      <c r="F41" s="45">
        <f t="shared" si="2"/>
        <v>-0.4133266524190547</v>
      </c>
      <c r="G41" s="50"/>
      <c r="H41" s="50"/>
    </row>
    <row r="42" spans="1:8" ht="15.75">
      <c r="A42" s="5" t="s">
        <v>33</v>
      </c>
      <c r="B42" s="45">
        <v>8402586.190000001</v>
      </c>
      <c r="C42" s="46">
        <v>15910</v>
      </c>
      <c r="D42" s="44">
        <f t="shared" si="0"/>
        <v>528.132381521056</v>
      </c>
      <c r="E42" s="44">
        <f t="shared" si="1"/>
        <v>0.34827831489576255</v>
      </c>
      <c r="F42" s="45">
        <f t="shared" si="2"/>
        <v>-0.34827831489576255</v>
      </c>
      <c r="G42" s="50"/>
      <c r="H42" s="50"/>
    </row>
    <row r="43" spans="1:8" ht="15.75">
      <c r="A43" s="5" t="s">
        <v>34</v>
      </c>
      <c r="B43" s="45">
        <v>0</v>
      </c>
      <c r="C43" s="46">
        <v>14672</v>
      </c>
      <c r="D43" s="44">
        <f t="shared" si="0"/>
        <v>0</v>
      </c>
      <c r="E43" s="44">
        <f t="shared" si="1"/>
        <v>0</v>
      </c>
      <c r="F43" s="45">
        <f t="shared" si="2"/>
        <v>0</v>
      </c>
      <c r="G43" s="50"/>
      <c r="H43" s="50"/>
    </row>
    <row r="44" spans="1:8" ht="15.75">
      <c r="A44" s="5" t="s">
        <v>35</v>
      </c>
      <c r="B44" s="45">
        <v>0</v>
      </c>
      <c r="C44" s="46">
        <v>12745</v>
      </c>
      <c r="D44" s="44">
        <f t="shared" si="0"/>
        <v>0</v>
      </c>
      <c r="E44" s="44">
        <f t="shared" si="1"/>
        <v>0</v>
      </c>
      <c r="F44" s="45">
        <f t="shared" si="2"/>
        <v>0</v>
      </c>
      <c r="G44" s="50"/>
      <c r="H44" s="50"/>
    </row>
    <row r="45" spans="1:8" ht="15.75">
      <c r="A45" s="5" t="s">
        <v>36</v>
      </c>
      <c r="B45" s="45">
        <v>808127.46</v>
      </c>
      <c r="C45" s="46">
        <v>19443</v>
      </c>
      <c r="D45" s="44">
        <f t="shared" si="0"/>
        <v>41.563928406110165</v>
      </c>
      <c r="E45" s="44">
        <f t="shared" si="1"/>
        <v>0.02740944401863197</v>
      </c>
      <c r="F45" s="45">
        <f t="shared" si="2"/>
        <v>-0.02740944401863197</v>
      </c>
      <c r="G45" s="50"/>
      <c r="H45" s="50"/>
    </row>
    <row r="46" spans="1:6" s="17" customFormat="1" ht="15.75">
      <c r="A46" s="14" t="s">
        <v>67</v>
      </c>
      <c r="B46" s="15">
        <f>SUM(B$9:B$45)</f>
        <v>1275601137.570001</v>
      </c>
      <c r="C46" s="22">
        <f>SUM(C$9:C$45)</f>
        <v>3142683</v>
      </c>
      <c r="D46" s="15">
        <f>$B46/$C46</f>
        <v>405.8955795318843</v>
      </c>
      <c r="E46" s="15"/>
      <c r="F46" s="15"/>
    </row>
    <row r="47" ht="15.75">
      <c r="A47" s="6" t="s">
        <v>184</v>
      </c>
    </row>
  </sheetData>
  <sheetProtection/>
  <mergeCells count="1">
    <mergeCell ref="A1:F1"/>
  </mergeCells>
  <conditionalFormatting sqref="F9:F45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 horizontalCentered="1" verticalCentered="1"/>
  <pageMargins left="0.15748031496062992" right="0.15748031496062992" top="0.15748031496062992" bottom="0.15748031496062992" header="0.31496062992125984" footer="0.1574803149606299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2023-11-01T05:37:18Z</dcterms:modified>
  <cp:category/>
  <cp:version/>
  <cp:contentType/>
  <cp:contentStatus/>
</cp:coreProperties>
</file>