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300" yWindow="6090" windowWidth="19125" windowHeight="5595" activeTab="0"/>
  </bookViews>
  <sheets>
    <sheet name="Дотации" sheetId="1" r:id="rId1"/>
    <sheet name="Дотации 2020-2021" sheetId="2" r:id="rId2"/>
    <sheet name="База налогов" sheetId="3" r:id="rId3"/>
    <sheet name="Репрез.ставки" sheetId="4" r:id="rId4"/>
    <sheet name="Налог.потенц." sheetId="5" r:id="rId5"/>
    <sheet name="Свод индексов" sheetId="6" r:id="rId6"/>
    <sheet name="образование" sheetId="7" r:id="rId7"/>
    <sheet name="транспорт" sheetId="8" r:id="rId8"/>
    <sheet name="сельская местность" sheetId="9" r:id="rId9"/>
  </sheets>
  <definedNames>
    <definedName name="wrn.Проект._.бюджета._.1997г.." localSheetId="6" hidden="1">{#N/A,#N/A,TRUE,"Дох_к";#N/A,#N/A,TRUE,"Расх_к";#N/A,#N/A,TRUE,"Дох_о";#N/A,#N/A,TRUE,"Расх_о";#N/A,#N/A,TRUE,"Ст8_9";#N/A,#N/A,TRUE,"Ст_10";#N/A,#N/A,TRUE,"Ст11_15"}</definedName>
    <definedName name="wrn.Проект._.бюджета._.1997г.." localSheetId="5" hidden="1">{#N/A,#N/A,TRUE,"Дох_к";#N/A,#N/A,TRUE,"Расх_к";#N/A,#N/A,TRUE,"Дох_о";#N/A,#N/A,TRUE,"Расх_о";#N/A,#N/A,TRUE,"Ст8_9";#N/A,#N/A,TRUE,"Ст_10";#N/A,#N/A,TRUE,"Ст11_15"}</definedName>
    <definedName name="wrn.Проект._.бюджета._.1997г.." localSheetId="8" hidden="1">{#N/A,#N/A,TRUE,"Дох_к";#N/A,#N/A,TRUE,"Расх_к";#N/A,#N/A,TRUE,"Дох_о";#N/A,#N/A,TRUE,"Расх_о";#N/A,#N/A,TRUE,"Ст8_9";#N/A,#N/A,TRUE,"Ст_10";#N/A,#N/A,TRUE,"Ст11_15"}</definedName>
    <definedName name="wrn.Проект._.бюджета._.1997г.." localSheetId="7" hidden="1">{#N/A,#N/A,TRUE,"Дох_к";#N/A,#N/A,TRUE,"Расх_к";#N/A,#N/A,TRUE,"Дох_о";#N/A,#N/A,TRUE,"Расх_о";#N/A,#N/A,TRUE,"Ст8_9";#N/A,#N/A,TRUE,"Ст_10";#N/A,#N/A,TRUE,"Ст11_15"}</definedName>
    <definedName name="wrn.Проект._.бюджета._.1997г.." hidden="1">{#N/A,#N/A,TRUE,"Дох_к";#N/A,#N/A,TRUE,"Расх_к";#N/A,#N/A,TRUE,"Дох_о";#N/A,#N/A,TRUE,"Расх_о";#N/A,#N/A,TRUE,"Ст8_9";#N/A,#N/A,TRUE,"Ст_10";#N/A,#N/A,TRUE,"Ст11_15"}</definedName>
    <definedName name="ввв" localSheetId="6" hidden="1">{#N/A,#N/A,TRUE,"Дох_к";#N/A,#N/A,TRUE,"Расх_к";#N/A,#N/A,TRUE,"Дох_о";#N/A,#N/A,TRUE,"Расх_о";#N/A,#N/A,TRUE,"Ст8_9";#N/A,#N/A,TRUE,"Ст_10";#N/A,#N/A,TRUE,"Ст11_15"}</definedName>
    <definedName name="ввв" localSheetId="5" hidden="1">{#N/A,#N/A,TRUE,"Дох_к";#N/A,#N/A,TRUE,"Расх_к";#N/A,#N/A,TRUE,"Дох_о";#N/A,#N/A,TRUE,"Расх_о";#N/A,#N/A,TRUE,"Ст8_9";#N/A,#N/A,TRUE,"Ст_10";#N/A,#N/A,TRUE,"Ст11_15"}</definedName>
    <definedName name="ввв" localSheetId="8" hidden="1">{#N/A,#N/A,TRUE,"Дох_к";#N/A,#N/A,TRUE,"Расх_к";#N/A,#N/A,TRUE,"Дох_о";#N/A,#N/A,TRUE,"Расх_о";#N/A,#N/A,TRUE,"Ст8_9";#N/A,#N/A,TRUE,"Ст_10";#N/A,#N/A,TRUE,"Ст11_15"}</definedName>
    <definedName name="ввв" localSheetId="7" hidden="1">{#N/A,#N/A,TRUE,"Дох_к";#N/A,#N/A,TRUE,"Расх_к";#N/A,#N/A,TRUE,"Дох_о";#N/A,#N/A,TRUE,"Расх_о";#N/A,#N/A,TRUE,"Ст8_9";#N/A,#N/A,TRUE,"Ст_10";#N/A,#N/A,TRUE,"Ст11_15"}</definedName>
    <definedName name="ввв" hidden="1">{#N/A,#N/A,TRUE,"Дох_к";#N/A,#N/A,TRUE,"Расх_к";#N/A,#N/A,TRUE,"Дох_о";#N/A,#N/A,TRUE,"Расх_о";#N/A,#N/A,TRUE,"Ст8_9";#N/A,#N/A,TRUE,"Ст_10";#N/A,#N/A,TRUE,"Ст11_15"}</definedName>
    <definedName name="_xlnm.Print_Titles" localSheetId="2">'База налогов'!$A:$A</definedName>
    <definedName name="_xlnm.Print_Titles" localSheetId="4">'Налог.потенц.'!$A:$A</definedName>
    <definedName name="_xlnm.Print_Titles" localSheetId="3">'Репрез.ставки'!$4:$6</definedName>
    <definedName name="_xlnm.Print_Area" localSheetId="2">'База налогов'!$A$1:$I$47</definedName>
    <definedName name="_xlnm.Print_Area" localSheetId="0">'Дотации'!$A:$L</definedName>
    <definedName name="_xlnm.Print_Area" localSheetId="4">'Налог.потенц.'!$A$1:$J$46</definedName>
    <definedName name="_xlnm.Print_Area" localSheetId="6">'образование'!$A$1:$H$46</definedName>
    <definedName name="_xlnm.Print_Area" localSheetId="3">'Репрез.ставки'!$A$1:$F$15</definedName>
    <definedName name="_xlnm.Print_Area" localSheetId="5">'Свод индексов'!$A$1:$H$52</definedName>
    <definedName name="_xlnm.Print_Area" localSheetId="8">'сельская местность'!$A$1:$F$46</definedName>
    <definedName name="_xlnm.Print_Area" localSheetId="7">'транспорт'!$A$1:$I$48</definedName>
  </definedNames>
  <calcPr fullCalcOnLoad="1"/>
</workbook>
</file>

<file path=xl/sharedStrings.xml><?xml version="1.0" encoding="utf-8"?>
<sst xmlns="http://schemas.openxmlformats.org/spreadsheetml/2006/main" count="518" uniqueCount="194">
  <si>
    <t>Самара</t>
  </si>
  <si>
    <t>Тольятти</t>
  </si>
  <si>
    <t>Сызрань</t>
  </si>
  <si>
    <t>Чапаевск</t>
  </si>
  <si>
    <t>Отрадный</t>
  </si>
  <si>
    <t>Октябрьск</t>
  </si>
  <si>
    <t>Кинель</t>
  </si>
  <si>
    <t>Борский</t>
  </si>
  <si>
    <t>Волжский</t>
  </si>
  <si>
    <t>Елховский</t>
  </si>
  <si>
    <t>Шигонский</t>
  </si>
  <si>
    <t>Новокуйбышевск</t>
  </si>
  <si>
    <t>Жигулёвск</t>
  </si>
  <si>
    <t>Похвистнево</t>
  </si>
  <si>
    <t>Алексеевский</t>
  </si>
  <si>
    <t>Безенчукский</t>
  </si>
  <si>
    <t>Богатовский</t>
  </si>
  <si>
    <t>Исаклинский</t>
  </si>
  <si>
    <t>Кинельский</t>
  </si>
  <si>
    <t>Кинель-Черкасский</t>
  </si>
  <si>
    <t>Клявлинский</t>
  </si>
  <si>
    <t>Кошкинский</t>
  </si>
  <si>
    <t>Красноармейский</t>
  </si>
  <si>
    <t>Красноярский</t>
  </si>
  <si>
    <t>Камышлинский</t>
  </si>
  <si>
    <t>Нефтегорский</t>
  </si>
  <si>
    <t>Пестравский</t>
  </si>
  <si>
    <t>Похвистневский</t>
  </si>
  <si>
    <t>Приволжский</t>
  </si>
  <si>
    <t>Сергиевский</t>
  </si>
  <si>
    <t>Ставропольский</t>
  </si>
  <si>
    <t>Сызранский</t>
  </si>
  <si>
    <t>Хворостянский</t>
  </si>
  <si>
    <t>Челно-Вершинский</t>
  </si>
  <si>
    <t>Шенталинский</t>
  </si>
  <si>
    <t>ИТОГО</t>
  </si>
  <si>
    <t>Большеглушицкий</t>
  </si>
  <si>
    <t>Большечерниговский</t>
  </si>
  <si>
    <t>(1)</t>
  </si>
  <si>
    <t>(2)</t>
  </si>
  <si>
    <t>(3)</t>
  </si>
  <si>
    <t>(4)</t>
  </si>
  <si>
    <t>(5)</t>
  </si>
  <si>
    <t>(7)</t>
  </si>
  <si>
    <t>Наименование городского округа (муниципального района)</t>
  </si>
  <si>
    <t>(8)</t>
  </si>
  <si>
    <t>Таблица 1</t>
  </si>
  <si>
    <t>(6)</t>
  </si>
  <si>
    <t>Налоговый потенциал (НП), тыс.рублей</t>
  </si>
  <si>
    <t>Индекс бюджет-ных расходов (ИБР)</t>
  </si>
  <si>
    <t>Наименование муниципального образования</t>
  </si>
  <si>
    <t xml:space="preserve">Ставропольский </t>
  </si>
  <si>
    <t>(9)</t>
  </si>
  <si>
    <t>(10)</t>
  </si>
  <si>
    <t>(11)</t>
  </si>
  <si>
    <t>(12)</t>
  </si>
  <si>
    <t>Расчёт дотаций на выравнивание уровня бюджетной обеспеченности муниципальных районов (ГО, ГОВД) и дотаций на выравнивание</t>
  </si>
  <si>
    <t>Итоговый размер дотаций на выравнивание бюджетной обеспеченности МР (ГО) с учётом [7], тыс. рублей</t>
  </si>
  <si>
    <t>Численность жителей поселений, из бюджетов кот. предоставляются субсидии в обл. бюджет, чел.</t>
  </si>
  <si>
    <t>Жигулевск</t>
  </si>
  <si>
    <t>Налог, взимаемый в связи с применением патентной системы налогообложения</t>
  </si>
  <si>
    <t>ЕНВД</t>
  </si>
  <si>
    <t>НДФЛ</t>
  </si>
  <si>
    <t>Вид налога</t>
  </si>
  <si>
    <t xml:space="preserve">Таблица 2 </t>
  </si>
  <si>
    <t>Земельный налог (поселения)</t>
  </si>
  <si>
    <t>Земельный налог (ГО)</t>
  </si>
  <si>
    <t xml:space="preserve">Единый сельскохозяйственный налог </t>
  </si>
  <si>
    <t>Единый налог на вменённый доход для определённых видов деятельности (МР)</t>
  </si>
  <si>
    <t>Единый налог на вменённый доход для определённых видов деятельности (ГО)</t>
  </si>
  <si>
    <t>Налог на доходы физических лиц (МР, поселения)</t>
  </si>
  <si>
    <t xml:space="preserve">Налог на доходы физических лиц (ГО) </t>
  </si>
  <si>
    <t>(6)=(3)/(2)х(4)х(5)</t>
  </si>
  <si>
    <t xml:space="preserve">Репрезентативная налоговая ставка </t>
  </si>
  <si>
    <t>Коэффициенты изменения бюджетного и налогового законодательства</t>
  </si>
  <si>
    <t>Сумма налоговых
баз по муниципаль- ным образованиям</t>
  </si>
  <si>
    <t>Таблица 3</t>
  </si>
  <si>
    <t xml:space="preserve">Шигонский </t>
  </si>
  <si>
    <t xml:space="preserve">Шенталинский </t>
  </si>
  <si>
    <t xml:space="preserve">Челно-Вершинский </t>
  </si>
  <si>
    <t xml:space="preserve">Хворостянский </t>
  </si>
  <si>
    <t xml:space="preserve">Сызранский </t>
  </si>
  <si>
    <t xml:space="preserve">Сергиевский </t>
  </si>
  <si>
    <t xml:space="preserve">Приволжский </t>
  </si>
  <si>
    <t xml:space="preserve">Похвистневский </t>
  </si>
  <si>
    <t xml:space="preserve">Пестравский </t>
  </si>
  <si>
    <t xml:space="preserve">Нефтегорский </t>
  </si>
  <si>
    <t xml:space="preserve">Камышлинский </t>
  </si>
  <si>
    <t xml:space="preserve">Красноярский </t>
  </si>
  <si>
    <t xml:space="preserve">Красноармейский </t>
  </si>
  <si>
    <t xml:space="preserve">Кошкинский </t>
  </si>
  <si>
    <t xml:space="preserve">Клявлинский </t>
  </si>
  <si>
    <t xml:space="preserve">Кинель-Черкасский </t>
  </si>
  <si>
    <t xml:space="preserve">Кинельский </t>
  </si>
  <si>
    <t xml:space="preserve">Исаклинский </t>
  </si>
  <si>
    <t xml:space="preserve">Елховский </t>
  </si>
  <si>
    <t xml:space="preserve">Борский </t>
  </si>
  <si>
    <t xml:space="preserve">Большечерниговский </t>
  </si>
  <si>
    <t xml:space="preserve">Большеглушицкий </t>
  </si>
  <si>
    <t xml:space="preserve">Безенчукский </t>
  </si>
  <si>
    <t>(2)=(4)-(2)</t>
  </si>
  <si>
    <t>Земельный налог</t>
  </si>
  <si>
    <t>Единый налог на вменён. доход</t>
  </si>
  <si>
    <t>Налог на доходы физических лиц</t>
  </si>
  <si>
    <t>Налоговый потенциал</t>
  </si>
  <si>
    <t>Отрицате- льные транс- ферты</t>
  </si>
  <si>
    <t xml:space="preserve">Налоговый потенциал, с учетом отрицательных трансфертов </t>
  </si>
  <si>
    <t>Таблица 4</t>
  </si>
  <si>
    <r>
      <t>Дошкольное образование (07 01)</t>
    </r>
    <r>
      <rPr>
        <sz val="12"/>
        <rFont val="Times New Roman Cyr"/>
        <family val="0"/>
      </rPr>
      <t xml:space="preserve"> </t>
    </r>
  </si>
  <si>
    <t xml:space="preserve">Всего расходов </t>
  </si>
  <si>
    <t>Заработная плата и начисления на выплаты по оплате труда по ЭКР (211,213), а также за счёт средств субсидий, предоставляемых бюджетным и автономным учреждениям</t>
  </si>
  <si>
    <t>Транспортные затраты, расходы на услуги связи (221, 222)</t>
  </si>
  <si>
    <t>Общее образование (07 02)</t>
  </si>
  <si>
    <t>МУНИЦИПАЛЬНЫЕ РАЙОНЫ</t>
  </si>
  <si>
    <t>d4</t>
  </si>
  <si>
    <t>d3</t>
  </si>
  <si>
    <t>d2</t>
  </si>
  <si>
    <t>d1</t>
  </si>
  <si>
    <t>ИЗдошк.*d1 + ИЗобщ.обр.*d2 + ИЗтрансп.*d3 + ИЗсн*d4+1–(d1+d2+d3+d4)</t>
  </si>
  <si>
    <t>Доля влияния факторов</t>
  </si>
  <si>
    <t>Наименование м.о.</t>
  </si>
  <si>
    <t>Индекс бюджетных расходов</t>
  </si>
  <si>
    <t>ИЗ пос. (таблица 5.1)</t>
  </si>
  <si>
    <t>Индексы</t>
  </si>
  <si>
    <t>Таблица 5</t>
  </si>
  <si>
    <t>На 1 тыс. чел.</t>
  </si>
  <si>
    <t>Число лиц школьного возраста, чел.
(5-15 лет)</t>
  </si>
  <si>
    <t>Число лиц дошкольного возраста (до 4 лет), чел.</t>
  </si>
  <si>
    <t>Расчёт индекса затратности по дошкольному и общему образованию</t>
  </si>
  <si>
    <t>Среднестатистическое</t>
  </si>
  <si>
    <t>Индекс
(трансп. доступность)
[(3)+(6)+(8)]/3</t>
  </si>
  <si>
    <t>Расстояние до Самары, км</t>
  </si>
  <si>
    <t>Плотность населения, чел./кв.км
(4)/(2)</t>
  </si>
  <si>
    <t>Численность населения на 01.01.2017, чел.</t>
  </si>
  <si>
    <t>Расчёт индекса затратности транспортной доступности</t>
  </si>
  <si>
    <t>Коэффициент масштаба
(1,1- [(Чi-Чmin)/(Чmax-Чmin)]*0,2</t>
  </si>
  <si>
    <t>Индекс (оплата труда работников сельской местности)
(4)/(4ср.)</t>
  </si>
  <si>
    <t>Доля сельского населения, %</t>
  </si>
  <si>
    <t>Расчёт индекса затратности по оплате труда работников, работающих в сельской местности и коэффициента масштаба</t>
  </si>
  <si>
    <t>Единый с/х налог</t>
  </si>
  <si>
    <t>Налог на имущество физ. лиц</t>
  </si>
  <si>
    <t>Вид налога:</t>
  </si>
  <si>
    <t>Итоговый размер дотации на выравнивание БО поселений с учётом [11], тыс.рублей</t>
  </si>
  <si>
    <t>ГОРОДСКИЕ ОКРУГА (ГОВД)</t>
  </si>
  <si>
    <t>Таблица 6</t>
  </si>
  <si>
    <t>Таблица 7</t>
  </si>
  <si>
    <t>Таблица 8</t>
  </si>
  <si>
    <t>ИЗдошк.; ИЗобщ.обр.
(таблица 6)</t>
  </si>
  <si>
    <t>ИЗ трансп. (таблица 7)</t>
  </si>
  <si>
    <t>ИЗ сн (таблица 8)</t>
  </si>
  <si>
    <t>Коэффи-циент масштаба
(таблица 8)</t>
  </si>
  <si>
    <t>Численность постоянного населения на 01.01.2018, чел.</t>
  </si>
  <si>
    <t>Сумма дотации, ранее утверждённая в законе об областном бюджете на 2019 год, тыс.рублей</t>
  </si>
  <si>
    <t>Сумма дотации ранее утверждённая в законе об областном бюджете на 2019 год, тыс.рублей</t>
  </si>
  <si>
    <t>уровня бюджетной обеспеченности поселений (в том числе переводимых в субвенции) на 2019 год</t>
  </si>
  <si>
    <t>Фактическое поступление в бюджеты ГО и МР за 2017 год, тыс.рублей</t>
  </si>
  <si>
    <t>(данные по состоянию на 01.01.2017)</t>
  </si>
  <si>
    <t>Численность населения на 01.01.2018, чел.</t>
  </si>
  <si>
    <t>Расходы местных бюджетов без учета целевых средств по отчету 402r за 2017 год</t>
  </si>
  <si>
    <r>
      <t>Общая площадь земель муниципального обр</t>
    </r>
    <r>
      <rPr>
        <sz val="12"/>
        <rFont val="Times New Roman Cyr"/>
        <family val="0"/>
      </rPr>
      <t>азования на 01.01.2018</t>
    </r>
    <r>
      <rPr>
        <sz val="12"/>
        <rFont val="Times new roman cyr"/>
        <family val="1"/>
      </rPr>
      <t>, кв.км</t>
    </r>
  </si>
  <si>
    <t>Выдано патентов за 2017 год</t>
  </si>
  <si>
    <t>Количество плательщиков в 2017 году</t>
  </si>
  <si>
    <t>Налогообла-гаемая база за 2017 год,  тыс.руб.</t>
  </si>
  <si>
    <t>Расчёт показателей налоговых потенциалов для муниципальных образований на 2019-2021 годы</t>
  </si>
  <si>
    <t>Расчёт репрезентативной налоговой ставки по каждому виду налога на 2019-2021 годы</t>
  </si>
  <si>
    <t>Расчёт индекса бюджетных расходов на 2019-2021 годы</t>
  </si>
  <si>
    <r>
      <t xml:space="preserve">в </t>
    </r>
    <r>
      <rPr>
        <sz val="12"/>
        <color indexed="17"/>
        <rFont val="Times New Roman"/>
        <family val="1"/>
      </rPr>
      <t>2018 году</t>
    </r>
  </si>
  <si>
    <r>
      <t xml:space="preserve">планируемый 
на </t>
    </r>
    <r>
      <rPr>
        <sz val="12"/>
        <color indexed="17"/>
        <rFont val="Times New Roman"/>
        <family val="1"/>
      </rPr>
      <t>2019-2021 годы</t>
    </r>
  </si>
  <si>
    <t>Численность сельского населения</t>
  </si>
  <si>
    <t>В том числе:</t>
  </si>
  <si>
    <t>Налоговая база, итого</t>
  </si>
  <si>
    <t>Общая кадастровая стоимость строений, помещений и сооружений, по которым предъявлен налог к уплате, с учетом льгот, установленных в пунктах 3-6 статьи 403 НК РФ</t>
  </si>
  <si>
    <t xml:space="preserve">Налог на имущество физических лиц </t>
  </si>
  <si>
    <t xml:space="preserve">Исходные данные для расчёта показателя налогового потенциала муниципальных образований на 2019-2021 годы </t>
  </si>
  <si>
    <t>Налоговая база за 2017 год (строка 1500 раздела I и строка 2400 раздела II отчета 5-МН за 2017 год) - без учета кадастровой стоимости земель, предоставленных для обеспечения обороны, и земель, предоставленных для государственных надобностей, тыс.руб.</t>
  </si>
  <si>
    <t>Налоговая база по ставке 13% за 2017 год (строка 2030 раздела IX отчета 5-НДФЛ за 2017 год), тыс. руб.</t>
  </si>
  <si>
    <t>Сумма дополнительного дохода, заявленная в декларациях 3-НДФЛ за 2016 год (общая сумма облагаемого дохода по ставке 13% - строка 2050 раздела II отчета 5-ДДК за 2016 год), тыс. руб.</t>
  </si>
  <si>
    <t>Таблица 1.1</t>
  </si>
  <si>
    <t>Расчёт дотаций на выравнивание уровня бюджетной обеспеченности на 2020-2021 годы</t>
  </si>
  <si>
    <t>Расчётная бюджетная обеспечен-ность (РБО),
[2]/[3]/6,937/[4]</t>
  </si>
  <si>
    <t>Сумма дотации, ранее утверждённая в законе об областном бюджете на 2020 год</t>
  </si>
  <si>
    <t>Распределённый размер дотаций на выравнивание бюджетной обеспеченности МР (ГО)</t>
  </si>
  <si>
    <t>Расчётная сумма дотации на выравнивание БО поселений на 2019 год, тыс.руб.</t>
  </si>
  <si>
    <t>Распределённый размер дотаций в плановом периоде 
на 2020 год с учётом [11]</t>
  </si>
  <si>
    <t>Распределённый размер дотаций в плановом периоде 
на 2021 год</t>
  </si>
  <si>
    <t xml:space="preserve"> в плановом периоде 
на 2020 год с учётом [7]</t>
  </si>
  <si>
    <t>в плановом периоде
 на 2021 год</t>
  </si>
  <si>
    <t>(8)=(6)*0,8</t>
  </si>
  <si>
    <t>(9)=(6)*0,8</t>
  </si>
  <si>
    <t>(12)=(10)*0,8</t>
  </si>
  <si>
    <t>(13)=(10)*0,8</t>
  </si>
  <si>
    <t>ГОРОДСКИЕ ОКРУГА:</t>
  </si>
  <si>
    <t>МУНИЦИПАЛЬНЫЕ РАЙОНЫ:</t>
  </si>
  <si>
    <t>Нераспределённый резерв</t>
  </si>
</sst>
</file>

<file path=xl/styles.xml><?xml version="1.0" encoding="utf-8"?>
<styleSheet xmlns="http://schemas.openxmlformats.org/spreadsheetml/2006/main">
  <numFmts count="7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_-* #,##0.000\ _р_._-;\-* #,##0.000\ _р_._-;_-* &quot;-&quot;??\ _р_._-;_-@_-"/>
    <numFmt numFmtId="187" formatCode="_-* #,##0.0000\ _р_._-;\-* #,##0.0000\ _р_._-;_-* &quot;-&quot;??\ _р_._-;_-@_-"/>
    <numFmt numFmtId="188" formatCode="_-* #,##0.00000\ _р_._-;\-* #,##0.00000\ _р_._-;_-* &quot;-&quot;??\ _р_._-;_-@_-"/>
    <numFmt numFmtId="189" formatCode="_-* #,##0.000000\ _р_._-;\-* #,##0.000000\ _р_._-;_-* &quot;-&quot;??\ _р_._-;_-@_-"/>
    <numFmt numFmtId="190" formatCode="_-* #,##0.0000000\ _р_._-;\-* #,##0.0000000\ _р_._-;_-* &quot;-&quot;??\ _р_._-;_-@_-"/>
    <numFmt numFmtId="191" formatCode="_-* #,##0.00000000\ _р_._-;\-* #,##0.00000000\ _р_._-;_-* &quot;-&quot;??\ _р_._-;_-@_-"/>
    <numFmt numFmtId="192" formatCode="_-* #,##0.000000000\ _р_._-;\-* #,##0.000000000\ _р_._-;_-* &quot;-&quot;??\ _р_._-;_-@_-"/>
    <numFmt numFmtId="193" formatCode="_-* #,##0.0000000000\ _р_._-;\-* #,##0.0000000000\ _р_._-;_-* &quot;-&quot;??\ _р_._-;_-@_-"/>
    <numFmt numFmtId="194" formatCode="_-* #,##0.00000000000\ _р_._-;\-* #,##0.00000000000\ _р_._-;_-* &quot;-&quot;??\ _р_._-;_-@_-"/>
    <numFmt numFmtId="195" formatCode="_-* #,##0.000000000000\ _р_._-;\-* #,##0.000000000000\ _р_._-;_-* &quot;-&quot;??\ _р_._-;_-@_-"/>
    <numFmt numFmtId="196" formatCode="_-* #,##0.0000000000000\ _р_._-;\-* #,##0.0000000000000\ _р_._-;_-* &quot;-&quot;??\ _р_._-;_-@_-"/>
    <numFmt numFmtId="197" formatCode="_-* #,##0.00000000000000\ _р_._-;\-* #,##0.00000000000000\ _р_._-;_-* &quot;-&quot;??\ _р_._-;_-@_-"/>
    <numFmt numFmtId="198" formatCode="_-* #,##0.000000000000000\ _р_._-;\-* #,##0.000000000000000\ _р_._-;_-* &quot;-&quot;??\ _р_._-;_-@_-"/>
    <numFmt numFmtId="199" formatCode="_-* #,##0.0000000000000000\ _р_._-;\-* #,##0.0000000000000000\ _р_._-;_-* &quot;-&quot;??\ _р_._-;_-@_-"/>
    <numFmt numFmtId="200" formatCode="_-* #,##0.00000000000000000\ _р_._-;\-* #,##0.00000000000000000\ _р_._-;_-* &quot;-&quot;??\ _р_._-;_-@_-"/>
    <numFmt numFmtId="201" formatCode="_-* #,##0.000000000000000000\ _р_._-;\-* #,##0.000000000000000000\ _р_._-;_-* &quot;-&quot;??\ _р_._-;_-@_-"/>
    <numFmt numFmtId="202" formatCode="_-* #,##0.0000000000000000000\ _р_._-;\-* #,##0.0000000000000000000\ _р_._-;_-* &quot;-&quot;??\ _р_._-;_-@_-"/>
    <numFmt numFmtId="203" formatCode="_-* #,##0.00000000000000000000\ _р_._-;\-* #,##0.00000000000000000000\ _р_._-;_-* &quot;-&quot;??\ _р_._-;_-@_-"/>
    <numFmt numFmtId="204" formatCode="_-* #,##0.000000000000000000000\ _р_._-;\-* #,##0.000000000000000000000\ _р_._-;_-* &quot;-&quot;??\ _р_._-;_-@_-"/>
    <numFmt numFmtId="205" formatCode="_-* #,##0.0000000000000000000000\ _р_._-;\-* #,##0.0000000000000000000000\ _р_._-;_-* &quot;-&quot;??\ _р_._-;_-@_-"/>
    <numFmt numFmtId="206" formatCode="_-* #,##0.00000000000000000000000\ _р_._-;\-* #,##0.00000000000000000000000\ _р_._-;_-* &quot;-&quot;??\ _р_._-;_-@_-"/>
    <numFmt numFmtId="207" formatCode="_-* #,##0.000000000000000000000000\ _р_._-;\-* #,##0.000000000000000000000000\ _р_._-;_-* &quot;-&quot;??\ _р_._-;_-@_-"/>
    <numFmt numFmtId="208" formatCode="_-* #,##0.0000000000000000000000000\ _р_._-;\-* #,##0.0000000000000000000000000\ _р_._-;_-* &quot;-&quot;??\ _р_._-;_-@_-"/>
    <numFmt numFmtId="209" formatCode="_-* #,##0.00000000000000000000000000\ _р_._-;\-* #,##0.00000000000000000000000000\ _р_._-;_-* &quot;-&quot;??\ _р_._-;_-@_-"/>
    <numFmt numFmtId="210" formatCode="_-* #,##0.0\ _р_._-;\-* #,##0.0\ _р_._-;_-* &quot;-&quot;??\ _р_._-;_-@_-"/>
    <numFmt numFmtId="211" formatCode="_-* #,##0\ _р_._-;\-* #,##0\ _р_._-;_-* &quot;-&quot;??\ _р_._-;_-@_-"/>
    <numFmt numFmtId="212" formatCode="0.0"/>
    <numFmt numFmtId="213" formatCode="#,##0.0"/>
    <numFmt numFmtId="214" formatCode="#,##0_ ;[Red]\-#,##0\ "/>
    <numFmt numFmtId="215" formatCode="#,##0.0_ ;[Red]\-#,##0.0\ "/>
    <numFmt numFmtId="216" formatCode="_-* #,##0_р_._-;\-* #,##0_р_._-;_-* &quot;-&quot;??_р_._-;_-@_-"/>
    <numFmt numFmtId="217" formatCode="0.0_ ;[Red]\-0.0\ "/>
    <numFmt numFmtId="218" formatCode="0.00_ ;[Red]\-0.00\ "/>
    <numFmt numFmtId="219" formatCode="#,##0.000"/>
    <numFmt numFmtId="220" formatCode="#,##0.0000"/>
    <numFmt numFmtId="221" formatCode="#,##0.00000"/>
    <numFmt numFmtId="222" formatCode="#,##0.000000"/>
    <numFmt numFmtId="223" formatCode="#,##0.0000000"/>
    <numFmt numFmtId="224" formatCode="#,##0.00000000"/>
    <numFmt numFmtId="225" formatCode="#,###"/>
  </numFmts>
  <fonts count="6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1"/>
      <name val="Times New Roman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b/>
      <sz val="12"/>
      <color indexed="10"/>
      <name val="Times New Roman Cyr"/>
      <family val="1"/>
    </font>
    <font>
      <sz val="11"/>
      <name val="Times New Roman"/>
      <family val="1"/>
    </font>
    <font>
      <sz val="12"/>
      <color indexed="9"/>
      <name val="Times New Roman Cyr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0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sz val="11"/>
      <name val="Times new roman cyr"/>
      <family val="1"/>
    </font>
    <font>
      <sz val="9"/>
      <name val="Times new roman cyr"/>
      <family val="1"/>
    </font>
    <font>
      <sz val="12.5"/>
      <name val="Times New Roman"/>
      <family val="1"/>
    </font>
    <font>
      <b/>
      <sz val="12.5"/>
      <name val="Times New Roman"/>
      <family val="1"/>
    </font>
    <font>
      <sz val="12"/>
      <name val="Times New Roman Cyr"/>
      <family val="0"/>
    </font>
    <font>
      <sz val="12.5"/>
      <name val="Times New Roman Cyr"/>
      <family val="0"/>
    </font>
    <font>
      <sz val="12"/>
      <color indexed="8"/>
      <name val="Times New Roman"/>
      <family val="1"/>
    </font>
    <font>
      <sz val="11"/>
      <name val="Arial Cyr"/>
      <family val="0"/>
    </font>
    <font>
      <sz val="10.5"/>
      <name val="Times new roman cyr"/>
      <family val="1"/>
    </font>
    <font>
      <sz val="10.5"/>
      <name val="Times New Roman"/>
      <family val="1"/>
    </font>
    <font>
      <sz val="12"/>
      <color indexed="17"/>
      <name val="Times New Roman"/>
      <family val="1"/>
    </font>
    <font>
      <i/>
      <sz val="12"/>
      <name val="Times new roman cyr"/>
      <family val="0"/>
    </font>
    <font>
      <sz val="12"/>
      <color indexed="63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10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19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 cyr"/>
      <family val="1"/>
    </font>
    <font>
      <sz val="12"/>
      <color indexed="63"/>
      <name val="Times new roman cyr"/>
      <family val="1"/>
    </font>
    <font>
      <sz val="12"/>
      <color indexed="10"/>
      <name val="Times new roman cyr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b/>
      <sz val="12"/>
      <color rgb="FFC00000"/>
      <name val="Times New Roman Cyr"/>
      <family val="0"/>
    </font>
    <font>
      <sz val="12"/>
      <color theme="5" tint="-0.24997000396251678"/>
      <name val="Times new roman cyr"/>
      <family val="1"/>
    </font>
    <font>
      <sz val="12"/>
      <color theme="1"/>
      <name val="Times new roman cyr"/>
      <family val="1"/>
    </font>
    <font>
      <sz val="12"/>
      <color rgb="FFFF0000"/>
      <name val="Times new roman cyr"/>
      <family val="1"/>
    </font>
    <font>
      <b/>
      <sz val="12"/>
      <color rgb="FFFF0000"/>
      <name val="Times New Roman Cyr"/>
      <family val="1"/>
    </font>
  </fonts>
  <fills count="4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 applyNumberFormat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0" borderId="0">
      <alignment/>
      <protection/>
    </xf>
    <xf numFmtId="0" fontId="47" fillId="20" borderId="0" applyNumberFormat="0" applyBorder="0" applyAlignment="0" applyProtection="0"/>
    <xf numFmtId="0" fontId="47" fillId="15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69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12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243">
    <xf numFmtId="0" fontId="0" fillId="0" borderId="0" xfId="0" applyAlignment="1">
      <alignment/>
    </xf>
    <xf numFmtId="0" fontId="7" fillId="0" borderId="0" xfId="0" applyFont="1" applyAlignment="1" applyProtection="1">
      <alignment/>
      <protection/>
    </xf>
    <xf numFmtId="213" fontId="7" fillId="32" borderId="10" xfId="0" applyNumberFormat="1" applyFont="1" applyFill="1" applyBorder="1" applyAlignment="1" applyProtection="1">
      <alignment horizontal="center" vertical="center" wrapText="1"/>
      <protection/>
    </xf>
    <xf numFmtId="0" fontId="7" fillId="32" borderId="10" xfId="0" applyFont="1" applyFill="1" applyBorder="1" applyAlignment="1" applyProtection="1">
      <alignment horizontal="center" vertical="center" wrapText="1"/>
      <protection/>
    </xf>
    <xf numFmtId="49" fontId="7" fillId="32" borderId="10" xfId="0" applyNumberFormat="1" applyFont="1" applyFill="1" applyBorder="1" applyAlignment="1" applyProtection="1">
      <alignment horizontal="center" vertical="center" wrapText="1"/>
      <protection/>
    </xf>
    <xf numFmtId="2" fontId="7" fillId="0" borderId="0" xfId="0" applyNumberFormat="1" applyFont="1" applyAlignment="1" applyProtection="1">
      <alignment/>
      <protection/>
    </xf>
    <xf numFmtId="213" fontId="7" fillId="0" borderId="0" xfId="0" applyNumberFormat="1" applyFont="1" applyAlignment="1" applyProtection="1">
      <alignment/>
      <protection/>
    </xf>
    <xf numFmtId="3" fontId="7" fillId="0" borderId="0" xfId="0" applyNumberFormat="1" applyFont="1" applyAlignment="1" applyProtection="1">
      <alignment/>
      <protection/>
    </xf>
    <xf numFmtId="3" fontId="7" fillId="5" borderId="10" xfId="0" applyNumberFormat="1" applyFont="1" applyFill="1" applyBorder="1" applyAlignment="1" applyProtection="1">
      <alignment/>
      <protection/>
    </xf>
    <xf numFmtId="3" fontId="7" fillId="0" borderId="0" xfId="0" applyNumberFormat="1" applyFont="1" applyAlignment="1" applyProtection="1">
      <alignment horizontal="right"/>
      <protection/>
    </xf>
    <xf numFmtId="3" fontId="7" fillId="0" borderId="0" xfId="0" applyNumberFormat="1" applyFont="1" applyFill="1" applyBorder="1" applyAlignment="1" applyProtection="1">
      <alignment/>
      <protection/>
    </xf>
    <xf numFmtId="0" fontId="8" fillId="32" borderId="10" xfId="0" applyFont="1" applyFill="1" applyBorder="1" applyAlignment="1" applyProtection="1">
      <alignment vertical="center"/>
      <protection/>
    </xf>
    <xf numFmtId="3" fontId="7" fillId="32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/>
      <protection/>
    </xf>
    <xf numFmtId="3" fontId="7" fillId="0" borderId="0" xfId="56" applyNumberFormat="1" applyFont="1" applyFill="1" applyBorder="1" applyAlignment="1" applyProtection="1">
      <alignment horizontal="center" vertical="center" wrapText="1"/>
      <protection/>
    </xf>
    <xf numFmtId="2" fontId="7" fillId="0" borderId="0" xfId="0" applyNumberFormat="1" applyFont="1" applyAlignment="1" applyProtection="1">
      <alignment horizontal="center"/>
      <protection/>
    </xf>
    <xf numFmtId="3" fontId="7" fillId="0" borderId="0" xfId="0" applyNumberFormat="1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3" fontId="10" fillId="0" borderId="0" xfId="0" applyNumberFormat="1" applyFont="1" applyBorder="1" applyAlignment="1">
      <alignment horizontal="center"/>
    </xf>
    <xf numFmtId="4" fontId="7" fillId="0" borderId="0" xfId="0" applyNumberFormat="1" applyFont="1" applyFill="1" applyAlignment="1" applyProtection="1">
      <alignment horizontal="center"/>
      <protection/>
    </xf>
    <xf numFmtId="3" fontId="7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Font="1" applyAlignment="1" applyProtection="1">
      <alignment horizontal="center"/>
      <protection/>
    </xf>
    <xf numFmtId="0" fontId="7" fillId="0" borderId="0" xfId="0" applyFont="1" applyBorder="1" applyAlignment="1" applyProtection="1">
      <alignment/>
      <protection/>
    </xf>
    <xf numFmtId="219" fontId="7" fillId="32" borderId="10" xfId="0" applyNumberFormat="1" applyFont="1" applyFill="1" applyBorder="1" applyAlignment="1" applyProtection="1">
      <alignment horizontal="center" vertical="center"/>
      <protection/>
    </xf>
    <xf numFmtId="3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7" fillId="33" borderId="0" xfId="0" applyFont="1" applyFill="1" applyAlignment="1" applyProtection="1">
      <alignment/>
      <protection/>
    </xf>
    <xf numFmtId="0" fontId="7" fillId="33" borderId="0" xfId="0" applyFont="1" applyFill="1" applyAlignment="1" applyProtection="1">
      <alignment horizontal="right"/>
      <protection/>
    </xf>
    <xf numFmtId="0" fontId="7" fillId="0" borderId="0" xfId="0" applyFont="1" applyAlignment="1" applyProtection="1">
      <alignment horizontal="center" vertical="center"/>
      <protection/>
    </xf>
    <xf numFmtId="0" fontId="63" fillId="0" borderId="0" xfId="0" applyFont="1" applyAlignment="1" applyProtection="1">
      <alignment/>
      <protection/>
    </xf>
    <xf numFmtId="3" fontId="10" fillId="0" borderId="0" xfId="0" applyNumberFormat="1" applyFont="1" applyBorder="1" applyAlignment="1">
      <alignment horizontal="left" vertical="center"/>
    </xf>
    <xf numFmtId="0" fontId="7" fillId="0" borderId="0" xfId="54" applyFont="1">
      <alignment/>
      <protection/>
    </xf>
    <xf numFmtId="3" fontId="7" fillId="0" borderId="0" xfId="54" applyNumberFormat="1" applyFont="1">
      <alignment/>
      <protection/>
    </xf>
    <xf numFmtId="3" fontId="10" fillId="0" borderId="0" xfId="54" applyNumberFormat="1" applyFont="1">
      <alignment/>
      <protection/>
    </xf>
    <xf numFmtId="3" fontId="8" fillId="32" borderId="10" xfId="54" applyNumberFormat="1" applyFont="1" applyFill="1" applyBorder="1" applyAlignment="1">
      <alignment horizontal="right" vertical="center" indent="1"/>
      <protection/>
    </xf>
    <xf numFmtId="0" fontId="7" fillId="0" borderId="0" xfId="54" applyFont="1" applyBorder="1">
      <alignment/>
      <protection/>
    </xf>
    <xf numFmtId="0" fontId="7" fillId="0" borderId="0" xfId="54" applyFont="1" applyFill="1" applyBorder="1">
      <alignment/>
      <protection/>
    </xf>
    <xf numFmtId="0" fontId="7" fillId="0" borderId="0" xfId="54" applyFont="1" applyBorder="1" applyAlignment="1">
      <alignment vertical="center" wrapText="1"/>
      <protection/>
    </xf>
    <xf numFmtId="49" fontId="7" fillId="0" borderId="10" xfId="54" applyNumberFormat="1" applyFont="1" applyFill="1" applyBorder="1" applyAlignment="1">
      <alignment horizontal="center" vertical="center" wrapText="1"/>
      <protection/>
    </xf>
    <xf numFmtId="49" fontId="10" fillId="0" borderId="10" xfId="54" applyNumberFormat="1" applyFont="1" applyFill="1" applyBorder="1" applyAlignment="1">
      <alignment horizontal="center" vertical="center" wrapText="1"/>
      <protection/>
    </xf>
    <xf numFmtId="0" fontId="19" fillId="34" borderId="10" xfId="54" applyNumberFormat="1" applyFont="1" applyFill="1" applyBorder="1" applyAlignment="1" applyProtection="1">
      <alignment horizontal="center" vertical="center" wrapText="1"/>
      <protection/>
    </xf>
    <xf numFmtId="0" fontId="7" fillId="34" borderId="10" xfId="54" applyNumberFormat="1" applyFont="1" applyFill="1" applyBorder="1" applyAlignment="1" applyProtection="1">
      <alignment horizontal="center" vertical="center" wrapText="1"/>
      <protection/>
    </xf>
    <xf numFmtId="0" fontId="7" fillId="34" borderId="10" xfId="54" applyFont="1" applyFill="1" applyBorder="1" applyAlignment="1">
      <alignment horizontal="center" vertical="center" wrapText="1"/>
      <protection/>
    </xf>
    <xf numFmtId="0" fontId="7" fillId="0" borderId="0" xfId="54" applyFont="1" applyFill="1" applyBorder="1" applyAlignment="1">
      <alignment/>
      <protection/>
    </xf>
    <xf numFmtId="0" fontId="13" fillId="0" borderId="0" xfId="54" applyFont="1" applyAlignment="1">
      <alignment vertical="center"/>
      <protection/>
    </xf>
    <xf numFmtId="0" fontId="13" fillId="0" borderId="0" xfId="54" applyFont="1" applyAlignment="1">
      <alignment vertical="center" wrapText="1"/>
      <protection/>
    </xf>
    <xf numFmtId="3" fontId="13" fillId="0" borderId="0" xfId="54" applyNumberFormat="1" applyFont="1" applyAlignment="1">
      <alignment vertical="center"/>
      <protection/>
    </xf>
    <xf numFmtId="4" fontId="13" fillId="0" borderId="0" xfId="54" applyNumberFormat="1" applyFont="1" applyAlignment="1">
      <alignment vertical="center"/>
      <protection/>
    </xf>
    <xf numFmtId="0" fontId="13" fillId="0" borderId="0" xfId="54" applyFont="1" applyAlignment="1">
      <alignment vertical="center"/>
      <protection/>
    </xf>
    <xf numFmtId="49" fontId="13" fillId="35" borderId="10" xfId="54" applyNumberFormat="1" applyFont="1" applyFill="1" applyBorder="1" applyAlignment="1">
      <alignment horizontal="center" vertical="center" wrapText="1"/>
      <protection/>
    </xf>
    <xf numFmtId="49" fontId="13" fillId="35" borderId="10" xfId="54" applyNumberFormat="1" applyFont="1" applyFill="1" applyBorder="1" applyAlignment="1">
      <alignment horizontal="center" vertical="center" wrapText="1"/>
      <protection/>
    </xf>
    <xf numFmtId="0" fontId="13" fillId="26" borderId="0" xfId="54" applyFont="1" applyFill="1" applyBorder="1" applyAlignment="1">
      <alignment horizontal="right" vertical="center"/>
      <protection/>
    </xf>
    <xf numFmtId="0" fontId="13" fillId="26" borderId="0" xfId="54" applyFont="1" applyFill="1" applyBorder="1" applyAlignment="1">
      <alignment vertical="center"/>
      <protection/>
    </xf>
    <xf numFmtId="0" fontId="13" fillId="26" borderId="0" xfId="54" applyFont="1" applyFill="1" applyBorder="1" applyAlignment="1">
      <alignment vertical="center" wrapText="1"/>
      <protection/>
    </xf>
    <xf numFmtId="0" fontId="7" fillId="0" borderId="0" xfId="54" applyFont="1" applyAlignment="1">
      <alignment vertical="center"/>
      <protection/>
    </xf>
    <xf numFmtId="2" fontId="7" fillId="0" borderId="0" xfId="54" applyNumberFormat="1" applyFont="1" applyAlignment="1">
      <alignment vertical="center"/>
      <protection/>
    </xf>
    <xf numFmtId="3" fontId="7" fillId="0" borderId="0" xfId="54" applyNumberFormat="1" applyFont="1" applyAlignment="1">
      <alignment vertical="center"/>
      <protection/>
    </xf>
    <xf numFmtId="0" fontId="8" fillId="0" borderId="0" xfId="54" applyFont="1" applyAlignment="1">
      <alignment vertical="center"/>
      <protection/>
    </xf>
    <xf numFmtId="3" fontId="8" fillId="32" borderId="10" xfId="55" applyNumberFormat="1" applyFont="1" applyFill="1" applyBorder="1" applyAlignment="1">
      <alignment horizontal="center" vertical="center"/>
      <protection/>
    </xf>
    <xf numFmtId="4" fontId="8" fillId="32" borderId="10" xfId="55" applyNumberFormat="1" applyFont="1" applyFill="1" applyBorder="1" applyAlignment="1">
      <alignment horizontal="center" vertical="center"/>
      <protection/>
    </xf>
    <xf numFmtId="0" fontId="7" fillId="0" borderId="0" xfId="54" applyFont="1" applyBorder="1" applyAlignment="1">
      <alignment vertical="center"/>
      <protection/>
    </xf>
    <xf numFmtId="0" fontId="7" fillId="0" borderId="0" xfId="54" applyFont="1" applyFill="1" applyBorder="1" applyAlignment="1">
      <alignment vertical="center"/>
      <protection/>
    </xf>
    <xf numFmtId="49" fontId="7" fillId="32" borderId="10" xfId="54" applyNumberFormat="1" applyFont="1" applyFill="1" applyBorder="1" applyAlignment="1">
      <alignment horizontal="center" vertical="center" wrapText="1"/>
      <protection/>
    </xf>
    <xf numFmtId="0" fontId="7" fillId="32" borderId="10" xfId="54" applyNumberFormat="1" applyFont="1" applyFill="1" applyBorder="1" applyAlignment="1" applyProtection="1">
      <alignment horizontal="center" vertical="center" wrapText="1"/>
      <protection/>
    </xf>
    <xf numFmtId="0" fontId="7" fillId="32" borderId="10" xfId="54" applyFont="1" applyFill="1" applyBorder="1" applyAlignment="1">
      <alignment horizontal="center" vertical="center" wrapText="1"/>
      <protection/>
    </xf>
    <xf numFmtId="0" fontId="22" fillId="32" borderId="10" xfId="54" applyFont="1" applyFill="1" applyBorder="1" applyAlignment="1">
      <alignment horizontal="center" vertical="center" wrapText="1"/>
      <protection/>
    </xf>
    <xf numFmtId="0" fontId="7" fillId="33" borderId="0" xfId="54" applyFont="1" applyFill="1" applyAlignment="1">
      <alignment vertical="center"/>
      <protection/>
    </xf>
    <xf numFmtId="0" fontId="7" fillId="0" borderId="0" xfId="0" applyFont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0" xfId="0" applyFont="1" applyAlignment="1">
      <alignment vertical="center"/>
    </xf>
    <xf numFmtId="49" fontId="7" fillId="0" borderId="10" xfId="0" applyNumberFormat="1" applyFont="1" applyFill="1" applyBorder="1" applyAlignment="1">
      <alignment horizontal="center"/>
    </xf>
    <xf numFmtId="0" fontId="7" fillId="36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2" fontId="8" fillId="37" borderId="10" xfId="0" applyNumberFormat="1" applyFont="1" applyFill="1" applyBorder="1" applyAlignment="1">
      <alignment/>
    </xf>
    <xf numFmtId="4" fontId="8" fillId="37" borderId="10" xfId="0" applyNumberFormat="1" applyFont="1" applyFill="1" applyBorder="1" applyAlignment="1" applyProtection="1">
      <alignment horizontal="right"/>
      <protection/>
    </xf>
    <xf numFmtId="3" fontId="8" fillId="37" borderId="10" xfId="0" applyNumberFormat="1" applyFont="1" applyFill="1" applyBorder="1" applyAlignment="1">
      <alignment horizontal="right" vertical="center" indent="1"/>
    </xf>
    <xf numFmtId="3" fontId="8" fillId="37" borderId="10" xfId="0" applyNumberFormat="1" applyFont="1" applyFill="1" applyBorder="1" applyAlignment="1" applyProtection="1">
      <alignment horizontal="right" vertical="center" indent="1"/>
      <protection/>
    </xf>
    <xf numFmtId="4" fontId="8" fillId="37" borderId="10" xfId="0" applyNumberFormat="1" applyFont="1" applyFill="1" applyBorder="1" applyAlignment="1">
      <alignment horizontal="right" vertical="center" indent="1"/>
    </xf>
    <xf numFmtId="0" fontId="8" fillId="37" borderId="10" xfId="0" applyFont="1" applyFill="1" applyBorder="1" applyAlignment="1">
      <alignment/>
    </xf>
    <xf numFmtId="0" fontId="7" fillId="37" borderId="10" xfId="0" applyFont="1" applyFill="1" applyBorder="1" applyAlignment="1">
      <alignment horizontal="center" vertical="center" wrapText="1"/>
    </xf>
    <xf numFmtId="4" fontId="8" fillId="23" borderId="10" xfId="0" applyNumberFormat="1" applyFont="1" applyFill="1" applyBorder="1" applyAlignment="1" applyProtection="1">
      <alignment horizontal="right"/>
      <protection/>
    </xf>
    <xf numFmtId="2" fontId="8" fillId="23" borderId="10" xfId="0" applyNumberFormat="1" applyFont="1" applyFill="1" applyBorder="1" applyAlignment="1">
      <alignment/>
    </xf>
    <xf numFmtId="3" fontId="8" fillId="23" borderId="10" xfId="0" applyNumberFormat="1" applyFont="1" applyFill="1" applyBorder="1" applyAlignment="1">
      <alignment horizontal="right" vertical="center" indent="1"/>
    </xf>
    <xf numFmtId="0" fontId="8" fillId="23" borderId="10" xfId="0" applyFont="1" applyFill="1" applyBorder="1" applyAlignment="1">
      <alignment/>
    </xf>
    <xf numFmtId="0" fontId="7" fillId="33" borderId="0" xfId="0" applyFont="1" applyFill="1" applyAlignment="1">
      <alignment/>
    </xf>
    <xf numFmtId="0" fontId="7" fillId="33" borderId="0" xfId="0" applyFont="1" applyFill="1" applyAlignment="1">
      <alignment horizontal="right"/>
    </xf>
    <xf numFmtId="0" fontId="7" fillId="33" borderId="0" xfId="0" applyFont="1" applyFill="1" applyAlignment="1">
      <alignment horizontal="left"/>
    </xf>
    <xf numFmtId="0" fontId="7" fillId="38" borderId="10" xfId="0" applyFont="1" applyFill="1" applyBorder="1" applyAlignment="1">
      <alignment horizontal="center" vertical="center" wrapText="1"/>
    </xf>
    <xf numFmtId="0" fontId="27" fillId="38" borderId="10" xfId="0" applyFont="1" applyFill="1" applyBorder="1" applyAlignment="1">
      <alignment horizontal="center" vertical="center" wrapText="1"/>
    </xf>
    <xf numFmtId="184" fontId="26" fillId="38" borderId="10" xfId="0" applyNumberFormat="1" applyFont="1" applyFill="1" applyBorder="1" applyAlignment="1">
      <alignment horizontal="center" vertical="center" wrapText="1"/>
    </xf>
    <xf numFmtId="0" fontId="13" fillId="38" borderId="10" xfId="0" applyFont="1" applyFill="1" applyBorder="1" applyAlignment="1">
      <alignment horizontal="center" vertical="center" wrapText="1"/>
    </xf>
    <xf numFmtId="184" fontId="13" fillId="38" borderId="10" xfId="0" applyNumberFormat="1" applyFont="1" applyFill="1" applyBorder="1" applyAlignment="1">
      <alignment horizontal="center" vertical="center"/>
    </xf>
    <xf numFmtId="183" fontId="13" fillId="38" borderId="1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 applyProtection="1">
      <alignment/>
      <protection/>
    </xf>
    <xf numFmtId="0" fontId="64" fillId="30" borderId="11" xfId="0" applyFont="1" applyFill="1" applyBorder="1" applyAlignment="1" applyProtection="1">
      <alignment vertical="center"/>
      <protection/>
    </xf>
    <xf numFmtId="3" fontId="17" fillId="0" borderId="0" xfId="54" applyNumberFormat="1" applyFont="1" applyFill="1" applyBorder="1" applyAlignment="1">
      <alignment horizontal="right" vertical="center" indent="1"/>
      <protection/>
    </xf>
    <xf numFmtId="216" fontId="14" fillId="0" borderId="0" xfId="68" applyNumberFormat="1" applyFont="1" applyFill="1" applyBorder="1" applyAlignment="1" applyProtection="1">
      <alignment horizontal="center" vertical="center"/>
      <protection/>
    </xf>
    <xf numFmtId="3" fontId="16" fillId="0" borderId="0" xfId="54" applyNumberFormat="1" applyFont="1" applyFill="1" applyBorder="1" applyAlignment="1">
      <alignment horizontal="center" vertical="center"/>
      <protection/>
    </xf>
    <xf numFmtId="3" fontId="14" fillId="0" borderId="0" xfId="54" applyNumberFormat="1" applyFont="1" applyFill="1" applyBorder="1" applyAlignment="1" applyProtection="1">
      <alignment horizontal="center" vertical="center"/>
      <protection/>
    </xf>
    <xf numFmtId="0" fontId="7" fillId="0" borderId="0" xfId="33" applyFont="1" applyFill="1" applyBorder="1" applyAlignment="1">
      <alignment vertical="center"/>
      <protection/>
    </xf>
    <xf numFmtId="216" fontId="10" fillId="0" borderId="0" xfId="68" applyNumberFormat="1" applyFont="1" applyFill="1" applyBorder="1" applyAlignment="1">
      <alignment/>
    </xf>
    <xf numFmtId="216" fontId="10" fillId="0" borderId="0" xfId="68" applyNumberFormat="1" applyFont="1" applyBorder="1" applyAlignment="1">
      <alignment vertical="center"/>
    </xf>
    <xf numFmtId="216" fontId="10" fillId="0" borderId="0" xfId="68" applyNumberFormat="1" applyFont="1" applyBorder="1" applyAlignment="1">
      <alignment/>
    </xf>
    <xf numFmtId="216" fontId="10" fillId="0" borderId="0" xfId="54" applyNumberFormat="1" applyFont="1" applyBorder="1">
      <alignment/>
      <protection/>
    </xf>
    <xf numFmtId="0" fontId="10" fillId="0" borderId="0" xfId="54" applyFont="1" applyFill="1" applyBorder="1">
      <alignment/>
      <protection/>
    </xf>
    <xf numFmtId="216" fontId="10" fillId="0" borderId="0" xfId="68" applyNumberFormat="1" applyFont="1" applyFill="1" applyBorder="1" applyAlignment="1">
      <alignment horizontal="right" vertical="center" indent="1"/>
    </xf>
    <xf numFmtId="216" fontId="10" fillId="0" borderId="0" xfId="68" applyNumberFormat="1" applyFont="1" applyFill="1" applyBorder="1" applyAlignment="1">
      <alignment vertical="center"/>
    </xf>
    <xf numFmtId="216" fontId="13" fillId="0" borderId="0" xfId="68" applyNumberFormat="1" applyFont="1" applyFill="1" applyBorder="1" applyAlignment="1">
      <alignment vertical="center"/>
    </xf>
    <xf numFmtId="3" fontId="7" fillId="0" borderId="0" xfId="55" applyNumberFormat="1" applyFont="1" applyFill="1" applyBorder="1" applyAlignment="1">
      <alignment horizontal="center" vertical="center"/>
      <protection/>
    </xf>
    <xf numFmtId="4" fontId="7" fillId="0" borderId="0" xfId="55" applyNumberFormat="1" applyFont="1" applyFill="1" applyBorder="1" applyAlignment="1">
      <alignment horizontal="center" vertical="center"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0" fontId="13" fillId="0" borderId="0" xfId="54" applyFont="1" applyBorder="1" applyAlignment="1">
      <alignment vertical="center" wrapText="1"/>
      <protection/>
    </xf>
    <xf numFmtId="3" fontId="23" fillId="0" borderId="0" xfId="54" applyNumberFormat="1" applyFont="1" applyFill="1" applyBorder="1" applyAlignment="1">
      <alignment horizontal="right" vertical="center" indent="1"/>
      <protection/>
    </xf>
    <xf numFmtId="4" fontId="20" fillId="0" borderId="0" xfId="54" applyNumberFormat="1" applyFont="1" applyFill="1" applyBorder="1" applyAlignment="1">
      <alignment horizontal="center" vertical="center"/>
      <protection/>
    </xf>
    <xf numFmtId="182" fontId="20" fillId="0" borderId="0" xfId="54" applyNumberFormat="1" applyFont="1" applyBorder="1" applyAlignment="1">
      <alignment vertical="center"/>
      <protection/>
    </xf>
    <xf numFmtId="2" fontId="20" fillId="0" borderId="0" xfId="54" applyNumberFormat="1" applyFont="1" applyFill="1" applyBorder="1" applyAlignment="1">
      <alignment horizontal="center" vertical="center"/>
      <protection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2" fontId="7" fillId="0" borderId="0" xfId="0" applyNumberFormat="1" applyFont="1" applyBorder="1" applyAlignment="1">
      <alignment horizontal="center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 horizontal="center"/>
    </xf>
    <xf numFmtId="3" fontId="65" fillId="0" borderId="0" xfId="0" applyNumberFormat="1" applyFont="1" applyFill="1" applyBorder="1" applyAlignment="1" applyProtection="1">
      <alignment horizontal="right" vertical="center" indent="1"/>
      <protection/>
    </xf>
    <xf numFmtId="213" fontId="7" fillId="0" borderId="0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 horizontal="center"/>
    </xf>
    <xf numFmtId="216" fontId="13" fillId="0" borderId="0" xfId="66" applyNumberFormat="1" applyFont="1" applyFill="1" applyBorder="1" applyAlignment="1">
      <alignment horizontal="right"/>
    </xf>
    <xf numFmtId="3" fontId="65" fillId="0" borderId="0" xfId="0" applyNumberFormat="1" applyFont="1" applyFill="1" applyBorder="1" applyAlignment="1" applyProtection="1">
      <alignment horizontal="center"/>
      <protection/>
    </xf>
    <xf numFmtId="216" fontId="24" fillId="0" borderId="0" xfId="66" applyNumberFormat="1" applyFont="1" applyFill="1" applyBorder="1" applyAlignment="1">
      <alignment horizontal="right" wrapText="1"/>
    </xf>
    <xf numFmtId="0" fontId="8" fillId="36" borderId="10" xfId="0" applyFont="1" applyFill="1" applyBorder="1" applyAlignment="1">
      <alignment horizontal="left" vertical="center"/>
    </xf>
    <xf numFmtId="3" fontId="8" fillId="36" borderId="10" xfId="0" applyNumberFormat="1" applyFont="1" applyFill="1" applyBorder="1" applyAlignment="1">
      <alignment horizontal="center" vertical="center"/>
    </xf>
    <xf numFmtId="213" fontId="8" fillId="36" borderId="10" xfId="0" applyNumberFormat="1" applyFont="1" applyFill="1" applyBorder="1" applyAlignment="1">
      <alignment horizontal="center" vertical="center"/>
    </xf>
    <xf numFmtId="4" fontId="8" fillId="36" borderId="10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right" vertical="center" indent="1"/>
    </xf>
    <xf numFmtId="3" fontId="7" fillId="0" borderId="0" xfId="0" applyNumberFormat="1" applyFont="1" applyFill="1" applyBorder="1" applyAlignment="1">
      <alignment horizontal="right" vertical="center" indent="1"/>
    </xf>
    <xf numFmtId="213" fontId="7" fillId="0" borderId="0" xfId="0" applyNumberFormat="1" applyFont="1" applyFill="1" applyBorder="1" applyAlignment="1" applyProtection="1">
      <alignment horizontal="right" vertical="center" indent="1"/>
      <protection/>
    </xf>
    <xf numFmtId="4" fontId="7" fillId="0" borderId="0" xfId="0" applyNumberFormat="1" applyFont="1" applyFill="1" applyBorder="1" applyAlignment="1" applyProtection="1">
      <alignment horizontal="center"/>
      <protection/>
    </xf>
    <xf numFmtId="3" fontId="7" fillId="0" borderId="0" xfId="0" applyNumberFormat="1" applyFont="1" applyFill="1" applyBorder="1" applyAlignment="1" applyProtection="1">
      <alignment horizontal="right" vertical="center" indent="1"/>
      <protection/>
    </xf>
    <xf numFmtId="0" fontId="7" fillId="0" borderId="0" xfId="0" applyFont="1" applyFill="1" applyBorder="1" applyAlignment="1">
      <alignment/>
    </xf>
    <xf numFmtId="213" fontId="7" fillId="0" borderId="0" xfId="0" applyNumberFormat="1" applyFont="1" applyFill="1" applyBorder="1" applyAlignment="1">
      <alignment horizontal="right" vertical="center" indent="1"/>
    </xf>
    <xf numFmtId="0" fontId="7" fillId="0" borderId="0" xfId="0" applyFont="1" applyFill="1" applyBorder="1" applyAlignment="1">
      <alignment horizontal="right" vertical="center" indent="1"/>
    </xf>
    <xf numFmtId="3" fontId="7" fillId="0" borderId="0" xfId="0" applyNumberFormat="1" applyFont="1" applyFill="1" applyBorder="1" applyAlignment="1" applyProtection="1">
      <alignment horizontal="right"/>
      <protection/>
    </xf>
    <xf numFmtId="4" fontId="7" fillId="0" borderId="0" xfId="0" applyNumberFormat="1" applyFont="1" applyFill="1" applyBorder="1" applyAlignment="1" applyProtection="1">
      <alignment horizontal="right"/>
      <protection/>
    </xf>
    <xf numFmtId="2" fontId="7" fillId="0" borderId="0" xfId="0" applyNumberFormat="1" applyFont="1" applyFill="1" applyBorder="1" applyAlignment="1">
      <alignment/>
    </xf>
    <xf numFmtId="0" fontId="27" fillId="38" borderId="10" xfId="0" applyFont="1" applyFill="1" applyBorder="1" applyAlignment="1">
      <alignment horizontal="center" vertical="center" wrapText="1"/>
    </xf>
    <xf numFmtId="3" fontId="10" fillId="0" borderId="0" xfId="0" applyNumberFormat="1" applyFont="1" applyFill="1" applyBorder="1" applyAlignment="1">
      <alignment horizontal="center"/>
    </xf>
    <xf numFmtId="213" fontId="9" fillId="0" borderId="0" xfId="0" applyNumberFormat="1" applyFont="1" applyFill="1" applyBorder="1" applyAlignment="1" applyProtection="1">
      <alignment vertical="center"/>
      <protection/>
    </xf>
    <xf numFmtId="0" fontId="8" fillId="0" borderId="0" xfId="54" applyFont="1" applyFill="1" applyBorder="1" applyAlignment="1">
      <alignment horizontal="center" vertical="center" wrapText="1"/>
      <protection/>
    </xf>
    <xf numFmtId="0" fontId="13" fillId="0" borderId="0" xfId="54" applyFont="1" applyFill="1" applyBorder="1" applyAlignment="1">
      <alignment vertical="center"/>
      <protection/>
    </xf>
    <xf numFmtId="0" fontId="66" fillId="0" borderId="0" xfId="0" applyFont="1" applyFill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216" fontId="13" fillId="0" borderId="0" xfId="66" applyNumberFormat="1" applyFont="1" applyFill="1" applyBorder="1" applyAlignment="1">
      <alignment/>
    </xf>
    <xf numFmtId="0" fontId="12" fillId="0" borderId="0" xfId="54" applyFill="1" applyBorder="1" applyAlignment="1">
      <alignment horizontal="center" wrapText="1"/>
      <protection/>
    </xf>
    <xf numFmtId="216" fontId="10" fillId="35" borderId="10" xfId="68" applyNumberFormat="1" applyFont="1" applyFill="1" applyBorder="1" applyAlignment="1" applyProtection="1">
      <alignment horizontal="center" vertical="center" wrapText="1"/>
      <protection/>
    </xf>
    <xf numFmtId="213" fontId="63" fillId="0" borderId="0" xfId="0" applyNumberFormat="1" applyFont="1" applyFill="1" applyBorder="1" applyAlignment="1" applyProtection="1">
      <alignment vertical="center"/>
      <protection/>
    </xf>
    <xf numFmtId="213" fontId="9" fillId="0" borderId="12" xfId="0" applyNumberFormat="1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4" fillId="0" borderId="0" xfId="54" applyFont="1" applyFill="1" applyBorder="1" applyAlignment="1">
      <alignment vertical="center"/>
      <protection/>
    </xf>
    <xf numFmtId="216" fontId="10" fillId="0" borderId="0" xfId="54" applyNumberFormat="1" applyFont="1" applyFill="1" applyBorder="1">
      <alignment/>
      <protection/>
    </xf>
    <xf numFmtId="211" fontId="7" fillId="0" borderId="10" xfId="66" applyNumberFormat="1" applyFont="1" applyFill="1" applyBorder="1" applyAlignment="1" applyProtection="1">
      <alignment horizontal="center"/>
      <protection/>
    </xf>
    <xf numFmtId="0" fontId="12" fillId="0" borderId="12" xfId="54" applyFill="1" applyBorder="1" applyAlignment="1">
      <alignment vertical="center"/>
      <protection/>
    </xf>
    <xf numFmtId="4" fontId="7" fillId="0" borderId="0" xfId="54" applyNumberFormat="1" applyFont="1" applyFill="1" applyBorder="1">
      <alignment/>
      <protection/>
    </xf>
    <xf numFmtId="0" fontId="13" fillId="35" borderId="10" xfId="54" applyFont="1" applyFill="1" applyBorder="1" applyAlignment="1">
      <alignment horizontal="center" vertical="center" wrapText="1"/>
      <protection/>
    </xf>
    <xf numFmtId="0" fontId="12" fillId="0" borderId="0" xfId="54" applyFont="1" applyFill="1" applyBorder="1" applyAlignment="1">
      <alignment horizontal="center" wrapText="1"/>
      <protection/>
    </xf>
    <xf numFmtId="0" fontId="13" fillId="0" borderId="0" xfId="54" applyFont="1" applyFill="1" applyAlignment="1">
      <alignment vertical="center" wrapText="1"/>
      <protection/>
    </xf>
    <xf numFmtId="0" fontId="7" fillId="0" borderId="0" xfId="54" applyFont="1" applyFill="1" applyBorder="1" applyAlignment="1">
      <alignment horizontal="center"/>
      <protection/>
    </xf>
    <xf numFmtId="0" fontId="13" fillId="0" borderId="0" xfId="54" applyFont="1" applyFill="1" applyAlignment="1">
      <alignment vertical="center"/>
      <protection/>
    </xf>
    <xf numFmtId="0" fontId="7" fillId="0" borderId="12" xfId="54" applyFont="1" applyFill="1" applyBorder="1" applyAlignment="1">
      <alignment horizontal="center" vertical="center" wrapText="1"/>
      <protection/>
    </xf>
    <xf numFmtId="0" fontId="7" fillId="0" borderId="12" xfId="54" applyFont="1" applyFill="1" applyBorder="1" applyAlignment="1">
      <alignment vertical="center"/>
      <protection/>
    </xf>
    <xf numFmtId="0" fontId="7" fillId="0" borderId="10" xfId="0" applyFont="1" applyBorder="1" applyAlignment="1" applyProtection="1">
      <alignment/>
      <protection/>
    </xf>
    <xf numFmtId="0" fontId="7" fillId="0" borderId="10" xfId="0" applyFont="1" applyFill="1" applyBorder="1" applyAlignment="1" applyProtection="1">
      <alignment/>
      <protection/>
    </xf>
    <xf numFmtId="3" fontId="7" fillId="0" borderId="10" xfId="56" applyNumberFormat="1" applyFont="1" applyFill="1" applyBorder="1" applyAlignment="1" applyProtection="1">
      <alignment horizontal="center" vertical="center" wrapText="1"/>
      <protection/>
    </xf>
    <xf numFmtId="2" fontId="7" fillId="0" borderId="10" xfId="0" applyNumberFormat="1" applyFont="1" applyBorder="1" applyAlignment="1" applyProtection="1">
      <alignment horizontal="center"/>
      <protection/>
    </xf>
    <xf numFmtId="4" fontId="7" fillId="0" borderId="10" xfId="0" applyNumberFormat="1" applyFont="1" applyFill="1" applyBorder="1" applyAlignment="1" applyProtection="1">
      <alignment horizontal="center"/>
      <protection/>
    </xf>
    <xf numFmtId="3" fontId="7" fillId="0" borderId="10" xfId="0" applyNumberFormat="1" applyFont="1" applyFill="1" applyBorder="1" applyAlignment="1" applyProtection="1">
      <alignment/>
      <protection/>
    </xf>
    <xf numFmtId="3" fontId="7" fillId="0" borderId="10" xfId="0" applyNumberFormat="1" applyFont="1" applyBorder="1" applyAlignment="1" applyProtection="1">
      <alignment horizontal="center"/>
      <protection/>
    </xf>
    <xf numFmtId="3" fontId="7" fillId="0" borderId="10" xfId="0" applyNumberFormat="1" applyFont="1" applyFill="1" applyBorder="1" applyAlignment="1" applyProtection="1">
      <alignment horizontal="center"/>
      <protection/>
    </xf>
    <xf numFmtId="224" fontId="8" fillId="36" borderId="11" xfId="0" applyNumberFormat="1" applyFont="1" applyFill="1" applyBorder="1" applyAlignment="1" applyProtection="1">
      <alignment horizontal="center" vertical="center"/>
      <protection/>
    </xf>
    <xf numFmtId="3" fontId="8" fillId="36" borderId="11" xfId="0" applyNumberFormat="1" applyFont="1" applyFill="1" applyBorder="1" applyAlignment="1" applyProtection="1">
      <alignment horizontal="center" vertical="center"/>
      <protection/>
    </xf>
    <xf numFmtId="0" fontId="8" fillId="30" borderId="11" xfId="0" applyFont="1" applyFill="1" applyBorder="1" applyAlignment="1" applyProtection="1">
      <alignment horizontal="center" vertical="center"/>
      <protection/>
    </xf>
    <xf numFmtId="216" fontId="7" fillId="0" borderId="0" xfId="54" applyNumberFormat="1" applyFont="1" applyFill="1" applyBorder="1">
      <alignment/>
      <protection/>
    </xf>
    <xf numFmtId="0" fontId="7" fillId="33" borderId="0" xfId="0" applyFont="1" applyFill="1" applyBorder="1" applyAlignment="1" applyProtection="1">
      <alignment/>
      <protection/>
    </xf>
    <xf numFmtId="0" fontId="7" fillId="33" borderId="0" xfId="0" applyFont="1" applyFill="1" applyBorder="1" applyAlignment="1" applyProtection="1">
      <alignment horizontal="right"/>
      <protection/>
    </xf>
    <xf numFmtId="220" fontId="8" fillId="0" borderId="0" xfId="0" applyNumberFormat="1" applyFont="1" applyFill="1" applyBorder="1" applyAlignment="1" applyProtection="1">
      <alignment horizontal="center" vertical="center"/>
      <protection/>
    </xf>
    <xf numFmtId="182" fontId="7" fillId="39" borderId="10" xfId="0" applyNumberFormat="1" applyFont="1" applyFill="1" applyBorder="1" applyAlignment="1" applyProtection="1">
      <alignment/>
      <protection/>
    </xf>
    <xf numFmtId="3" fontId="8" fillId="0" borderId="0" xfId="0" applyNumberFormat="1" applyFont="1" applyFill="1" applyBorder="1" applyAlignment="1" applyProtection="1">
      <alignment horizontal="center" vertical="top"/>
      <protection/>
    </xf>
    <xf numFmtId="213" fontId="67" fillId="0" borderId="0" xfId="0" applyNumberFormat="1" applyFont="1" applyFill="1" applyBorder="1" applyAlignment="1" applyProtection="1">
      <alignment vertical="center"/>
      <protection/>
    </xf>
    <xf numFmtId="213" fontId="8" fillId="0" borderId="0" xfId="0" applyNumberFormat="1" applyFont="1" applyFill="1" applyBorder="1" applyAlignment="1" applyProtection="1">
      <alignment vertical="center"/>
      <protection/>
    </xf>
    <xf numFmtId="4" fontId="7" fillId="0" borderId="0" xfId="0" applyNumberFormat="1" applyFont="1" applyFill="1" applyBorder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3" fontId="29" fillId="0" borderId="0" xfId="0" applyNumberFormat="1" applyFont="1" applyAlignment="1" applyProtection="1">
      <alignment/>
      <protection/>
    </xf>
    <xf numFmtId="3" fontId="29" fillId="0" borderId="0" xfId="56" applyNumberFormat="1" applyFont="1" applyFill="1" applyBorder="1" applyAlignment="1" applyProtection="1">
      <alignment horizontal="center" vertical="center" wrapText="1"/>
      <protection/>
    </xf>
    <xf numFmtId="2" fontId="29" fillId="0" borderId="0" xfId="0" applyNumberFormat="1" applyFont="1" applyAlignment="1" applyProtection="1">
      <alignment horizontal="center"/>
      <protection/>
    </xf>
    <xf numFmtId="4" fontId="29" fillId="0" borderId="0" xfId="0" applyNumberFormat="1" applyFont="1" applyFill="1" applyAlignment="1" applyProtection="1">
      <alignment horizontal="center"/>
      <protection/>
    </xf>
    <xf numFmtId="3" fontId="29" fillId="0" borderId="0" xfId="0" applyNumberFormat="1" applyFont="1" applyFill="1" applyBorder="1" applyAlignment="1" applyProtection="1">
      <alignment/>
      <protection/>
    </xf>
    <xf numFmtId="0" fontId="15" fillId="33" borderId="13" xfId="0" applyFont="1" applyFill="1" applyBorder="1" applyAlignment="1" applyProtection="1">
      <alignment horizontal="center" vertical="top" wrapText="1"/>
      <protection/>
    </xf>
    <xf numFmtId="0" fontId="15" fillId="33" borderId="0" xfId="0" applyFont="1" applyFill="1" applyBorder="1" applyAlignment="1" applyProtection="1">
      <alignment horizontal="center" vertical="top" wrapText="1"/>
      <protection/>
    </xf>
    <xf numFmtId="213" fontId="7" fillId="32" borderId="14" xfId="0" applyNumberFormat="1" applyFont="1" applyFill="1" applyBorder="1" applyAlignment="1" applyProtection="1">
      <alignment horizontal="center" vertical="center" wrapText="1"/>
      <protection/>
    </xf>
    <xf numFmtId="213" fontId="7" fillId="32" borderId="15" xfId="0" applyNumberFormat="1" applyFont="1" applyFill="1" applyBorder="1" applyAlignment="1" applyProtection="1">
      <alignment horizontal="center" vertical="center" wrapText="1"/>
      <protection/>
    </xf>
    <xf numFmtId="0" fontId="7" fillId="32" borderId="14" xfId="0" applyFont="1" applyFill="1" applyBorder="1" applyAlignment="1" applyProtection="1">
      <alignment horizontal="center" vertical="center" wrapText="1"/>
      <protection/>
    </xf>
    <xf numFmtId="0" fontId="7" fillId="32" borderId="15" xfId="0" applyFont="1" applyFill="1" applyBorder="1" applyAlignment="1" applyProtection="1">
      <alignment horizontal="center" vertical="center" wrapText="1"/>
      <protection/>
    </xf>
    <xf numFmtId="0" fontId="8" fillId="33" borderId="0" xfId="0" applyFont="1" applyFill="1" applyBorder="1" applyAlignment="1" applyProtection="1">
      <alignment horizontal="center" vertical="top"/>
      <protection/>
    </xf>
    <xf numFmtId="0" fontId="7" fillId="32" borderId="16" xfId="0" applyFont="1" applyFill="1" applyBorder="1" applyAlignment="1" applyProtection="1">
      <alignment horizontal="center" vertical="center" wrapText="1"/>
      <protection/>
    </xf>
    <xf numFmtId="0" fontId="7" fillId="32" borderId="11" xfId="0" applyFont="1" applyFill="1" applyBorder="1" applyAlignment="1" applyProtection="1">
      <alignment horizontal="center" vertical="center" wrapText="1"/>
      <protection/>
    </xf>
    <xf numFmtId="0" fontId="10" fillId="35" borderId="14" xfId="54" applyNumberFormat="1" applyFont="1" applyFill="1" applyBorder="1" applyAlignment="1" applyProtection="1">
      <alignment horizontal="center" vertical="center" wrapText="1"/>
      <protection/>
    </xf>
    <xf numFmtId="0" fontId="10" fillId="35" borderId="15" xfId="54" applyNumberFormat="1" applyFont="1" applyFill="1" applyBorder="1" applyAlignment="1" applyProtection="1">
      <alignment horizontal="center" vertical="center" wrapText="1"/>
      <protection/>
    </xf>
    <xf numFmtId="216" fontId="10" fillId="35" borderId="14" xfId="68" applyNumberFormat="1" applyFont="1" applyFill="1" applyBorder="1" applyAlignment="1" applyProtection="1">
      <alignment horizontal="center" vertical="center" wrapText="1"/>
      <protection/>
    </xf>
    <xf numFmtId="216" fontId="10" fillId="35" borderId="15" xfId="68" applyNumberFormat="1" applyFont="1" applyFill="1" applyBorder="1" applyAlignment="1" applyProtection="1">
      <alignment horizontal="center" vertical="center" wrapText="1"/>
      <protection/>
    </xf>
    <xf numFmtId="0" fontId="10" fillId="35" borderId="14" xfId="0" applyNumberFormat="1" applyFont="1" applyFill="1" applyBorder="1" applyAlignment="1" applyProtection="1">
      <alignment horizontal="center" vertical="center" wrapText="1"/>
      <protection/>
    </xf>
    <xf numFmtId="0" fontId="10" fillId="35" borderId="15" xfId="0" applyNumberFormat="1" applyFont="1" applyFill="1" applyBorder="1" applyAlignment="1" applyProtection="1">
      <alignment horizontal="center" vertical="center" wrapText="1"/>
      <protection/>
    </xf>
    <xf numFmtId="0" fontId="7" fillId="33" borderId="0" xfId="54" applyNumberFormat="1" applyFont="1" applyFill="1" applyBorder="1" applyAlignment="1" applyProtection="1">
      <alignment horizontal="right" vertical="top" wrapText="1"/>
      <protection/>
    </xf>
    <xf numFmtId="0" fontId="8" fillId="33" borderId="0" xfId="54" applyFont="1" applyFill="1" applyBorder="1" applyAlignment="1">
      <alignment horizontal="center" vertical="center" wrapText="1"/>
      <protection/>
    </xf>
    <xf numFmtId="0" fontId="7" fillId="34" borderId="16" xfId="54" applyNumberFormat="1" applyFont="1" applyFill="1" applyBorder="1" applyAlignment="1" applyProtection="1">
      <alignment horizontal="center" vertical="center" wrapText="1"/>
      <protection/>
    </xf>
    <xf numFmtId="0" fontId="7" fillId="34" borderId="17" xfId="54" applyNumberFormat="1" applyFont="1" applyFill="1" applyBorder="1" applyAlignment="1" applyProtection="1">
      <alignment horizontal="center" vertical="center" wrapText="1"/>
      <protection/>
    </xf>
    <xf numFmtId="0" fontId="7" fillId="34" borderId="11" xfId="54" applyNumberFormat="1" applyFont="1" applyFill="1" applyBorder="1" applyAlignment="1" applyProtection="1">
      <alignment horizontal="center" vertical="center" wrapText="1"/>
      <protection/>
    </xf>
    <xf numFmtId="216" fontId="10" fillId="35" borderId="16" xfId="68" applyNumberFormat="1" applyFont="1" applyFill="1" applyBorder="1" applyAlignment="1" applyProtection="1">
      <alignment horizontal="center" vertical="center" wrapText="1"/>
      <protection/>
    </xf>
    <xf numFmtId="216" fontId="10" fillId="35" borderId="11" xfId="68" applyNumberFormat="1" applyFont="1" applyFill="1" applyBorder="1" applyAlignment="1" applyProtection="1">
      <alignment horizontal="center" vertical="center" wrapText="1"/>
      <protection/>
    </xf>
    <xf numFmtId="0" fontId="18" fillId="35" borderId="14" xfId="54" applyFont="1" applyFill="1" applyBorder="1" applyAlignment="1">
      <alignment horizontal="center" vertical="center" wrapText="1"/>
      <protection/>
    </xf>
    <xf numFmtId="0" fontId="18" fillId="35" borderId="15" xfId="54" applyFont="1" applyFill="1" applyBorder="1" applyAlignment="1">
      <alignment horizontal="center" vertical="center" wrapText="1"/>
      <protection/>
    </xf>
    <xf numFmtId="0" fontId="13" fillId="35" borderId="14" xfId="54" applyFont="1" applyFill="1" applyBorder="1" applyAlignment="1">
      <alignment horizontal="center" vertical="center" wrapText="1"/>
      <protection/>
    </xf>
    <xf numFmtId="0" fontId="13" fillId="35" borderId="15" xfId="54" applyFont="1" applyFill="1" applyBorder="1" applyAlignment="1">
      <alignment horizontal="center" vertical="center" wrapText="1"/>
      <protection/>
    </xf>
    <xf numFmtId="0" fontId="21" fillId="33" borderId="0" xfId="54" applyFont="1" applyFill="1" applyBorder="1" applyAlignment="1">
      <alignment horizontal="center" vertical="center"/>
      <protection/>
    </xf>
    <xf numFmtId="0" fontId="20" fillId="33" borderId="0" xfId="54" applyFont="1" applyFill="1" applyAlignment="1">
      <alignment horizontal="center" vertical="center"/>
      <protection/>
    </xf>
    <xf numFmtId="0" fontId="13" fillId="35" borderId="10" xfId="54" applyFont="1" applyFill="1" applyBorder="1" applyAlignment="1">
      <alignment horizontal="center" vertical="center" wrapText="1"/>
      <protection/>
    </xf>
    <xf numFmtId="0" fontId="8" fillId="33" borderId="0" xfId="54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2" fontId="8" fillId="0" borderId="10" xfId="0" applyNumberFormat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left" vertical="center" wrapText="1"/>
    </xf>
    <xf numFmtId="0" fontId="15" fillId="0" borderId="12" xfId="0" applyFont="1" applyFill="1" applyBorder="1" applyAlignment="1">
      <alignment horizontal="center" vertical="top"/>
    </xf>
    <xf numFmtId="0" fontId="10" fillId="38" borderId="10" xfId="0" applyFont="1" applyFill="1" applyBorder="1" applyAlignment="1">
      <alignment horizontal="center" vertical="center" wrapText="1"/>
    </xf>
    <xf numFmtId="0" fontId="25" fillId="38" borderId="10" xfId="0" applyFont="1" applyFill="1" applyBorder="1" applyAlignment="1">
      <alignment horizontal="center" vertical="center" wrapText="1"/>
    </xf>
    <xf numFmtId="0" fontId="7" fillId="38" borderId="10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horizontal="center" vertical="center" wrapText="1"/>
    </xf>
    <xf numFmtId="0" fontId="27" fillId="38" borderId="10" xfId="0" applyFont="1" applyFill="1" applyBorder="1" applyAlignment="1">
      <alignment horizontal="center" vertical="center" wrapText="1"/>
    </xf>
    <xf numFmtId="0" fontId="13" fillId="38" borderId="10" xfId="0" applyFont="1" applyFill="1" applyBorder="1" applyAlignment="1">
      <alignment horizontal="center" vertical="center" wrapText="1"/>
    </xf>
    <xf numFmtId="184" fontId="26" fillId="38" borderId="10" xfId="0" applyNumberFormat="1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wrapText="1"/>
    </xf>
    <xf numFmtId="0" fontId="7" fillId="33" borderId="0" xfId="0" applyFont="1" applyFill="1" applyAlignment="1">
      <alignment horizontal="center" wrapText="1"/>
    </xf>
    <xf numFmtId="0" fontId="15" fillId="33" borderId="0" xfId="0" applyFont="1" applyFill="1" applyAlignment="1">
      <alignment horizontal="center" wrapText="1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Regional Data for IGR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Лист1" xfId="55"/>
    <cellStyle name="Обычный_Расх_все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Тысячи [0]_Экономическая_классиф" xfId="64"/>
    <cellStyle name="Тысячи_Экономическая_классиф" xfId="65"/>
    <cellStyle name="Comma" xfId="66"/>
    <cellStyle name="Comma [0]" xfId="67"/>
    <cellStyle name="Финансовый 2" xfId="68"/>
    <cellStyle name="Хороший" xfId="69"/>
  </cellStyles>
  <dxfs count="6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BF8FF"/>
      <rgbColor rgb="00FFFFFF"/>
      <rgbColor rgb="00FF0000"/>
      <rgbColor rgb="0000FF00"/>
      <rgbColor rgb="000000FF"/>
      <rgbColor rgb="00FAFFE1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BEBED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EF8FE"/>
      <rgbColor rgb="00EBFFEB"/>
      <rgbColor rgb="00FFFF99"/>
      <rgbColor rgb="00F1F7FD"/>
      <rgbColor rgb="00CC9CCC"/>
      <rgbColor rgb="00CC99FF"/>
      <rgbColor rgb="00E3E3E3"/>
      <rgbColor rgb="003366FF"/>
      <rgbColor rgb="00E3F6F9"/>
      <rgbColor rgb="00339933"/>
      <rgbColor rgb="00999933"/>
      <rgbColor rgb="00996633"/>
      <rgbColor rgb="00FEC2C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V54"/>
  <sheetViews>
    <sheetView showZeros="0" tabSelected="1" zoomScale="75" zoomScaleNormal="75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2" sqref="A2:L2"/>
    </sheetView>
  </sheetViews>
  <sheetFormatPr defaultColWidth="8.875" defaultRowHeight="12.75"/>
  <cols>
    <col min="1" max="1" width="21.375" style="1" customWidth="1"/>
    <col min="2" max="2" width="12.75390625" style="1" customWidth="1"/>
    <col min="3" max="3" width="14.875" style="1" customWidth="1"/>
    <col min="4" max="4" width="10.75390625" style="1" customWidth="1"/>
    <col min="5" max="5" width="16.25390625" style="1" customWidth="1"/>
    <col min="6" max="6" width="20.25390625" style="1" customWidth="1"/>
    <col min="7" max="8" width="17.875" style="1" customWidth="1"/>
    <col min="9" max="9" width="17.75390625" style="1" customWidth="1"/>
    <col min="10" max="10" width="19.125" style="1" customWidth="1"/>
    <col min="11" max="11" width="16.75390625" style="1" customWidth="1"/>
    <col min="12" max="12" width="15.125" style="1" customWidth="1"/>
    <col min="13" max="13" width="15.375" style="1" hidden="1" customWidth="1"/>
    <col min="14" max="14" width="30.25390625" style="1" customWidth="1"/>
    <col min="15" max="15" width="14.875" style="1" customWidth="1"/>
    <col min="16" max="16" width="15.75390625" style="1" customWidth="1"/>
    <col min="17" max="16384" width="8.875" style="1" customWidth="1"/>
  </cols>
  <sheetData>
    <row r="1" spans="1:14" ht="15.75">
      <c r="A1" s="26"/>
      <c r="B1" s="26"/>
      <c r="C1" s="26"/>
      <c r="D1" s="26"/>
      <c r="E1" s="26"/>
      <c r="F1" s="26"/>
      <c r="G1" s="26"/>
      <c r="H1" s="26"/>
      <c r="I1" s="26"/>
      <c r="J1" s="26"/>
      <c r="K1" s="27"/>
      <c r="L1" s="27" t="s">
        <v>46</v>
      </c>
      <c r="M1" s="180">
        <v>0.9105</v>
      </c>
      <c r="N1" s="13"/>
    </row>
    <row r="2" spans="1:13" ht="18.75">
      <c r="A2" s="198" t="s">
        <v>56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81">
        <v>1858356</v>
      </c>
    </row>
    <row r="3" spans="1:16" ht="18.75">
      <c r="A3" s="199" t="s">
        <v>154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96">
        <v>0</v>
      </c>
      <c r="P3" s="17"/>
    </row>
    <row r="4" spans="1:17" ht="15.75">
      <c r="A4" s="157">
        <f>IF(M2=F47,"","Необходим пересчёт сумм! Нажмите на кнопку Расчёт!")</f>
      </c>
      <c r="B4" s="148"/>
      <c r="C4" s="148"/>
      <c r="D4" s="148"/>
      <c r="E4" s="148"/>
      <c r="F4" s="158"/>
      <c r="G4" s="148"/>
      <c r="H4" s="148"/>
      <c r="I4" s="159"/>
      <c r="J4" s="95">
        <v>0</v>
      </c>
      <c r="K4" s="95"/>
      <c r="L4" s="95"/>
      <c r="M4" s="182">
        <v>27.4708</v>
      </c>
      <c r="O4" s="95"/>
      <c r="P4" s="28"/>
      <c r="Q4" s="29"/>
    </row>
    <row r="5" spans="1:16" ht="138.75" customHeight="1">
      <c r="A5" s="3" t="s">
        <v>44</v>
      </c>
      <c r="B5" s="3" t="s">
        <v>48</v>
      </c>
      <c r="C5" s="3" t="s">
        <v>151</v>
      </c>
      <c r="D5" s="3" t="s">
        <v>49</v>
      </c>
      <c r="E5" s="3" t="str">
        <f>"Расчётная бюджетная обеспеченность (РБО),
[2]/[3]/"&amp;ROUND(E47,3)&amp;"/[4]"</f>
        <v>Расчётная бюджетная обеспеченность (РБО),
[2]/[3]/7,821/[4]</v>
      </c>
      <c r="F5" s="2" t="str">
        <f>"Расчётная сумма дотации на выравнивание БО МР(ГО),
тыс. рублей 
("&amp;M1&amp;"-[5])х"&amp;ROUND(E47,3)&amp;"х[3]х0,8"</f>
        <v>Расчётная сумма дотации на выравнивание БО МР(ГО),
тыс. рублей 
(0,9105-[5])х7,821х[3]х0,8</v>
      </c>
      <c r="G5" s="2" t="s">
        <v>152</v>
      </c>
      <c r="H5" s="2" t="s">
        <v>57</v>
      </c>
      <c r="I5" s="3" t="s">
        <v>58</v>
      </c>
      <c r="J5" s="2" t="str">
        <f>"Расчётная сумма дотации на выравнивание БО поселений, тыс.рублей
"&amp;M4&amp;"*
([3]-[9])/1000"</f>
        <v>Расчётная сумма дотации на выравнивание БО поселений, тыс.рублей
27,4708*
([3]-[9])/1000</v>
      </c>
      <c r="K5" s="2" t="s">
        <v>153</v>
      </c>
      <c r="L5" s="2" t="s">
        <v>142</v>
      </c>
      <c r="M5" s="22"/>
      <c r="P5" s="25"/>
    </row>
    <row r="6" spans="1:14" ht="15.75">
      <c r="A6" s="4" t="s">
        <v>38</v>
      </c>
      <c r="B6" s="4" t="s">
        <v>39</v>
      </c>
      <c r="C6" s="4" t="s">
        <v>40</v>
      </c>
      <c r="D6" s="4" t="s">
        <v>41</v>
      </c>
      <c r="E6" s="4" t="s">
        <v>42</v>
      </c>
      <c r="F6" s="4" t="s">
        <v>47</v>
      </c>
      <c r="G6" s="4" t="s">
        <v>43</v>
      </c>
      <c r="H6" s="4" t="s">
        <v>45</v>
      </c>
      <c r="I6" s="4" t="s">
        <v>52</v>
      </c>
      <c r="J6" s="4" t="s">
        <v>53</v>
      </c>
      <c r="K6" s="4" t="s">
        <v>54</v>
      </c>
      <c r="L6" s="4" t="s">
        <v>55</v>
      </c>
      <c r="M6" s="22"/>
      <c r="N6" s="22"/>
    </row>
    <row r="7" spans="1:14" ht="15.75">
      <c r="A7" s="1" t="s">
        <v>143</v>
      </c>
      <c r="N7" s="17"/>
    </row>
    <row r="8" spans="1:22" ht="15.75">
      <c r="A8" s="172" t="s">
        <v>0</v>
      </c>
      <c r="B8" s="174">
        <f>'Налог.потенц.'!B8</f>
        <v>12258047.320730472</v>
      </c>
      <c r="C8" s="174">
        <v>1163440</v>
      </c>
      <c r="D8" s="175">
        <f>'Свод индексов'!H8</f>
        <v>0.8751495327096803</v>
      </c>
      <c r="E8" s="176">
        <f>B8/C8/D8/$E$47</f>
        <v>1.5392690071147375</v>
      </c>
      <c r="F8" s="177">
        <f aca="true" t="shared" si="0" ref="F8:F45">ROUND(IF($M$1&gt;E8,($M$1-E8)*(B$47/C$47)*C8*0.8,0)+M$3,0)</f>
        <v>0</v>
      </c>
      <c r="G8" s="177">
        <v>0</v>
      </c>
      <c r="H8" s="8">
        <f>IF(F8&lt;G8,G8,F8)</f>
        <v>0</v>
      </c>
      <c r="I8" s="178"/>
      <c r="J8" s="177">
        <f>ROUND(M$4*(C8-I8)/1000,0)</f>
        <v>31961</v>
      </c>
      <c r="K8" s="177"/>
      <c r="L8" s="8">
        <f>IF(ROUND(J8,0)&lt;K8,K8,ROUND(J8,0))</f>
        <v>31961</v>
      </c>
      <c r="M8" s="7"/>
      <c r="N8" s="30"/>
      <c r="P8" s="7"/>
      <c r="Q8" s="7"/>
      <c r="R8" s="7"/>
      <c r="S8" s="7"/>
      <c r="T8" s="7"/>
      <c r="U8" s="7"/>
      <c r="V8" s="7"/>
    </row>
    <row r="9" spans="1:19" ht="15.75">
      <c r="A9" s="172" t="s">
        <v>1</v>
      </c>
      <c r="B9" s="174">
        <f>'Налог.потенц.'!B9</f>
        <v>4875767.435617257</v>
      </c>
      <c r="C9" s="174">
        <v>707408</v>
      </c>
      <c r="D9" s="175">
        <f>'Свод индексов'!H9</f>
        <v>0.96607444749542</v>
      </c>
      <c r="E9" s="176">
        <f aca="true" t="shared" si="1" ref="E9:E17">B9/C9/D9/$E$47</f>
        <v>0.9121828612131271</v>
      </c>
      <c r="F9" s="177">
        <f t="shared" si="0"/>
        <v>0</v>
      </c>
      <c r="G9" s="177">
        <v>0</v>
      </c>
      <c r="H9" s="8">
        <f aca="true" t="shared" si="2" ref="H9:H45">IF(F9&lt;G9,G9,F9)</f>
        <v>0</v>
      </c>
      <c r="I9" s="178"/>
      <c r="J9" s="177">
        <f>ROUND(M$4*(C9-I9)/1000,0)</f>
        <v>19433</v>
      </c>
      <c r="K9" s="177">
        <v>15616</v>
      </c>
      <c r="L9" s="8">
        <f>IF(ROUND(J9,0)&lt;K9,K9,ROUND(J9,0))</f>
        <v>19433</v>
      </c>
      <c r="M9" s="7"/>
      <c r="N9" s="30"/>
      <c r="P9" s="7"/>
      <c r="Q9" s="7"/>
      <c r="R9" s="7"/>
      <c r="S9" s="7"/>
    </row>
    <row r="10" spans="1:19" ht="15.75">
      <c r="A10" s="172" t="s">
        <v>2</v>
      </c>
      <c r="B10" s="174">
        <f>'Налог.потенц.'!B10</f>
        <v>1058273.4578121707</v>
      </c>
      <c r="C10" s="174">
        <v>172070</v>
      </c>
      <c r="D10" s="175">
        <f>'Свод индексов'!H10</f>
        <v>1.0519095897642345</v>
      </c>
      <c r="E10" s="176">
        <f t="shared" si="1"/>
        <v>0.7475389369030899</v>
      </c>
      <c r="F10" s="177">
        <f t="shared" si="0"/>
        <v>175452</v>
      </c>
      <c r="G10" s="177">
        <v>46575</v>
      </c>
      <c r="H10" s="8">
        <f t="shared" si="2"/>
        <v>175452</v>
      </c>
      <c r="I10" s="178"/>
      <c r="J10" s="177">
        <f aca="true" t="shared" si="3" ref="J10:J17">ROUND(M$4*(C10-I10)/1000,0)</f>
        <v>4727</v>
      </c>
      <c r="K10" s="177">
        <v>3825</v>
      </c>
      <c r="L10" s="8">
        <f aca="true" t="shared" si="4" ref="L10:L17">IF(ROUND(J10,0)&lt;K10,K10,ROUND(J10,0))</f>
        <v>4727</v>
      </c>
      <c r="M10" s="16"/>
      <c r="N10" s="18"/>
      <c r="O10" s="7"/>
      <c r="P10" s="7"/>
      <c r="Q10" s="7"/>
      <c r="R10" s="7"/>
      <c r="S10" s="7"/>
    </row>
    <row r="11" spans="1:19" ht="15.75">
      <c r="A11" s="172" t="s">
        <v>11</v>
      </c>
      <c r="B11" s="174">
        <f>'Налог.потенц.'!B11</f>
        <v>882819.8422647887</v>
      </c>
      <c r="C11" s="174">
        <v>104279</v>
      </c>
      <c r="D11" s="175">
        <f>'Свод индексов'!H11</f>
        <v>1.0567006174280216</v>
      </c>
      <c r="E11" s="176">
        <f t="shared" si="1"/>
        <v>1.024336751242888</v>
      </c>
      <c r="F11" s="177">
        <f t="shared" si="0"/>
        <v>0</v>
      </c>
      <c r="G11" s="177">
        <v>0</v>
      </c>
      <c r="H11" s="8">
        <f t="shared" si="2"/>
        <v>0</v>
      </c>
      <c r="I11" s="178"/>
      <c r="J11" s="177">
        <f t="shared" si="3"/>
        <v>2865</v>
      </c>
      <c r="K11" s="177">
        <v>2311</v>
      </c>
      <c r="L11" s="8">
        <f t="shared" si="4"/>
        <v>2865</v>
      </c>
      <c r="M11" s="16"/>
      <c r="N11" s="18"/>
      <c r="O11" s="7"/>
      <c r="P11" s="7"/>
      <c r="Q11" s="7"/>
      <c r="R11" s="7"/>
      <c r="S11" s="7"/>
    </row>
    <row r="12" spans="1:19" ht="15.75">
      <c r="A12" s="172" t="s">
        <v>3</v>
      </c>
      <c r="B12" s="174">
        <f>'Налог.потенц.'!B12</f>
        <v>344294.98605508555</v>
      </c>
      <c r="C12" s="174">
        <v>72778</v>
      </c>
      <c r="D12" s="175">
        <f>'Свод индексов'!H12</f>
        <v>1.0755519073827426</v>
      </c>
      <c r="E12" s="176">
        <f t="shared" si="1"/>
        <v>0.5623655321157389</v>
      </c>
      <c r="F12" s="177">
        <f t="shared" si="0"/>
        <v>158532</v>
      </c>
      <c r="G12" s="177">
        <v>86550</v>
      </c>
      <c r="H12" s="8">
        <f t="shared" si="2"/>
        <v>158532</v>
      </c>
      <c r="I12" s="178"/>
      <c r="J12" s="177">
        <f t="shared" si="3"/>
        <v>1999</v>
      </c>
      <c r="K12" s="177">
        <v>1603</v>
      </c>
      <c r="L12" s="8">
        <f t="shared" si="4"/>
        <v>1999</v>
      </c>
      <c r="M12" s="16"/>
      <c r="N12" s="18"/>
      <c r="O12" s="7"/>
      <c r="P12" s="7"/>
      <c r="Q12" s="7"/>
      <c r="R12" s="7"/>
      <c r="S12" s="7"/>
    </row>
    <row r="13" spans="1:19" ht="15.75">
      <c r="A13" s="172" t="s">
        <v>4</v>
      </c>
      <c r="B13" s="174">
        <f>'Налог.потенц.'!B13</f>
        <v>347489.9985529628</v>
      </c>
      <c r="C13" s="174">
        <v>47180</v>
      </c>
      <c r="D13" s="175">
        <f>'Свод индексов'!H13</f>
        <v>1.0790170512612307</v>
      </c>
      <c r="E13" s="176">
        <f t="shared" si="1"/>
        <v>0.8727212540450421</v>
      </c>
      <c r="F13" s="177">
        <f t="shared" si="0"/>
        <v>11153</v>
      </c>
      <c r="G13" s="177">
        <v>0</v>
      </c>
      <c r="H13" s="8">
        <f t="shared" si="2"/>
        <v>11153</v>
      </c>
      <c r="I13" s="178"/>
      <c r="J13" s="177">
        <f t="shared" si="3"/>
        <v>1296</v>
      </c>
      <c r="K13" s="177">
        <v>1045</v>
      </c>
      <c r="L13" s="8">
        <f t="shared" si="4"/>
        <v>1296</v>
      </c>
      <c r="M13" s="16"/>
      <c r="N13" s="18"/>
      <c r="O13" s="7"/>
      <c r="P13" s="7"/>
      <c r="Q13" s="7"/>
      <c r="R13" s="7"/>
      <c r="S13" s="7"/>
    </row>
    <row r="14" spans="1:19" ht="15.75">
      <c r="A14" s="172" t="s">
        <v>12</v>
      </c>
      <c r="B14" s="174">
        <f>'Налог.потенц.'!B14</f>
        <v>325915.5427531178</v>
      </c>
      <c r="C14" s="174">
        <v>57687</v>
      </c>
      <c r="D14" s="175">
        <f>'Свод индексов'!H14</f>
        <v>1.079884043051052</v>
      </c>
      <c r="E14" s="176">
        <f t="shared" si="1"/>
        <v>0.6689127623670393</v>
      </c>
      <c r="F14" s="177">
        <f t="shared" si="0"/>
        <v>87201</v>
      </c>
      <c r="G14" s="177">
        <v>41826</v>
      </c>
      <c r="H14" s="8">
        <f t="shared" si="2"/>
        <v>87201</v>
      </c>
      <c r="I14" s="178"/>
      <c r="J14" s="177">
        <f t="shared" si="3"/>
        <v>1585</v>
      </c>
      <c r="K14" s="177">
        <v>1296</v>
      </c>
      <c r="L14" s="8">
        <f t="shared" si="4"/>
        <v>1585</v>
      </c>
      <c r="M14" s="16"/>
      <c r="N14" s="18"/>
      <c r="O14" s="7"/>
      <c r="P14" s="7"/>
      <c r="Q14" s="7"/>
      <c r="R14" s="7"/>
      <c r="S14" s="7"/>
    </row>
    <row r="15" spans="1:19" ht="15.75">
      <c r="A15" s="172" t="s">
        <v>5</v>
      </c>
      <c r="B15" s="174">
        <f>'Налог.потенц.'!B15</f>
        <v>106830.70763543571</v>
      </c>
      <c r="C15" s="174">
        <v>26438</v>
      </c>
      <c r="D15" s="175">
        <f>'Свод индексов'!H15</f>
        <v>1.075696171926912</v>
      </c>
      <c r="E15" s="176">
        <f t="shared" si="1"/>
        <v>0.48028317347671895</v>
      </c>
      <c r="F15" s="177">
        <f t="shared" si="0"/>
        <v>71168</v>
      </c>
      <c r="G15" s="177">
        <v>35451</v>
      </c>
      <c r="H15" s="8">
        <f t="shared" si="2"/>
        <v>71168</v>
      </c>
      <c r="I15" s="178"/>
      <c r="J15" s="177">
        <f t="shared" si="3"/>
        <v>726</v>
      </c>
      <c r="K15" s="177">
        <v>582</v>
      </c>
      <c r="L15" s="8">
        <f t="shared" si="4"/>
        <v>726</v>
      </c>
      <c r="M15" s="16"/>
      <c r="N15" s="18"/>
      <c r="O15" s="7"/>
      <c r="P15" s="7"/>
      <c r="Q15" s="7"/>
      <c r="R15" s="7"/>
      <c r="S15" s="7"/>
    </row>
    <row r="16" spans="1:19" ht="15.75">
      <c r="A16" s="172" t="s">
        <v>6</v>
      </c>
      <c r="B16" s="174">
        <f>'Налог.потенц.'!B16</f>
        <v>293300.06668899744</v>
      </c>
      <c r="C16" s="174">
        <v>58239</v>
      </c>
      <c r="D16" s="175">
        <f>'Свод индексов'!H16</f>
        <v>1.082687091672133</v>
      </c>
      <c r="E16" s="176">
        <f t="shared" si="1"/>
        <v>0.5947230641423602</v>
      </c>
      <c r="F16" s="177">
        <f t="shared" si="0"/>
        <v>115071</v>
      </c>
      <c r="G16" s="177">
        <v>25198</v>
      </c>
      <c r="H16" s="8">
        <f t="shared" si="2"/>
        <v>115071</v>
      </c>
      <c r="I16" s="178"/>
      <c r="J16" s="177">
        <f t="shared" si="3"/>
        <v>1600</v>
      </c>
      <c r="K16" s="177">
        <v>1271</v>
      </c>
      <c r="L16" s="8">
        <f t="shared" si="4"/>
        <v>1600</v>
      </c>
      <c r="M16" s="16"/>
      <c r="N16" s="18"/>
      <c r="O16" s="7"/>
      <c r="P16" s="7"/>
      <c r="Q16" s="7"/>
      <c r="R16" s="7"/>
      <c r="S16" s="7"/>
    </row>
    <row r="17" spans="1:19" ht="15.75">
      <c r="A17" s="172" t="s">
        <v>13</v>
      </c>
      <c r="B17" s="174">
        <f>'Налог.потенц.'!B17</f>
        <v>162766.84556126295</v>
      </c>
      <c r="C17" s="174">
        <v>29203</v>
      </c>
      <c r="D17" s="175">
        <f>'Свод индексов'!H17</f>
        <v>1.09020410768287</v>
      </c>
      <c r="E17" s="176">
        <f t="shared" si="1"/>
        <v>0.6536573549340828</v>
      </c>
      <c r="F17" s="177">
        <f t="shared" si="0"/>
        <v>46932</v>
      </c>
      <c r="G17" s="177">
        <v>19706</v>
      </c>
      <c r="H17" s="8">
        <f t="shared" si="2"/>
        <v>46932</v>
      </c>
      <c r="I17" s="178"/>
      <c r="J17" s="177">
        <f t="shared" si="3"/>
        <v>802</v>
      </c>
      <c r="K17" s="177">
        <v>643</v>
      </c>
      <c r="L17" s="8">
        <f t="shared" si="4"/>
        <v>802</v>
      </c>
      <c r="M17" s="16"/>
      <c r="N17" s="18"/>
      <c r="O17" s="7"/>
      <c r="P17" s="7"/>
      <c r="Q17" s="7"/>
      <c r="R17" s="7"/>
      <c r="S17" s="7"/>
    </row>
    <row r="18" spans="1:19" ht="15.75">
      <c r="A18" s="1" t="s">
        <v>113</v>
      </c>
      <c r="B18" s="14"/>
      <c r="C18" s="147"/>
      <c r="D18" s="15"/>
      <c r="E18" s="19"/>
      <c r="F18" s="10">
        <f t="shared" si="0"/>
        <v>0</v>
      </c>
      <c r="G18" s="10"/>
      <c r="H18" s="10">
        <f t="shared" si="2"/>
        <v>0</v>
      </c>
      <c r="I18" s="20"/>
      <c r="J18" s="10"/>
      <c r="K18" s="10"/>
      <c r="L18" s="10"/>
      <c r="M18" s="20"/>
      <c r="N18" s="18"/>
      <c r="P18" s="7"/>
      <c r="Q18" s="7"/>
      <c r="R18" s="7"/>
      <c r="S18" s="7"/>
    </row>
    <row r="19" spans="1:19" ht="15.75">
      <c r="A19" s="172" t="s">
        <v>14</v>
      </c>
      <c r="B19" s="174">
        <f>'Налог.потенц.'!B19</f>
        <v>46500.13241290885</v>
      </c>
      <c r="C19" s="174">
        <v>11799</v>
      </c>
      <c r="D19" s="175">
        <f>'Свод индексов'!H19</f>
        <v>1.1214658562932764</v>
      </c>
      <c r="E19" s="176">
        <f>B19/C19/D19/$E$47</f>
        <v>0.44930620932179133</v>
      </c>
      <c r="F19" s="177">
        <f t="shared" si="0"/>
        <v>34049</v>
      </c>
      <c r="G19" s="177">
        <v>14631</v>
      </c>
      <c r="H19" s="8">
        <f t="shared" si="2"/>
        <v>34049</v>
      </c>
      <c r="I19" s="178"/>
      <c r="J19" s="177">
        <f aca="true" t="shared" si="5" ref="J19:J45">ROUND(M$4*(C19-I19)/1000,0)</f>
        <v>324</v>
      </c>
      <c r="K19" s="177"/>
      <c r="L19" s="8">
        <f>IF(ROUND(J19,0)&lt;K19,K19,ROUND(J19,0))</f>
        <v>324</v>
      </c>
      <c r="M19" s="16"/>
      <c r="N19" s="18"/>
      <c r="P19" s="7"/>
      <c r="Q19" s="7"/>
      <c r="R19" s="7"/>
      <c r="S19" s="7"/>
    </row>
    <row r="20" spans="1:19" ht="15.75">
      <c r="A20" s="172" t="s">
        <v>15</v>
      </c>
      <c r="B20" s="174">
        <f>'Налог.потенц.'!B20</f>
        <v>210687.08017537446</v>
      </c>
      <c r="C20" s="174">
        <v>39774</v>
      </c>
      <c r="D20" s="175">
        <f>'Свод индексов'!H20</f>
        <v>1.0969935907083217</v>
      </c>
      <c r="E20" s="176">
        <f aca="true" t="shared" si="6" ref="E20:E45">B20/C20/D20/$E$47</f>
        <v>0.6173820986411468</v>
      </c>
      <c r="F20" s="177">
        <f t="shared" si="0"/>
        <v>72948</v>
      </c>
      <c r="G20" s="177">
        <v>29755</v>
      </c>
      <c r="H20" s="8">
        <f t="shared" si="2"/>
        <v>72948</v>
      </c>
      <c r="I20" s="178"/>
      <c r="J20" s="177">
        <f t="shared" si="5"/>
        <v>1093</v>
      </c>
      <c r="K20" s="177"/>
      <c r="L20" s="8">
        <f aca="true" t="shared" si="7" ref="L20:L45">IF(ROUND(J20,0)&lt;K20,K20,ROUND(J20,0))</f>
        <v>1093</v>
      </c>
      <c r="M20" s="16"/>
      <c r="N20" s="18"/>
      <c r="P20" s="7"/>
      <c r="Q20" s="7"/>
      <c r="R20" s="7"/>
      <c r="S20" s="7"/>
    </row>
    <row r="21" spans="1:19" ht="15.75">
      <c r="A21" s="172" t="s">
        <v>16</v>
      </c>
      <c r="B21" s="174">
        <f>'Налог.потенц.'!B21</f>
        <v>92384.20198179754</v>
      </c>
      <c r="C21" s="174">
        <v>14355</v>
      </c>
      <c r="D21" s="175">
        <f>'Свод индексов'!H21</f>
        <v>1.1119736993620952</v>
      </c>
      <c r="E21" s="176">
        <f t="shared" si="6"/>
        <v>0.7399791573695255</v>
      </c>
      <c r="F21" s="177">
        <f t="shared" si="0"/>
        <v>15316</v>
      </c>
      <c r="G21" s="177">
        <v>6056</v>
      </c>
      <c r="H21" s="8">
        <f t="shared" si="2"/>
        <v>15316</v>
      </c>
      <c r="I21" s="178"/>
      <c r="J21" s="177">
        <f t="shared" si="5"/>
        <v>394</v>
      </c>
      <c r="K21" s="177"/>
      <c r="L21" s="8">
        <f t="shared" si="7"/>
        <v>394</v>
      </c>
      <c r="M21" s="16"/>
      <c r="N21" s="18"/>
      <c r="P21" s="7"/>
      <c r="Q21" s="7"/>
      <c r="R21" s="7"/>
      <c r="S21" s="7"/>
    </row>
    <row r="22" spans="1:19" ht="15.75">
      <c r="A22" s="172" t="s">
        <v>36</v>
      </c>
      <c r="B22" s="174">
        <f>'Налог.потенц.'!B22</f>
        <v>101838.20959287691</v>
      </c>
      <c r="C22" s="174">
        <v>18503</v>
      </c>
      <c r="D22" s="175">
        <f>'Свод индексов'!H22</f>
        <v>1.1086446996750081</v>
      </c>
      <c r="E22" s="176">
        <f t="shared" si="6"/>
        <v>0.6347397688933054</v>
      </c>
      <c r="F22" s="177">
        <f t="shared" si="0"/>
        <v>31926</v>
      </c>
      <c r="G22" s="177">
        <v>8965</v>
      </c>
      <c r="H22" s="8">
        <f t="shared" si="2"/>
        <v>31926</v>
      </c>
      <c r="I22" s="178"/>
      <c r="J22" s="177">
        <f t="shared" si="5"/>
        <v>508</v>
      </c>
      <c r="K22" s="177"/>
      <c r="L22" s="8">
        <f t="shared" si="7"/>
        <v>508</v>
      </c>
      <c r="M22" s="16"/>
      <c r="N22" s="18"/>
      <c r="P22" s="7"/>
      <c r="Q22" s="7"/>
      <c r="R22" s="7"/>
      <c r="S22" s="7"/>
    </row>
    <row r="23" spans="1:19" ht="15.75">
      <c r="A23" s="172" t="s">
        <v>37</v>
      </c>
      <c r="B23" s="174">
        <f>'Налог.потенц.'!B23</f>
        <v>96661.74400697503</v>
      </c>
      <c r="C23" s="174">
        <v>17499</v>
      </c>
      <c r="D23" s="175">
        <f>'Свод индексов'!H23</f>
        <v>1.1515466101245593</v>
      </c>
      <c r="E23" s="176">
        <f t="shared" si="6"/>
        <v>0.6133090342329313</v>
      </c>
      <c r="F23" s="177">
        <f t="shared" si="0"/>
        <v>32540</v>
      </c>
      <c r="G23" s="177">
        <v>13921</v>
      </c>
      <c r="H23" s="8">
        <f t="shared" si="2"/>
        <v>32540</v>
      </c>
      <c r="I23" s="178"/>
      <c r="J23" s="177">
        <f t="shared" si="5"/>
        <v>481</v>
      </c>
      <c r="K23" s="177"/>
      <c r="L23" s="8">
        <f t="shared" si="7"/>
        <v>481</v>
      </c>
      <c r="M23" s="16"/>
      <c r="N23" s="18"/>
      <c r="P23" s="7"/>
      <c r="Q23" s="7"/>
      <c r="R23" s="7"/>
      <c r="S23" s="7"/>
    </row>
    <row r="24" spans="1:19" ht="15.75">
      <c r="A24" s="172" t="s">
        <v>7</v>
      </c>
      <c r="B24" s="174">
        <f>'Налог.потенц.'!B24</f>
        <v>76761.02156307633</v>
      </c>
      <c r="C24" s="174">
        <v>23717</v>
      </c>
      <c r="D24" s="175">
        <f>'Свод индексов'!H24</f>
        <v>1.1099414375996326</v>
      </c>
      <c r="E24" s="176">
        <f t="shared" si="6"/>
        <v>0.372821041024758</v>
      </c>
      <c r="F24" s="177">
        <f t="shared" si="0"/>
        <v>79791</v>
      </c>
      <c r="G24" s="177">
        <v>44929</v>
      </c>
      <c r="H24" s="8">
        <f t="shared" si="2"/>
        <v>79791</v>
      </c>
      <c r="I24" s="178"/>
      <c r="J24" s="177">
        <f t="shared" si="5"/>
        <v>652</v>
      </c>
      <c r="K24" s="177"/>
      <c r="L24" s="8">
        <f t="shared" si="7"/>
        <v>652</v>
      </c>
      <c r="M24" s="16"/>
      <c r="N24" s="18"/>
      <c r="P24" s="7"/>
      <c r="Q24" s="7"/>
      <c r="R24" s="7"/>
      <c r="S24" s="7"/>
    </row>
    <row r="25" spans="1:19" ht="15.75">
      <c r="A25" s="172" t="s">
        <v>8</v>
      </c>
      <c r="B25" s="174">
        <f>'Налог.потенц.'!B25</f>
        <v>802609.0996333242</v>
      </c>
      <c r="C25" s="174">
        <v>99500</v>
      </c>
      <c r="D25" s="175">
        <f>'Свод индексов'!H25</f>
        <v>1.0818286611932526</v>
      </c>
      <c r="E25" s="176">
        <f t="shared" si="6"/>
        <v>0.9533272413712627</v>
      </c>
      <c r="F25" s="177">
        <f t="shared" si="0"/>
        <v>0</v>
      </c>
      <c r="G25" s="177">
        <v>0</v>
      </c>
      <c r="H25" s="8">
        <f t="shared" si="2"/>
        <v>0</v>
      </c>
      <c r="I25" s="179">
        <f>2848+3311</f>
        <v>6159</v>
      </c>
      <c r="J25" s="177">
        <f t="shared" si="5"/>
        <v>2564</v>
      </c>
      <c r="K25" s="177"/>
      <c r="L25" s="8">
        <f t="shared" si="7"/>
        <v>2564</v>
      </c>
      <c r="M25" s="16"/>
      <c r="N25" s="18"/>
      <c r="P25" s="7"/>
      <c r="Q25" s="7"/>
      <c r="R25" s="7"/>
      <c r="S25" s="7"/>
    </row>
    <row r="26" spans="1:19" ht="15.75">
      <c r="A26" s="172" t="s">
        <v>9</v>
      </c>
      <c r="B26" s="174">
        <f>'Налог.потенц.'!B26</f>
        <v>40564.97239994895</v>
      </c>
      <c r="C26" s="174">
        <v>9445</v>
      </c>
      <c r="D26" s="175">
        <f>'Свод индексов'!H26</f>
        <v>1.1110087185954507</v>
      </c>
      <c r="E26" s="176">
        <f t="shared" si="6"/>
        <v>0.49425519560860903</v>
      </c>
      <c r="F26" s="177">
        <f t="shared" si="0"/>
        <v>24599</v>
      </c>
      <c r="G26" s="177">
        <v>14232</v>
      </c>
      <c r="H26" s="8">
        <f t="shared" si="2"/>
        <v>24599</v>
      </c>
      <c r="I26" s="179"/>
      <c r="J26" s="177">
        <f t="shared" si="5"/>
        <v>259</v>
      </c>
      <c r="K26" s="177"/>
      <c r="L26" s="8">
        <f t="shared" si="7"/>
        <v>259</v>
      </c>
      <c r="M26" s="16"/>
      <c r="N26" s="18"/>
      <c r="P26" s="7"/>
      <c r="Q26" s="7"/>
      <c r="R26" s="7"/>
      <c r="S26" s="7"/>
    </row>
    <row r="27" spans="1:19" ht="15.75">
      <c r="A27" s="172" t="s">
        <v>17</v>
      </c>
      <c r="B27" s="174">
        <f>'Налог.потенц.'!B27</f>
        <v>64549.63901652665</v>
      </c>
      <c r="C27" s="174">
        <v>12363</v>
      </c>
      <c r="D27" s="175">
        <f>'Свод индексов'!H27</f>
        <v>1.1291585536210171</v>
      </c>
      <c r="E27" s="176">
        <f t="shared" si="6"/>
        <v>0.5912001120502917</v>
      </c>
      <c r="F27" s="177">
        <f t="shared" si="0"/>
        <v>24700</v>
      </c>
      <c r="G27" s="177">
        <v>13220</v>
      </c>
      <c r="H27" s="8">
        <f t="shared" si="2"/>
        <v>24700</v>
      </c>
      <c r="I27" s="179"/>
      <c r="J27" s="177">
        <f t="shared" si="5"/>
        <v>340</v>
      </c>
      <c r="K27" s="177"/>
      <c r="L27" s="8">
        <f t="shared" si="7"/>
        <v>340</v>
      </c>
      <c r="M27" s="16"/>
      <c r="N27" s="18"/>
      <c r="P27" s="7"/>
      <c r="Q27" s="7"/>
      <c r="R27" s="7"/>
      <c r="S27" s="7"/>
    </row>
    <row r="28" spans="1:19" ht="15.75">
      <c r="A28" s="173" t="s">
        <v>18</v>
      </c>
      <c r="B28" s="174">
        <f>'Налог.потенц.'!B28</f>
        <v>173540.1749458692</v>
      </c>
      <c r="C28" s="174">
        <v>32552</v>
      </c>
      <c r="D28" s="175">
        <f>'Свод индексов'!H28</f>
        <v>1.0897118836752357</v>
      </c>
      <c r="E28" s="176">
        <f t="shared" si="6"/>
        <v>0.6255040915397542</v>
      </c>
      <c r="F28" s="177">
        <f t="shared" si="0"/>
        <v>58048</v>
      </c>
      <c r="G28" s="177">
        <v>10870</v>
      </c>
      <c r="H28" s="8">
        <f t="shared" si="2"/>
        <v>58048</v>
      </c>
      <c r="I28" s="179">
        <v>3386</v>
      </c>
      <c r="J28" s="177">
        <f t="shared" si="5"/>
        <v>801</v>
      </c>
      <c r="K28" s="177"/>
      <c r="L28" s="8">
        <f t="shared" si="7"/>
        <v>801</v>
      </c>
      <c r="M28" s="16"/>
      <c r="N28" s="18"/>
      <c r="P28" s="7"/>
      <c r="Q28" s="7"/>
      <c r="R28" s="7"/>
      <c r="S28" s="7"/>
    </row>
    <row r="29" spans="1:19" s="13" customFormat="1" ht="15.75">
      <c r="A29" s="172" t="s">
        <v>19</v>
      </c>
      <c r="B29" s="174">
        <f>'Налог.потенц.'!B29</f>
        <v>226067.08412755418</v>
      </c>
      <c r="C29" s="174">
        <v>44266</v>
      </c>
      <c r="D29" s="175">
        <f>'Свод индексов'!H29</f>
        <v>1.1130624121739967</v>
      </c>
      <c r="E29" s="176">
        <f t="shared" si="6"/>
        <v>0.5866337213671285</v>
      </c>
      <c r="F29" s="177">
        <f t="shared" si="0"/>
        <v>89703</v>
      </c>
      <c r="G29" s="177">
        <v>40964</v>
      </c>
      <c r="H29" s="8">
        <f t="shared" si="2"/>
        <v>89703</v>
      </c>
      <c r="I29" s="179"/>
      <c r="J29" s="177">
        <f t="shared" si="5"/>
        <v>1216</v>
      </c>
      <c r="K29" s="177"/>
      <c r="L29" s="8">
        <f t="shared" si="7"/>
        <v>1216</v>
      </c>
      <c r="M29" s="16"/>
      <c r="N29" s="18"/>
      <c r="P29" s="7"/>
      <c r="Q29" s="7"/>
      <c r="R29" s="7"/>
      <c r="S29" s="7"/>
    </row>
    <row r="30" spans="1:19" ht="15.75">
      <c r="A30" s="172" t="s">
        <v>20</v>
      </c>
      <c r="B30" s="174">
        <f>'Налог.потенц.'!B30</f>
        <v>61586.03587056046</v>
      </c>
      <c r="C30" s="174">
        <v>14452</v>
      </c>
      <c r="D30" s="175">
        <f>'Свод индексов'!H30</f>
        <v>1.0961900544807293</v>
      </c>
      <c r="E30" s="176">
        <f t="shared" si="6"/>
        <v>0.497036094408621</v>
      </c>
      <c r="F30" s="177">
        <f t="shared" si="0"/>
        <v>37388</v>
      </c>
      <c r="G30" s="177">
        <v>18930</v>
      </c>
      <c r="H30" s="8">
        <f t="shared" si="2"/>
        <v>37388</v>
      </c>
      <c r="I30" s="179"/>
      <c r="J30" s="177">
        <f t="shared" si="5"/>
        <v>397</v>
      </c>
      <c r="K30" s="177"/>
      <c r="L30" s="8">
        <f t="shared" si="7"/>
        <v>397</v>
      </c>
      <c r="M30" s="16"/>
      <c r="N30" s="18"/>
      <c r="P30" s="7"/>
      <c r="Q30" s="7"/>
      <c r="R30" s="7"/>
      <c r="S30" s="7"/>
    </row>
    <row r="31" spans="1:19" ht="15.75">
      <c r="A31" s="172" t="s">
        <v>21</v>
      </c>
      <c r="B31" s="174">
        <f>'Налог.потенц.'!B31</f>
        <v>129025.59981562235</v>
      </c>
      <c r="C31" s="174">
        <v>22081</v>
      </c>
      <c r="D31" s="175">
        <f>'Свод индексов'!H31</f>
        <v>1.1083889073387256</v>
      </c>
      <c r="E31" s="176">
        <f t="shared" si="6"/>
        <v>0.6740381314896431</v>
      </c>
      <c r="F31" s="177">
        <f t="shared" si="0"/>
        <v>32670</v>
      </c>
      <c r="G31" s="177">
        <v>19382</v>
      </c>
      <c r="H31" s="8">
        <f t="shared" si="2"/>
        <v>32670</v>
      </c>
      <c r="I31" s="179"/>
      <c r="J31" s="177">
        <f t="shared" si="5"/>
        <v>607</v>
      </c>
      <c r="K31" s="177"/>
      <c r="L31" s="8">
        <f t="shared" si="7"/>
        <v>607</v>
      </c>
      <c r="M31" s="16"/>
      <c r="N31" s="18"/>
      <c r="P31" s="7"/>
      <c r="Q31" s="7"/>
      <c r="R31" s="7"/>
      <c r="S31" s="7"/>
    </row>
    <row r="32" spans="1:19" ht="15.75">
      <c r="A32" s="172" t="s">
        <v>22</v>
      </c>
      <c r="B32" s="174">
        <f>'Налог.потенц.'!B32</f>
        <v>94364.41337461586</v>
      </c>
      <c r="C32" s="174">
        <v>17052</v>
      </c>
      <c r="D32" s="175">
        <f>'Свод индексов'!H32</f>
        <v>1.126864076718255</v>
      </c>
      <c r="E32" s="176">
        <f t="shared" si="6"/>
        <v>0.6278861074500441</v>
      </c>
      <c r="F32" s="177">
        <f t="shared" si="0"/>
        <v>30154</v>
      </c>
      <c r="G32" s="177">
        <v>12638</v>
      </c>
      <c r="H32" s="8">
        <f t="shared" si="2"/>
        <v>30154</v>
      </c>
      <c r="I32" s="179"/>
      <c r="J32" s="177">
        <f t="shared" si="5"/>
        <v>468</v>
      </c>
      <c r="K32" s="177"/>
      <c r="L32" s="8">
        <f t="shared" si="7"/>
        <v>468</v>
      </c>
      <c r="M32" s="16"/>
      <c r="N32" s="18"/>
      <c r="P32" s="7"/>
      <c r="Q32" s="7"/>
      <c r="R32" s="7"/>
      <c r="S32" s="7"/>
    </row>
    <row r="33" spans="1:19" ht="15.75">
      <c r="A33" s="172" t="s">
        <v>23</v>
      </c>
      <c r="B33" s="174">
        <f>'Налог.потенц.'!B33</f>
        <v>371250.741354994</v>
      </c>
      <c r="C33" s="174">
        <v>57226</v>
      </c>
      <c r="D33" s="175">
        <f>'Свод индексов'!H33</f>
        <v>1.1041052649419385</v>
      </c>
      <c r="E33" s="176">
        <f t="shared" si="6"/>
        <v>0.7512473378552407</v>
      </c>
      <c r="F33" s="177">
        <f t="shared" si="0"/>
        <v>57023</v>
      </c>
      <c r="G33" s="177">
        <v>10379</v>
      </c>
      <c r="H33" s="8">
        <f t="shared" si="2"/>
        <v>57023</v>
      </c>
      <c r="I33" s="179">
        <v>1172</v>
      </c>
      <c r="J33" s="177">
        <f t="shared" si="5"/>
        <v>1540</v>
      </c>
      <c r="K33" s="177"/>
      <c r="L33" s="8">
        <f t="shared" si="7"/>
        <v>1540</v>
      </c>
      <c r="M33" s="16"/>
      <c r="N33" s="18"/>
      <c r="P33" s="7"/>
      <c r="Q33" s="7"/>
      <c r="R33" s="7"/>
      <c r="S33" s="7"/>
    </row>
    <row r="34" spans="1:19" ht="15.75">
      <c r="A34" s="172" t="s">
        <v>24</v>
      </c>
      <c r="B34" s="174">
        <f>'Налог.потенц.'!B34</f>
        <v>38628.781513338654</v>
      </c>
      <c r="C34" s="174">
        <v>10638</v>
      </c>
      <c r="D34" s="175">
        <f>'Свод индексов'!H34</f>
        <v>1.1164488571529505</v>
      </c>
      <c r="E34" s="176">
        <f t="shared" si="6"/>
        <v>0.41584518529491127</v>
      </c>
      <c r="F34" s="177">
        <f t="shared" si="0"/>
        <v>32926</v>
      </c>
      <c r="G34" s="177">
        <v>19634</v>
      </c>
      <c r="H34" s="8">
        <f t="shared" si="2"/>
        <v>32926</v>
      </c>
      <c r="I34" s="179"/>
      <c r="J34" s="177">
        <f t="shared" si="5"/>
        <v>292</v>
      </c>
      <c r="K34" s="177"/>
      <c r="L34" s="8">
        <f t="shared" si="7"/>
        <v>292</v>
      </c>
      <c r="M34" s="16"/>
      <c r="N34" s="18"/>
      <c r="P34" s="7"/>
      <c r="Q34" s="7"/>
      <c r="R34" s="7"/>
      <c r="S34" s="7"/>
    </row>
    <row r="35" spans="1:19" ht="15.75">
      <c r="A35" s="172" t="s">
        <v>25</v>
      </c>
      <c r="B35" s="174">
        <f>'Налог.потенц.'!B35</f>
        <v>182299.4108167258</v>
      </c>
      <c r="C35" s="174">
        <v>33138</v>
      </c>
      <c r="D35" s="175">
        <f>'Свод индексов'!H35</f>
        <v>1.0925920425838207</v>
      </c>
      <c r="E35" s="176">
        <f t="shared" si="6"/>
        <v>0.6437547196152139</v>
      </c>
      <c r="F35" s="177">
        <f t="shared" si="0"/>
        <v>55309</v>
      </c>
      <c r="G35" s="177">
        <v>20900</v>
      </c>
      <c r="H35" s="8">
        <f t="shared" si="2"/>
        <v>55309</v>
      </c>
      <c r="I35" s="179">
        <v>1035</v>
      </c>
      <c r="J35" s="177">
        <f t="shared" si="5"/>
        <v>882</v>
      </c>
      <c r="K35" s="177"/>
      <c r="L35" s="8">
        <f t="shared" si="7"/>
        <v>882</v>
      </c>
      <c r="M35" s="16"/>
      <c r="N35" s="18"/>
      <c r="P35" s="7"/>
      <c r="Q35" s="7"/>
      <c r="R35" s="7"/>
      <c r="S35" s="7"/>
    </row>
    <row r="36" spans="1:19" ht="15.75">
      <c r="A36" s="172" t="s">
        <v>26</v>
      </c>
      <c r="B36" s="174">
        <f>'Налог.потенц.'!B36</f>
        <v>89754.67742130383</v>
      </c>
      <c r="C36" s="174">
        <v>16575</v>
      </c>
      <c r="D36" s="175">
        <f>'Свод индексов'!H36</f>
        <v>1.1042342255698756</v>
      </c>
      <c r="E36" s="176">
        <f t="shared" si="6"/>
        <v>0.6269917656460197</v>
      </c>
      <c r="F36" s="177">
        <f t="shared" si="0"/>
        <v>29403</v>
      </c>
      <c r="G36" s="177">
        <v>6137</v>
      </c>
      <c r="H36" s="8">
        <f t="shared" si="2"/>
        <v>29403</v>
      </c>
      <c r="I36" s="179"/>
      <c r="J36" s="177">
        <f t="shared" si="5"/>
        <v>455</v>
      </c>
      <c r="K36" s="177"/>
      <c r="L36" s="8">
        <f t="shared" si="7"/>
        <v>455</v>
      </c>
      <c r="M36" s="16"/>
      <c r="N36" s="18"/>
      <c r="P36" s="7"/>
      <c r="Q36" s="7"/>
      <c r="R36" s="7"/>
      <c r="S36" s="7"/>
    </row>
    <row r="37" spans="1:19" ht="15.75">
      <c r="A37" s="172" t="s">
        <v>27</v>
      </c>
      <c r="B37" s="174">
        <f>'Налог.потенц.'!B37</f>
        <v>89028.80274036538</v>
      </c>
      <c r="C37" s="174">
        <v>27317</v>
      </c>
      <c r="D37" s="175">
        <f>'Свод индексов'!H37</f>
        <v>1.1051345115058955</v>
      </c>
      <c r="E37" s="176">
        <f t="shared" si="6"/>
        <v>0.3770525452205533</v>
      </c>
      <c r="F37" s="177">
        <f t="shared" si="0"/>
        <v>91179</v>
      </c>
      <c r="G37" s="177">
        <v>50136</v>
      </c>
      <c r="H37" s="8">
        <f t="shared" si="2"/>
        <v>91179</v>
      </c>
      <c r="I37" s="179"/>
      <c r="J37" s="177">
        <f t="shared" si="5"/>
        <v>750</v>
      </c>
      <c r="K37" s="177"/>
      <c r="L37" s="8">
        <f t="shared" si="7"/>
        <v>750</v>
      </c>
      <c r="M37" s="16"/>
      <c r="N37" s="18"/>
      <c r="P37" s="7"/>
      <c r="Q37" s="7"/>
      <c r="R37" s="7"/>
      <c r="S37" s="7"/>
    </row>
    <row r="38" spans="1:19" ht="15.75">
      <c r="A38" s="172" t="s">
        <v>28</v>
      </c>
      <c r="B38" s="174">
        <f>'Налог.потенц.'!B38</f>
        <v>88767.19265868764</v>
      </c>
      <c r="C38" s="174">
        <v>23321</v>
      </c>
      <c r="D38" s="175">
        <f>'Свод индексов'!H38</f>
        <v>1.1130136296143804</v>
      </c>
      <c r="E38" s="176">
        <f t="shared" si="6"/>
        <v>0.4372444658829293</v>
      </c>
      <c r="F38" s="177">
        <f t="shared" si="0"/>
        <v>69058</v>
      </c>
      <c r="G38" s="177">
        <v>28565</v>
      </c>
      <c r="H38" s="8">
        <f t="shared" si="2"/>
        <v>69058</v>
      </c>
      <c r="I38" s="179"/>
      <c r="J38" s="177">
        <f t="shared" si="5"/>
        <v>641</v>
      </c>
      <c r="K38" s="177"/>
      <c r="L38" s="8">
        <f t="shared" si="7"/>
        <v>641</v>
      </c>
      <c r="M38" s="16"/>
      <c r="N38" s="18"/>
      <c r="P38" s="7"/>
      <c r="Q38" s="7"/>
      <c r="R38" s="7"/>
      <c r="S38" s="7"/>
    </row>
    <row r="39" spans="1:19" ht="15.75">
      <c r="A39" s="172" t="s">
        <v>29</v>
      </c>
      <c r="B39" s="174">
        <f>'Налог.потенц.'!B39</f>
        <v>331469.6387083214</v>
      </c>
      <c r="C39" s="174">
        <v>45193</v>
      </c>
      <c r="D39" s="175">
        <f>'Свод индексов'!H39</f>
        <v>1.10887569938966</v>
      </c>
      <c r="E39" s="176">
        <f t="shared" si="6"/>
        <v>0.8456861243894913</v>
      </c>
      <c r="F39" s="177">
        <f t="shared" si="0"/>
        <v>18328</v>
      </c>
      <c r="G39" s="177">
        <v>0</v>
      </c>
      <c r="H39" s="8">
        <f t="shared" si="2"/>
        <v>18328</v>
      </c>
      <c r="I39" s="179"/>
      <c r="J39" s="177">
        <f t="shared" si="5"/>
        <v>1241</v>
      </c>
      <c r="K39" s="177"/>
      <c r="L39" s="8">
        <f t="shared" si="7"/>
        <v>1241</v>
      </c>
      <c r="M39" s="16"/>
      <c r="N39" s="18"/>
      <c r="P39" s="7"/>
      <c r="Q39" s="7"/>
      <c r="R39" s="7"/>
      <c r="S39" s="7"/>
    </row>
    <row r="40" spans="1:19" ht="15.75">
      <c r="A40" s="172" t="s">
        <v>30</v>
      </c>
      <c r="B40" s="174">
        <f>'Налог.потенц.'!B40</f>
        <v>534287.2103310472</v>
      </c>
      <c r="C40" s="174">
        <v>73794</v>
      </c>
      <c r="D40" s="175">
        <f>'Свод индексов'!H40</f>
        <v>1.114212286284343</v>
      </c>
      <c r="E40" s="176">
        <f t="shared" si="6"/>
        <v>0.8308168023903924</v>
      </c>
      <c r="F40" s="177">
        <f t="shared" si="0"/>
        <v>36792</v>
      </c>
      <c r="G40" s="177">
        <v>0</v>
      </c>
      <c r="H40" s="8">
        <f t="shared" si="2"/>
        <v>36792</v>
      </c>
      <c r="I40" s="179">
        <f>4950+444+2368</f>
        <v>7762</v>
      </c>
      <c r="J40" s="177">
        <f t="shared" si="5"/>
        <v>1814</v>
      </c>
      <c r="K40" s="177"/>
      <c r="L40" s="8">
        <f t="shared" si="7"/>
        <v>1814</v>
      </c>
      <c r="M40" s="16"/>
      <c r="N40" s="18"/>
      <c r="P40" s="7"/>
      <c r="Q40" s="7"/>
      <c r="R40" s="7"/>
      <c r="S40" s="7"/>
    </row>
    <row r="41" spans="1:19" ht="15.75">
      <c r="A41" s="172" t="s">
        <v>31</v>
      </c>
      <c r="B41" s="174">
        <f>'Налог.потенц.'!B41</f>
        <v>110619.14439998295</v>
      </c>
      <c r="C41" s="174">
        <v>24604</v>
      </c>
      <c r="D41" s="175">
        <f>'Свод индексов'!H41</f>
        <v>1.1080948234528771</v>
      </c>
      <c r="E41" s="176">
        <f t="shared" si="6"/>
        <v>0.5187607846176876</v>
      </c>
      <c r="F41" s="177">
        <f t="shared" si="0"/>
        <v>60308</v>
      </c>
      <c r="G41" s="177">
        <v>30299</v>
      </c>
      <c r="H41" s="8">
        <f t="shared" si="2"/>
        <v>60308</v>
      </c>
      <c r="I41" s="179"/>
      <c r="J41" s="177">
        <f t="shared" si="5"/>
        <v>676</v>
      </c>
      <c r="K41" s="177"/>
      <c r="L41" s="8">
        <f t="shared" si="7"/>
        <v>676</v>
      </c>
      <c r="M41" s="16"/>
      <c r="N41" s="18"/>
      <c r="P41" s="7"/>
      <c r="Q41" s="7"/>
      <c r="R41" s="7"/>
      <c r="S41" s="7"/>
    </row>
    <row r="42" spans="1:19" ht="15.75">
      <c r="A42" s="172" t="s">
        <v>32</v>
      </c>
      <c r="B42" s="174">
        <f>'Налог.потенц.'!B42</f>
        <v>63524.74889807717</v>
      </c>
      <c r="C42" s="174">
        <v>16165</v>
      </c>
      <c r="D42" s="175">
        <f>'Свод индексов'!H42</f>
        <v>1.109819563845057</v>
      </c>
      <c r="E42" s="176">
        <f t="shared" si="6"/>
        <v>0.4527248772297641</v>
      </c>
      <c r="F42" s="177">
        <f t="shared" si="0"/>
        <v>46302</v>
      </c>
      <c r="G42" s="177">
        <v>23001</v>
      </c>
      <c r="H42" s="8">
        <f t="shared" si="2"/>
        <v>46302</v>
      </c>
      <c r="I42" s="179"/>
      <c r="J42" s="177">
        <f t="shared" si="5"/>
        <v>444</v>
      </c>
      <c r="K42" s="177"/>
      <c r="L42" s="8">
        <f t="shared" si="7"/>
        <v>444</v>
      </c>
      <c r="M42" s="16"/>
      <c r="N42" s="18"/>
      <c r="P42" s="7"/>
      <c r="Q42" s="7"/>
      <c r="R42" s="7"/>
      <c r="S42" s="7"/>
    </row>
    <row r="43" spans="1:19" ht="15.75">
      <c r="A43" s="172" t="s">
        <v>33</v>
      </c>
      <c r="B43" s="174">
        <f>'Налог.потенц.'!B43</f>
        <v>61181.2851655067</v>
      </c>
      <c r="C43" s="174">
        <v>14755</v>
      </c>
      <c r="D43" s="175">
        <f>'Свод индексов'!H43</f>
        <v>1.1009727809993792</v>
      </c>
      <c r="E43" s="176">
        <f t="shared" si="6"/>
        <v>0.4815288222745703</v>
      </c>
      <c r="F43" s="177">
        <f t="shared" si="0"/>
        <v>39604</v>
      </c>
      <c r="G43" s="177">
        <v>22547</v>
      </c>
      <c r="H43" s="8">
        <f t="shared" si="2"/>
        <v>39604</v>
      </c>
      <c r="I43" s="179"/>
      <c r="J43" s="177">
        <f t="shared" si="5"/>
        <v>405</v>
      </c>
      <c r="K43" s="177"/>
      <c r="L43" s="8">
        <f t="shared" si="7"/>
        <v>405</v>
      </c>
      <c r="M43" s="16"/>
      <c r="N43" s="18"/>
      <c r="P43" s="7"/>
      <c r="Q43" s="7"/>
      <c r="R43" s="7"/>
      <c r="S43" s="7"/>
    </row>
    <row r="44" spans="1:19" ht="15.75">
      <c r="A44" s="172" t="s">
        <v>34</v>
      </c>
      <c r="B44" s="174">
        <f>'Налог.потенц.'!B44</f>
        <v>68542.988292119</v>
      </c>
      <c r="C44" s="174">
        <v>15278</v>
      </c>
      <c r="D44" s="175">
        <f>'Свод индексов'!H44</f>
        <v>1.0992792355639245</v>
      </c>
      <c r="E44" s="176">
        <f t="shared" si="6"/>
        <v>0.5218047066676248</v>
      </c>
      <c r="F44" s="177">
        <f t="shared" si="0"/>
        <v>37157</v>
      </c>
      <c r="G44" s="177">
        <v>17474</v>
      </c>
      <c r="H44" s="8">
        <f t="shared" si="2"/>
        <v>37157</v>
      </c>
      <c r="I44" s="179"/>
      <c r="J44" s="177">
        <f t="shared" si="5"/>
        <v>420</v>
      </c>
      <c r="K44" s="177"/>
      <c r="L44" s="8">
        <f t="shared" si="7"/>
        <v>420</v>
      </c>
      <c r="M44" s="16"/>
      <c r="N44" s="18"/>
      <c r="P44" s="7"/>
      <c r="Q44" s="7"/>
      <c r="R44" s="7"/>
      <c r="S44" s="7"/>
    </row>
    <row r="45" spans="1:19" ht="15.75">
      <c r="A45" s="172" t="s">
        <v>10</v>
      </c>
      <c r="B45" s="174">
        <f>'Налог.потенц.'!B45</f>
        <v>75520.98413304109</v>
      </c>
      <c r="C45" s="174">
        <v>19430</v>
      </c>
      <c r="D45" s="175">
        <f>'Свод индексов'!H45</f>
        <v>1.0971446983625</v>
      </c>
      <c r="E45" s="176">
        <f t="shared" si="6"/>
        <v>0.4529501617571875</v>
      </c>
      <c r="F45" s="177">
        <f t="shared" si="0"/>
        <v>55626</v>
      </c>
      <c r="G45" s="177">
        <v>32001</v>
      </c>
      <c r="H45" s="8">
        <f t="shared" si="2"/>
        <v>55626</v>
      </c>
      <c r="I45" s="179">
        <f>2102</f>
        <v>2102</v>
      </c>
      <c r="J45" s="177">
        <f t="shared" si="5"/>
        <v>476</v>
      </c>
      <c r="K45" s="177"/>
      <c r="L45" s="8">
        <f t="shared" si="7"/>
        <v>476</v>
      </c>
      <c r="M45" s="16"/>
      <c r="N45" s="18"/>
      <c r="P45" s="7"/>
      <c r="Q45" s="7"/>
      <c r="R45" s="7"/>
      <c r="S45" s="7"/>
    </row>
    <row r="46" spans="3:14" ht="15.75">
      <c r="C46" s="9"/>
      <c r="D46" s="5"/>
      <c r="E46" s="6"/>
      <c r="F46" s="6"/>
      <c r="G46" s="6"/>
      <c r="H46" s="6"/>
      <c r="I46" s="21"/>
      <c r="M46" s="16"/>
      <c r="N46" s="9"/>
    </row>
    <row r="47" spans="1:14" ht="15.75">
      <c r="A47" s="11" t="s">
        <v>35</v>
      </c>
      <c r="B47" s="12">
        <f>SUM(B8:B46)</f>
        <v>24977521.219022103</v>
      </c>
      <c r="C47" s="12">
        <f>SUM(C8:C45)</f>
        <v>3193514</v>
      </c>
      <c r="D47" s="12"/>
      <c r="E47" s="23">
        <f>B47/C47</f>
        <v>7.821328235611963</v>
      </c>
      <c r="F47" s="12">
        <f aca="true" t="shared" si="8" ref="F47:L47">SUM(F8:F45)</f>
        <v>1858356</v>
      </c>
      <c r="G47" s="12">
        <f t="shared" si="8"/>
        <v>764872</v>
      </c>
      <c r="H47" s="12">
        <f t="shared" si="8"/>
        <v>1858356</v>
      </c>
      <c r="I47" s="12">
        <f t="shared" si="8"/>
        <v>21616</v>
      </c>
      <c r="J47" s="12">
        <f t="shared" si="8"/>
        <v>87134</v>
      </c>
      <c r="K47" s="12">
        <f t="shared" si="8"/>
        <v>28192</v>
      </c>
      <c r="L47" s="12">
        <f t="shared" si="8"/>
        <v>87134</v>
      </c>
      <c r="M47" s="20"/>
      <c r="N47" s="24"/>
    </row>
    <row r="48" spans="6:12" ht="15.75">
      <c r="F48" s="7"/>
      <c r="G48" s="7"/>
      <c r="H48" s="7"/>
      <c r="I48" s="17"/>
      <c r="J48" s="7"/>
      <c r="K48" s="7"/>
      <c r="L48" s="7"/>
    </row>
    <row r="49" spans="9:12" ht="15.75">
      <c r="I49" s="17"/>
      <c r="J49" s="7"/>
      <c r="K49" s="7"/>
      <c r="L49" s="7"/>
    </row>
    <row r="50" spans="9:12" ht="15.75">
      <c r="I50" s="17"/>
      <c r="J50" s="7"/>
      <c r="K50" s="7"/>
      <c r="L50" s="7"/>
    </row>
    <row r="51" spans="9:12" ht="15.75">
      <c r="I51" s="17"/>
      <c r="J51" s="7"/>
      <c r="K51" s="7"/>
      <c r="L51" s="7"/>
    </row>
    <row r="52" ht="15.75">
      <c r="I52" s="17"/>
    </row>
    <row r="53" ht="15.75">
      <c r="I53" s="17"/>
    </row>
    <row r="54" spans="6:8" ht="15.75">
      <c r="F54" s="7"/>
      <c r="G54" s="7"/>
      <c r="H54" s="7"/>
    </row>
  </sheetData>
  <sheetProtection/>
  <mergeCells count="2">
    <mergeCell ref="A2:L2"/>
    <mergeCell ref="A3:L3"/>
  </mergeCells>
  <conditionalFormatting sqref="H8:H45">
    <cfRule type="expression" priority="2" dxfId="5">
      <formula>$G8=$H8</formula>
    </cfRule>
  </conditionalFormatting>
  <conditionalFormatting sqref="L9:L17">
    <cfRule type="expression" priority="1" dxfId="5">
      <formula>$K9=$L9</formula>
    </cfRule>
  </conditionalFormatting>
  <printOptions gridLines="1" horizontalCentered="1"/>
  <pageMargins left="0.1968503937007874" right="0.15748031496062992" top="0.3937007874015748" bottom="0.31496062992125984" header="0.1968503937007874" footer="0.2362204724409449"/>
  <pageSetup fitToHeight="1" fitToWidth="1" horizontalDpi="300" verticalDpi="300" orientation="landscape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9"/>
  <sheetViews>
    <sheetView zoomScale="75" zoomScaleNormal="75" zoomScalePageLayoutView="0" workbookViewId="0" topLeftCell="A1">
      <selection activeCell="A2" sqref="A2:M2"/>
    </sheetView>
  </sheetViews>
  <sheetFormatPr defaultColWidth="9.00390625" defaultRowHeight="12.75"/>
  <cols>
    <col min="1" max="1" width="20.75390625" style="0" customWidth="1"/>
    <col min="2" max="2" width="14.375" style="0" customWidth="1"/>
    <col min="3" max="3" width="14.125" style="0" customWidth="1"/>
    <col min="4" max="4" width="10.875" style="0" customWidth="1"/>
    <col min="5" max="5" width="14.75390625" style="0" customWidth="1"/>
    <col min="6" max="6" width="18.75390625" style="0" customWidth="1"/>
    <col min="7" max="7" width="16.00390625" style="0" customWidth="1"/>
    <col min="8" max="9" width="14.875" style="0" customWidth="1"/>
    <col min="10" max="10" width="14.375" style="0" customWidth="1"/>
    <col min="11" max="11" width="17.25390625" style="0" customWidth="1"/>
    <col min="12" max="12" width="17.125" style="0" customWidth="1"/>
    <col min="13" max="13" width="17.75390625" style="0" customWidth="1"/>
    <col min="14" max="14" width="9.625" style="0" hidden="1" customWidth="1"/>
    <col min="15" max="15" width="12.375" style="0" hidden="1" customWidth="1"/>
  </cols>
  <sheetData>
    <row r="1" spans="1:16" ht="15.75">
      <c r="A1" s="184"/>
      <c r="B1" s="184"/>
      <c r="C1" s="184"/>
      <c r="D1" s="184"/>
      <c r="E1" s="184"/>
      <c r="F1" s="184"/>
      <c r="G1" s="184"/>
      <c r="H1" s="184"/>
      <c r="I1" s="184"/>
      <c r="J1" s="26"/>
      <c r="K1" s="26"/>
      <c r="L1" s="26"/>
      <c r="M1" s="185" t="s">
        <v>177</v>
      </c>
      <c r="N1" s="186">
        <v>0.7538667534446872</v>
      </c>
      <c r="O1" s="187">
        <v>0.06503382760391072</v>
      </c>
      <c r="P1" s="1"/>
    </row>
    <row r="2" spans="1:16" ht="15.75">
      <c r="A2" s="204" t="s">
        <v>178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188">
        <v>858356</v>
      </c>
      <c r="O2" s="187">
        <v>0.16</v>
      </c>
      <c r="P2" s="1"/>
    </row>
    <row r="3" spans="1:16" ht="15.75">
      <c r="A3" s="189">
        <f>IF(N2=ROUND(F49,2),"","Необходим пересчёт сумм! Нажмите на кнопку Расчёт!")</f>
      </c>
      <c r="B3" s="190"/>
      <c r="C3" s="190"/>
      <c r="D3" s="190"/>
      <c r="E3" s="190"/>
      <c r="F3" s="190"/>
      <c r="G3" s="190"/>
      <c r="H3" s="159"/>
      <c r="I3" s="159"/>
      <c r="J3" s="95"/>
      <c r="K3" s="95"/>
      <c r="L3" s="188"/>
      <c r="M3" s="13"/>
      <c r="N3" s="95"/>
      <c r="O3" s="1"/>
      <c r="P3" s="1"/>
    </row>
    <row r="4" spans="1:16" ht="15.75">
      <c r="A4" s="202" t="s">
        <v>44</v>
      </c>
      <c r="B4" s="202" t="s">
        <v>48</v>
      </c>
      <c r="C4" s="202" t="s">
        <v>151</v>
      </c>
      <c r="D4" s="202" t="s">
        <v>49</v>
      </c>
      <c r="E4" s="202" t="s">
        <v>179</v>
      </c>
      <c r="F4" s="200" t="str">
        <f>"Сумма дотации на выравнивание БО МР(ГО),
тыс. рублей
("&amp;ROUND(N1,4)&amp;"-[5])х"&amp;ROUND(E49,3)&amp;"х[3]х0,8"</f>
        <v>Сумма дотации на выравнивание БО МР(ГО),
тыс. рублей
(0,7539-[5])х7,821х[3]х0,8</v>
      </c>
      <c r="G4" s="200" t="s">
        <v>180</v>
      </c>
      <c r="H4" s="205" t="s">
        <v>181</v>
      </c>
      <c r="I4" s="206"/>
      <c r="J4" s="200" t="s">
        <v>182</v>
      </c>
      <c r="K4" s="200" t="s">
        <v>180</v>
      </c>
      <c r="L4" s="202" t="s">
        <v>183</v>
      </c>
      <c r="M4" s="202" t="s">
        <v>184</v>
      </c>
      <c r="N4" s="1"/>
      <c r="O4" s="1"/>
      <c r="P4" s="1"/>
    </row>
    <row r="5" spans="1:16" ht="63">
      <c r="A5" s="203"/>
      <c r="B5" s="203"/>
      <c r="C5" s="203"/>
      <c r="D5" s="203"/>
      <c r="E5" s="203"/>
      <c r="F5" s="201"/>
      <c r="G5" s="201"/>
      <c r="H5" s="3" t="s">
        <v>185</v>
      </c>
      <c r="I5" s="3" t="s">
        <v>186</v>
      </c>
      <c r="J5" s="201"/>
      <c r="K5" s="201"/>
      <c r="L5" s="203"/>
      <c r="M5" s="203"/>
      <c r="N5" s="1"/>
      <c r="O5" s="1"/>
      <c r="P5" s="1"/>
    </row>
    <row r="6" spans="1:16" ht="15.75">
      <c r="A6" s="4" t="s">
        <v>38</v>
      </c>
      <c r="B6" s="4" t="s">
        <v>39</v>
      </c>
      <c r="C6" s="4" t="s">
        <v>40</v>
      </c>
      <c r="D6" s="4" t="s">
        <v>41</v>
      </c>
      <c r="E6" s="4" t="s">
        <v>42</v>
      </c>
      <c r="F6" s="4" t="s">
        <v>47</v>
      </c>
      <c r="G6" s="4" t="s">
        <v>43</v>
      </c>
      <c r="H6" s="4" t="s">
        <v>187</v>
      </c>
      <c r="I6" s="4" t="s">
        <v>188</v>
      </c>
      <c r="J6" s="4" t="s">
        <v>53</v>
      </c>
      <c r="K6" s="4" t="s">
        <v>54</v>
      </c>
      <c r="L6" s="4" t="s">
        <v>189</v>
      </c>
      <c r="M6" s="4" t="s">
        <v>190</v>
      </c>
      <c r="N6" s="1"/>
      <c r="O6" s="1"/>
      <c r="P6" s="1"/>
    </row>
    <row r="7" spans="1:16" ht="15.75">
      <c r="A7" s="1" t="s">
        <v>191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.75">
      <c r="A8" s="1" t="s">
        <v>0</v>
      </c>
      <c r="B8" s="7">
        <f>'Налог.потенц.'!B8</f>
        <v>12258047.320730472</v>
      </c>
      <c r="C8" s="14">
        <v>1163440</v>
      </c>
      <c r="D8" s="15">
        <f>Дотации!D8</f>
        <v>0.8751495327096803</v>
      </c>
      <c r="E8" s="19">
        <f>B8/C8/(B$49/C$49)/D8</f>
        <v>1.5392690071147377</v>
      </c>
      <c r="F8" s="191">
        <f>IF($N$1&gt;E8,($N$1-E8)*(B$49/C$49)*C8*0.8,0)</f>
        <v>0</v>
      </c>
      <c r="G8" s="10"/>
      <c r="H8" s="8">
        <f>IF(ROUND(F8*0.8,0)&lt;G8,G8,ROUND(F8*0.8,0))</f>
        <v>0</v>
      </c>
      <c r="I8" s="8">
        <f>ROUND(F8*0.8+O$1,0)</f>
        <v>0</v>
      </c>
      <c r="J8" s="10"/>
      <c r="K8" s="10"/>
      <c r="L8" s="8"/>
      <c r="M8" s="8"/>
      <c r="N8" s="1"/>
      <c r="O8" s="7"/>
      <c r="P8" s="5"/>
    </row>
    <row r="9" spans="1:16" ht="15.75">
      <c r="A9" s="1" t="s">
        <v>1</v>
      </c>
      <c r="B9" s="7">
        <f>'Налог.потенц.'!B9</f>
        <v>4875767.435617257</v>
      </c>
      <c r="C9" s="14">
        <v>707408</v>
      </c>
      <c r="D9" s="15">
        <f>Дотации!D9</f>
        <v>0.96607444749542</v>
      </c>
      <c r="E9" s="19">
        <f aca="true" t="shared" si="0" ref="E9:E17">B9/C9/(B$49/C$49)/D9</f>
        <v>0.9121828612131271</v>
      </c>
      <c r="F9" s="191">
        <f aca="true" t="shared" si="1" ref="F9:F45">IF($N$1&gt;E9,($N$1-E9)*(B$49/C$49)*C9*0.8,0)</f>
        <v>0</v>
      </c>
      <c r="G9" s="10"/>
      <c r="H9" s="8">
        <f aca="true" t="shared" si="2" ref="H9:H17">IF(ROUND(F9*0.8,0)&lt;G9,G9,ROUND(F9*0.8,0))</f>
        <v>0</v>
      </c>
      <c r="I9" s="8">
        <f aca="true" t="shared" si="3" ref="I9:I45">ROUND(F9*0.8+O$1,0)</f>
        <v>0</v>
      </c>
      <c r="J9" s="10">
        <f>Дотации!$J9</f>
        <v>19433</v>
      </c>
      <c r="K9" s="10">
        <v>15616</v>
      </c>
      <c r="L9" s="8">
        <f>IF(ROUND(J9*0.8,0)&lt;K9,K9,ROUND(J9*0.8,0))</f>
        <v>15616</v>
      </c>
      <c r="M9" s="8">
        <f aca="true" t="shared" si="4" ref="M9:M17">ROUND(J9*0.8+O$2,0)</f>
        <v>15547</v>
      </c>
      <c r="N9" s="1"/>
      <c r="O9" s="7"/>
      <c r="P9" s="5"/>
    </row>
    <row r="10" spans="1:16" ht="15.75">
      <c r="A10" s="1" t="s">
        <v>2</v>
      </c>
      <c r="B10" s="7">
        <f>'Налог.потенц.'!B10</f>
        <v>1058273.4578121707</v>
      </c>
      <c r="C10" s="14">
        <v>172070</v>
      </c>
      <c r="D10" s="15">
        <f>Дотации!D10</f>
        <v>1.0519095897642345</v>
      </c>
      <c r="E10" s="19">
        <f t="shared" si="0"/>
        <v>0.7475389369030899</v>
      </c>
      <c r="F10" s="191">
        <f>IF($N$1&gt;E10,($N$1-E10)*(B$49/C$49)*C10*0.8,0)</f>
        <v>6812.861141762132</v>
      </c>
      <c r="G10" s="10"/>
      <c r="H10" s="8">
        <f t="shared" si="2"/>
        <v>5450</v>
      </c>
      <c r="I10" s="8">
        <f t="shared" si="3"/>
        <v>5450</v>
      </c>
      <c r="J10" s="10">
        <f>Дотации!$J10</f>
        <v>4727</v>
      </c>
      <c r="K10" s="10">
        <v>3825</v>
      </c>
      <c r="L10" s="8">
        <f aca="true" t="shared" si="5" ref="L10:L17">IF(ROUND(J10*0.8,0)&lt;K10,K10,ROUND(J10*0.8,0))</f>
        <v>3825</v>
      </c>
      <c r="M10" s="8">
        <f t="shared" si="4"/>
        <v>3782</v>
      </c>
      <c r="N10" s="1"/>
      <c r="O10" s="7"/>
      <c r="P10" s="5"/>
    </row>
    <row r="11" spans="1:16" ht="15.75">
      <c r="A11" s="1" t="s">
        <v>11</v>
      </c>
      <c r="B11" s="7">
        <f>'Налог.потенц.'!B11</f>
        <v>882819.8422647887</v>
      </c>
      <c r="C11" s="14">
        <v>104279</v>
      </c>
      <c r="D11" s="15">
        <f>Дотации!D11</f>
        <v>1.0567006174280216</v>
      </c>
      <c r="E11" s="19">
        <f t="shared" si="0"/>
        <v>1.024336751242888</v>
      </c>
      <c r="F11" s="191">
        <f t="shared" si="1"/>
        <v>0</v>
      </c>
      <c r="G11" s="10"/>
      <c r="H11" s="8">
        <f t="shared" si="2"/>
        <v>0</v>
      </c>
      <c r="I11" s="8">
        <f t="shared" si="3"/>
        <v>0</v>
      </c>
      <c r="J11" s="10">
        <f>Дотации!$J11</f>
        <v>2865</v>
      </c>
      <c r="K11" s="10">
        <v>2312</v>
      </c>
      <c r="L11" s="8">
        <f t="shared" si="5"/>
        <v>2312</v>
      </c>
      <c r="M11" s="8">
        <f t="shared" si="4"/>
        <v>2292</v>
      </c>
      <c r="N11" s="1"/>
      <c r="O11" s="7"/>
      <c r="P11" s="5"/>
    </row>
    <row r="12" spans="1:16" ht="15.75">
      <c r="A12" s="1" t="s">
        <v>3</v>
      </c>
      <c r="B12" s="7">
        <f>'Налог.потенц.'!B12</f>
        <v>344294.98605508555</v>
      </c>
      <c r="C12" s="14">
        <v>72778</v>
      </c>
      <c r="D12" s="15">
        <f>Дотации!D12</f>
        <v>1.0755519073827426</v>
      </c>
      <c r="E12" s="19">
        <f t="shared" si="0"/>
        <v>0.5623655321157388</v>
      </c>
      <c r="F12" s="191">
        <f>IF($N$1&gt;E12,($N$1-E12)*(B$49/C$49)*C12*0.8,0)</f>
        <v>87205.15611846869</v>
      </c>
      <c r="G12" s="10">
        <v>75913</v>
      </c>
      <c r="H12" s="8">
        <f>IF(ROUND(F12*0.8,0)&lt;G12,G12,ROUND(F12*0.8,0))</f>
        <v>75913</v>
      </c>
      <c r="I12" s="8">
        <f t="shared" si="3"/>
        <v>69764</v>
      </c>
      <c r="J12" s="10">
        <f>Дотации!$J12</f>
        <v>1999</v>
      </c>
      <c r="K12" s="10">
        <v>1604</v>
      </c>
      <c r="L12" s="8">
        <f t="shared" si="5"/>
        <v>1604</v>
      </c>
      <c r="M12" s="8">
        <f t="shared" si="4"/>
        <v>1599</v>
      </c>
      <c r="N12" s="1"/>
      <c r="O12" s="7"/>
      <c r="P12" s="5"/>
    </row>
    <row r="13" spans="1:16" ht="15.75">
      <c r="A13" s="1" t="s">
        <v>4</v>
      </c>
      <c r="B13" s="7">
        <f>'Налог.потенц.'!B13</f>
        <v>347489.9985529628</v>
      </c>
      <c r="C13" s="14">
        <v>47180</v>
      </c>
      <c r="D13" s="15">
        <f>Дотации!D13</f>
        <v>1.0790170512612307</v>
      </c>
      <c r="E13" s="19">
        <f t="shared" si="0"/>
        <v>0.8727212540450421</v>
      </c>
      <c r="F13" s="191">
        <f t="shared" si="1"/>
        <v>0</v>
      </c>
      <c r="G13" s="10">
        <v>0</v>
      </c>
      <c r="H13" s="8">
        <f t="shared" si="2"/>
        <v>0</v>
      </c>
      <c r="I13" s="8">
        <f t="shared" si="3"/>
        <v>0</v>
      </c>
      <c r="J13" s="10">
        <f>Дотации!$J13</f>
        <v>1296</v>
      </c>
      <c r="K13" s="10">
        <v>1045</v>
      </c>
      <c r="L13" s="8">
        <f t="shared" si="5"/>
        <v>1045</v>
      </c>
      <c r="M13" s="8">
        <f t="shared" si="4"/>
        <v>1037</v>
      </c>
      <c r="N13" s="1"/>
      <c r="O13" s="7"/>
      <c r="P13" s="5"/>
    </row>
    <row r="14" spans="1:16" ht="15.75">
      <c r="A14" s="1" t="s">
        <v>12</v>
      </c>
      <c r="B14" s="7">
        <f>'Налог.потенц.'!B14</f>
        <v>325915.5427531178</v>
      </c>
      <c r="C14" s="14">
        <v>57687</v>
      </c>
      <c r="D14" s="15">
        <f>Дотации!D14</f>
        <v>1.079884043051052</v>
      </c>
      <c r="E14" s="19">
        <f t="shared" si="0"/>
        <v>0.6689127623670393</v>
      </c>
      <c r="F14" s="191">
        <f t="shared" si="1"/>
        <v>30664.242436754455</v>
      </c>
      <c r="G14" s="10">
        <v>36135</v>
      </c>
      <c r="H14" s="8">
        <f t="shared" si="2"/>
        <v>36135</v>
      </c>
      <c r="I14" s="8">
        <f t="shared" si="3"/>
        <v>24531</v>
      </c>
      <c r="J14" s="10">
        <f>Дотации!$J14</f>
        <v>1585</v>
      </c>
      <c r="K14" s="10">
        <v>1292</v>
      </c>
      <c r="L14" s="8">
        <f t="shared" si="5"/>
        <v>1292</v>
      </c>
      <c r="M14" s="8">
        <f t="shared" si="4"/>
        <v>1268</v>
      </c>
      <c r="N14" s="1"/>
      <c r="O14" s="7"/>
      <c r="P14" s="5"/>
    </row>
    <row r="15" spans="1:16" ht="15.75">
      <c r="A15" s="1" t="s">
        <v>5</v>
      </c>
      <c r="B15" s="7">
        <f>'Налог.потенц.'!B15</f>
        <v>106830.70763543571</v>
      </c>
      <c r="C15" s="14">
        <v>26438</v>
      </c>
      <c r="D15" s="15">
        <f>Дотации!D15</f>
        <v>1.075696171926912</v>
      </c>
      <c r="E15" s="19">
        <f t="shared" si="0"/>
        <v>0.48028317347671895</v>
      </c>
      <c r="F15" s="191">
        <f t="shared" si="1"/>
        <v>45257.35051648077</v>
      </c>
      <c r="G15" s="10">
        <v>35451</v>
      </c>
      <c r="H15" s="8">
        <f t="shared" si="2"/>
        <v>36206</v>
      </c>
      <c r="I15" s="8">
        <f t="shared" si="3"/>
        <v>36206</v>
      </c>
      <c r="J15" s="10">
        <f>Дотации!$J15</f>
        <v>726</v>
      </c>
      <c r="K15" s="10">
        <v>582</v>
      </c>
      <c r="L15" s="8">
        <f>IF(ROUND(J15*0.8,0)&lt;K15,K15,ROUND(J15*0.8,0))</f>
        <v>582</v>
      </c>
      <c r="M15" s="8">
        <f t="shared" si="4"/>
        <v>581</v>
      </c>
      <c r="N15" s="1"/>
      <c r="O15" s="7"/>
      <c r="P15" s="5"/>
    </row>
    <row r="16" spans="1:16" ht="15.75">
      <c r="A16" s="1" t="s">
        <v>6</v>
      </c>
      <c r="B16" s="7">
        <f>'Налог.потенц.'!B16</f>
        <v>293300.06668899744</v>
      </c>
      <c r="C16" s="14">
        <v>58239</v>
      </c>
      <c r="D16" s="15">
        <f>Дотации!D16</f>
        <v>1.082687091672133</v>
      </c>
      <c r="E16" s="19">
        <f t="shared" si="0"/>
        <v>0.5947230641423602</v>
      </c>
      <c r="F16" s="191">
        <f t="shared" si="1"/>
        <v>57992.76693647445</v>
      </c>
      <c r="G16" s="10">
        <v>20744</v>
      </c>
      <c r="H16" s="8">
        <f t="shared" si="2"/>
        <v>46394</v>
      </c>
      <c r="I16" s="8">
        <f t="shared" si="3"/>
        <v>46394</v>
      </c>
      <c r="J16" s="10">
        <f>Дотации!$J16</f>
        <v>1600</v>
      </c>
      <c r="K16" s="10">
        <v>1272</v>
      </c>
      <c r="L16" s="8">
        <f>IF(ROUND(J16*0.8,0)&lt;K16,K16,ROUND(J16*0.8,0))</f>
        <v>1280</v>
      </c>
      <c r="M16" s="8">
        <f t="shared" si="4"/>
        <v>1280</v>
      </c>
      <c r="N16" s="1"/>
      <c r="O16" s="7"/>
      <c r="P16" s="5"/>
    </row>
    <row r="17" spans="1:16" ht="15.75">
      <c r="A17" s="1" t="s">
        <v>13</v>
      </c>
      <c r="B17" s="7">
        <f>'Налог.потенц.'!B17</f>
        <v>162766.84556126295</v>
      </c>
      <c r="C17" s="14">
        <v>29203</v>
      </c>
      <c r="D17" s="15">
        <f>Дотации!D17</f>
        <v>1.09020410768287</v>
      </c>
      <c r="E17" s="19">
        <f t="shared" si="0"/>
        <v>0.6536573549340828</v>
      </c>
      <c r="F17" s="191">
        <f t="shared" si="1"/>
        <v>18310.762219759068</v>
      </c>
      <c r="G17" s="10">
        <v>18092</v>
      </c>
      <c r="H17" s="8">
        <f t="shared" si="2"/>
        <v>18092</v>
      </c>
      <c r="I17" s="8">
        <f t="shared" si="3"/>
        <v>14649</v>
      </c>
      <c r="J17" s="10">
        <f>Дотации!$J17</f>
        <v>802</v>
      </c>
      <c r="K17" s="10">
        <v>644</v>
      </c>
      <c r="L17" s="8">
        <f t="shared" si="5"/>
        <v>644</v>
      </c>
      <c r="M17" s="8">
        <f t="shared" si="4"/>
        <v>642</v>
      </c>
      <c r="N17" s="1"/>
      <c r="O17" s="7"/>
      <c r="P17" s="5"/>
    </row>
    <row r="18" spans="1:16" ht="15.75">
      <c r="A18" s="1" t="s">
        <v>192</v>
      </c>
      <c r="B18" s="7"/>
      <c r="C18" s="147"/>
      <c r="D18" s="15"/>
      <c r="E18" s="19"/>
      <c r="F18" s="191"/>
      <c r="G18" s="10"/>
      <c r="H18" s="10"/>
      <c r="I18" s="8">
        <f t="shared" si="3"/>
        <v>0</v>
      </c>
      <c r="J18" s="10"/>
      <c r="K18" s="10"/>
      <c r="L18" s="20"/>
      <c r="M18" s="20"/>
      <c r="N18" s="1"/>
      <c r="O18" s="7"/>
      <c r="P18" s="5"/>
    </row>
    <row r="19" spans="1:16" ht="15.75">
      <c r="A19" s="1" t="s">
        <v>14</v>
      </c>
      <c r="B19" s="7">
        <f>'Налог.потенц.'!B19</f>
        <v>46500.13241290885</v>
      </c>
      <c r="C19" s="14">
        <v>11799</v>
      </c>
      <c r="D19" s="15">
        <f>Дотации!D19</f>
        <v>1.1214658562932764</v>
      </c>
      <c r="E19" s="19">
        <f>B19/C19/(B$49/C$49)/D19</f>
        <v>0.44930620932179133</v>
      </c>
      <c r="F19" s="191">
        <f t="shared" si="1"/>
        <v>22484.81610703795</v>
      </c>
      <c r="G19" s="10">
        <v>14631</v>
      </c>
      <c r="H19" s="8">
        <f aca="true" t="shared" si="6" ref="H19:H45">IF(ROUND(F19*0.8,0)&lt;G19,G19,ROUND(F19*0.8,0))</f>
        <v>17988</v>
      </c>
      <c r="I19" s="8">
        <f t="shared" si="3"/>
        <v>17988</v>
      </c>
      <c r="J19" s="10"/>
      <c r="K19" s="10"/>
      <c r="L19" s="8"/>
      <c r="M19" s="8"/>
      <c r="N19" s="1"/>
      <c r="O19" s="7"/>
      <c r="P19" s="5"/>
    </row>
    <row r="20" spans="1:16" ht="15.75">
      <c r="A20" s="1" t="s">
        <v>15</v>
      </c>
      <c r="B20" s="7">
        <f>'Налог.потенц.'!B20</f>
        <v>210687.08017537446</v>
      </c>
      <c r="C20" s="14">
        <v>39774</v>
      </c>
      <c r="D20" s="15">
        <f>Дотации!D20</f>
        <v>1.0969935907083217</v>
      </c>
      <c r="E20" s="19">
        <f aca="true" t="shared" si="7" ref="E20:E44">B20/C20/(B$49/C$49)/D20</f>
        <v>0.6173820986411468</v>
      </c>
      <c r="F20" s="191">
        <f t="shared" si="1"/>
        <v>33966.718674756696</v>
      </c>
      <c r="G20" s="10">
        <v>29755</v>
      </c>
      <c r="H20" s="8">
        <f t="shared" si="6"/>
        <v>29755</v>
      </c>
      <c r="I20" s="8">
        <f t="shared" si="3"/>
        <v>27173</v>
      </c>
      <c r="J20" s="10"/>
      <c r="K20" s="10"/>
      <c r="L20" s="8"/>
      <c r="M20" s="8"/>
      <c r="N20" s="1"/>
      <c r="O20" s="7"/>
      <c r="P20" s="5"/>
    </row>
    <row r="21" spans="1:16" ht="15.75">
      <c r="A21" s="1" t="s">
        <v>16</v>
      </c>
      <c r="B21" s="7">
        <f>'Налог.потенц.'!B21</f>
        <v>92384.20198179754</v>
      </c>
      <c r="C21" s="14">
        <v>14355</v>
      </c>
      <c r="D21" s="15">
        <f>Дотации!D21</f>
        <v>1.1119736993620952</v>
      </c>
      <c r="E21" s="19">
        <f t="shared" si="7"/>
        <v>0.7399791573695256</v>
      </c>
      <c r="F21" s="191">
        <f t="shared" si="1"/>
        <v>1247.385732878592</v>
      </c>
      <c r="G21" s="10">
        <v>6056</v>
      </c>
      <c r="H21" s="8">
        <f t="shared" si="6"/>
        <v>6056</v>
      </c>
      <c r="I21" s="8">
        <f t="shared" si="3"/>
        <v>998</v>
      </c>
      <c r="J21" s="10"/>
      <c r="K21" s="10"/>
      <c r="L21" s="8"/>
      <c r="M21" s="8"/>
      <c r="N21" s="1"/>
      <c r="O21" s="7"/>
      <c r="P21" s="5"/>
    </row>
    <row r="22" spans="1:16" ht="15.75">
      <c r="A22" s="1" t="s">
        <v>36</v>
      </c>
      <c r="B22" s="7">
        <f>'Налог.потенц.'!B22</f>
        <v>101838.20959287691</v>
      </c>
      <c r="C22" s="14">
        <v>18503</v>
      </c>
      <c r="D22" s="15">
        <f>Дотации!D22</f>
        <v>1.1086446996750081</v>
      </c>
      <c r="E22" s="19">
        <f t="shared" si="7"/>
        <v>0.6347397688933054</v>
      </c>
      <c r="F22" s="191">
        <f t="shared" si="1"/>
        <v>13791.858623841435</v>
      </c>
      <c r="G22" s="10">
        <v>8965</v>
      </c>
      <c r="H22" s="8">
        <f t="shared" si="6"/>
        <v>11033</v>
      </c>
      <c r="I22" s="8">
        <f t="shared" si="3"/>
        <v>11034</v>
      </c>
      <c r="J22" s="10"/>
      <c r="K22" s="10"/>
      <c r="L22" s="8"/>
      <c r="M22" s="8"/>
      <c r="N22" s="1"/>
      <c r="O22" s="7"/>
      <c r="P22" s="5"/>
    </row>
    <row r="23" spans="1:16" ht="15.75">
      <c r="A23" s="1" t="s">
        <v>37</v>
      </c>
      <c r="B23" s="7">
        <f>'Налог.потенц.'!B23</f>
        <v>96661.74400697503</v>
      </c>
      <c r="C23" s="14">
        <v>17499</v>
      </c>
      <c r="D23" s="15">
        <f>Дотации!D23</f>
        <v>1.1515466101245593</v>
      </c>
      <c r="E23" s="19">
        <f t="shared" si="7"/>
        <v>0.6133090342329313</v>
      </c>
      <c r="F23" s="191">
        <f t="shared" si="1"/>
        <v>15389.993333611346</v>
      </c>
      <c r="G23" s="10">
        <v>9746</v>
      </c>
      <c r="H23" s="8">
        <f t="shared" si="6"/>
        <v>12312</v>
      </c>
      <c r="I23" s="8">
        <f t="shared" si="3"/>
        <v>12312</v>
      </c>
      <c r="J23" s="10"/>
      <c r="K23" s="10"/>
      <c r="L23" s="8"/>
      <c r="M23" s="8"/>
      <c r="N23" s="1"/>
      <c r="O23" s="7"/>
      <c r="P23" s="5"/>
    </row>
    <row r="24" spans="1:16" ht="15.75">
      <c r="A24" s="1" t="s">
        <v>7</v>
      </c>
      <c r="B24" s="7">
        <f>'Налог.потенц.'!B24</f>
        <v>76761.02156307633</v>
      </c>
      <c r="C24" s="14">
        <v>23717</v>
      </c>
      <c r="D24" s="15">
        <f>Дотации!D24</f>
        <v>1.1099414375996326</v>
      </c>
      <c r="E24" s="19">
        <f t="shared" si="7"/>
        <v>0.372821041024758</v>
      </c>
      <c r="F24" s="191">
        <f t="shared" si="1"/>
        <v>56546.708715802844</v>
      </c>
      <c r="G24" s="10">
        <v>44929</v>
      </c>
      <c r="H24" s="8">
        <f t="shared" si="6"/>
        <v>45237</v>
      </c>
      <c r="I24" s="8">
        <f t="shared" si="3"/>
        <v>45237</v>
      </c>
      <c r="J24" s="10"/>
      <c r="K24" s="10"/>
      <c r="L24" s="8"/>
      <c r="M24" s="8"/>
      <c r="N24" s="1"/>
      <c r="O24" s="7"/>
      <c r="P24" s="5"/>
    </row>
    <row r="25" spans="1:16" ht="15.75">
      <c r="A25" s="1" t="s">
        <v>8</v>
      </c>
      <c r="B25" s="7">
        <f>'Налог.потенц.'!B25</f>
        <v>802609.0996333242</v>
      </c>
      <c r="C25" s="14">
        <v>99500</v>
      </c>
      <c r="D25" s="15">
        <f>Дотации!D25</f>
        <v>1.0818286611932526</v>
      </c>
      <c r="E25" s="19">
        <f t="shared" si="7"/>
        <v>0.9533272413712626</v>
      </c>
      <c r="F25" s="191">
        <f t="shared" si="1"/>
        <v>0</v>
      </c>
      <c r="G25" s="10">
        <v>0</v>
      </c>
      <c r="H25" s="8">
        <f t="shared" si="6"/>
        <v>0</v>
      </c>
      <c r="I25" s="8">
        <f t="shared" si="3"/>
        <v>0</v>
      </c>
      <c r="J25" s="10"/>
      <c r="K25" s="10"/>
      <c r="L25" s="8"/>
      <c r="M25" s="8"/>
      <c r="N25" s="1"/>
      <c r="O25" s="7"/>
      <c r="P25" s="5"/>
    </row>
    <row r="26" spans="1:16" ht="15.75">
      <c r="A26" s="1" t="s">
        <v>9</v>
      </c>
      <c r="B26" s="7">
        <f>'Налог.потенц.'!B26</f>
        <v>40564.97239994895</v>
      </c>
      <c r="C26" s="14">
        <v>9445</v>
      </c>
      <c r="D26" s="15">
        <f>Дотации!D26</f>
        <v>1.1110087185954507</v>
      </c>
      <c r="E26" s="19">
        <f t="shared" si="7"/>
        <v>0.49425519560860903</v>
      </c>
      <c r="F26" s="191">
        <f t="shared" si="1"/>
        <v>15342.512460584243</v>
      </c>
      <c r="G26" s="10">
        <v>14232</v>
      </c>
      <c r="H26" s="8">
        <f t="shared" si="6"/>
        <v>14232</v>
      </c>
      <c r="I26" s="8">
        <f t="shared" si="3"/>
        <v>12274</v>
      </c>
      <c r="J26" s="10"/>
      <c r="K26" s="10"/>
      <c r="L26" s="8"/>
      <c r="M26" s="8"/>
      <c r="N26" s="1"/>
      <c r="O26" s="7"/>
      <c r="P26" s="5"/>
    </row>
    <row r="27" spans="1:16" ht="15.75">
      <c r="A27" s="1" t="s">
        <v>17</v>
      </c>
      <c r="B27" s="7">
        <f>'Налог.потенц.'!B27</f>
        <v>64549.63901652665</v>
      </c>
      <c r="C27" s="14">
        <v>12363</v>
      </c>
      <c r="D27" s="15">
        <f>Дотации!D27</f>
        <v>1.1291585536210171</v>
      </c>
      <c r="E27" s="19">
        <f t="shared" si="7"/>
        <v>0.5912001120502917</v>
      </c>
      <c r="F27" s="191">
        <f t="shared" si="1"/>
        <v>12583.251249493334</v>
      </c>
      <c r="G27" s="10">
        <v>10551</v>
      </c>
      <c r="H27" s="8">
        <f t="shared" si="6"/>
        <v>10551</v>
      </c>
      <c r="I27" s="8">
        <f t="shared" si="3"/>
        <v>10067</v>
      </c>
      <c r="J27" s="10"/>
      <c r="K27" s="10"/>
      <c r="L27" s="8"/>
      <c r="M27" s="8"/>
      <c r="N27" s="1"/>
      <c r="O27" s="7"/>
      <c r="P27" s="5"/>
    </row>
    <row r="28" spans="1:16" ht="15.75">
      <c r="A28" s="13" t="s">
        <v>18</v>
      </c>
      <c r="B28" s="7">
        <f>'Налог.потенц.'!B28</f>
        <v>173540.1749458692</v>
      </c>
      <c r="C28" s="14">
        <v>32552</v>
      </c>
      <c r="D28" s="15">
        <f>Дотации!D28</f>
        <v>1.0897118836752357</v>
      </c>
      <c r="E28" s="19">
        <f t="shared" si="7"/>
        <v>0.6255040915397542</v>
      </c>
      <c r="F28" s="191">
        <f t="shared" si="1"/>
        <v>26144.89431773684</v>
      </c>
      <c r="G28" s="10">
        <v>10870</v>
      </c>
      <c r="H28" s="8">
        <f t="shared" si="6"/>
        <v>20916</v>
      </c>
      <c r="I28" s="8">
        <f t="shared" si="3"/>
        <v>20916</v>
      </c>
      <c r="J28" s="10"/>
      <c r="K28" s="10"/>
      <c r="L28" s="8"/>
      <c r="M28" s="8"/>
      <c r="N28" s="1"/>
      <c r="O28" s="7"/>
      <c r="P28" s="5"/>
    </row>
    <row r="29" spans="1:16" ht="15.75">
      <c r="A29" s="1" t="s">
        <v>19</v>
      </c>
      <c r="B29" s="7">
        <f>'Налог.потенц.'!B29</f>
        <v>226067.08412755418</v>
      </c>
      <c r="C29" s="14">
        <v>44266</v>
      </c>
      <c r="D29" s="15">
        <f>Дотации!D29</f>
        <v>1.1130624121739967</v>
      </c>
      <c r="E29" s="19">
        <f t="shared" si="7"/>
        <v>0.5866337213671285</v>
      </c>
      <c r="F29" s="191">
        <f t="shared" si="1"/>
        <v>46319.39122509562</v>
      </c>
      <c r="G29" s="10">
        <v>40964</v>
      </c>
      <c r="H29" s="8">
        <f t="shared" si="6"/>
        <v>40964</v>
      </c>
      <c r="I29" s="8">
        <f t="shared" si="3"/>
        <v>37056</v>
      </c>
      <c r="J29" s="10"/>
      <c r="K29" s="10"/>
      <c r="L29" s="8"/>
      <c r="M29" s="8"/>
      <c r="N29" s="13"/>
      <c r="O29" s="7"/>
      <c r="P29" s="5"/>
    </row>
    <row r="30" spans="1:16" ht="15.75">
      <c r="A30" s="1" t="s">
        <v>20</v>
      </c>
      <c r="B30" s="7">
        <f>'Налог.потенц.'!B30</f>
        <v>61586.03587056046</v>
      </c>
      <c r="C30" s="14">
        <v>14452</v>
      </c>
      <c r="D30" s="15">
        <f>Дотации!D30</f>
        <v>1.0961900544807293</v>
      </c>
      <c r="E30" s="19">
        <f t="shared" si="7"/>
        <v>0.497036094408621</v>
      </c>
      <c r="F30" s="191">
        <f t="shared" si="1"/>
        <v>23224.4436049644</v>
      </c>
      <c r="G30" s="10">
        <v>18930</v>
      </c>
      <c r="H30" s="8">
        <f t="shared" si="6"/>
        <v>18930</v>
      </c>
      <c r="I30" s="8">
        <f t="shared" si="3"/>
        <v>18580</v>
      </c>
      <c r="J30" s="10"/>
      <c r="K30" s="10"/>
      <c r="L30" s="8"/>
      <c r="M30" s="8"/>
      <c r="N30" s="1"/>
      <c r="O30" s="7"/>
      <c r="P30" s="5"/>
    </row>
    <row r="31" spans="1:16" ht="15.75">
      <c r="A31" s="1" t="s">
        <v>21</v>
      </c>
      <c r="B31" s="7">
        <f>'Налог.потенц.'!B31</f>
        <v>129025.59981562235</v>
      </c>
      <c r="C31" s="14">
        <v>22081</v>
      </c>
      <c r="D31" s="15">
        <f>Дотации!D31</f>
        <v>1.1083889073387256</v>
      </c>
      <c r="E31" s="19">
        <f t="shared" si="7"/>
        <v>0.6740381314896431</v>
      </c>
      <c r="F31" s="191">
        <f t="shared" si="1"/>
        <v>11029.297953760819</v>
      </c>
      <c r="G31" s="10">
        <v>17400</v>
      </c>
      <c r="H31" s="8">
        <f t="shared" si="6"/>
        <v>17400</v>
      </c>
      <c r="I31" s="8">
        <f t="shared" si="3"/>
        <v>8824</v>
      </c>
      <c r="J31" s="10"/>
      <c r="K31" s="10"/>
      <c r="L31" s="8"/>
      <c r="M31" s="8"/>
      <c r="N31" s="1"/>
      <c r="O31" s="7"/>
      <c r="P31" s="5"/>
    </row>
    <row r="32" spans="1:16" ht="15.75">
      <c r="A32" s="1" t="s">
        <v>22</v>
      </c>
      <c r="B32" s="7">
        <f>'Налог.потенц.'!B32</f>
        <v>94364.41337461586</v>
      </c>
      <c r="C32" s="14">
        <v>17052</v>
      </c>
      <c r="D32" s="15">
        <f>Дотации!D32</f>
        <v>1.126864076718255</v>
      </c>
      <c r="E32" s="19">
        <f t="shared" si="7"/>
        <v>0.6278861074500441</v>
      </c>
      <c r="F32" s="191">
        <f t="shared" si="1"/>
        <v>13441.559354676301</v>
      </c>
      <c r="G32" s="10">
        <v>12638</v>
      </c>
      <c r="H32" s="8">
        <f t="shared" si="6"/>
        <v>12638</v>
      </c>
      <c r="I32" s="8">
        <f t="shared" si="3"/>
        <v>10753</v>
      </c>
      <c r="J32" s="10"/>
      <c r="K32" s="10"/>
      <c r="L32" s="8"/>
      <c r="M32" s="8"/>
      <c r="N32" s="1"/>
      <c r="O32" s="7"/>
      <c r="P32" s="5"/>
    </row>
    <row r="33" spans="1:16" ht="15.75">
      <c r="A33" s="1" t="s">
        <v>23</v>
      </c>
      <c r="B33" s="7">
        <f>'Налог.потенц.'!B33</f>
        <v>371250.741354994</v>
      </c>
      <c r="C33" s="14">
        <v>57226</v>
      </c>
      <c r="D33" s="15">
        <f>Дотации!D33</f>
        <v>1.1041052649419385</v>
      </c>
      <c r="E33" s="19">
        <f t="shared" si="7"/>
        <v>0.7512473378552406</v>
      </c>
      <c r="F33" s="191">
        <f t="shared" si="1"/>
        <v>937.9254009278741</v>
      </c>
      <c r="G33" s="10">
        <v>10379</v>
      </c>
      <c r="H33" s="8">
        <f t="shared" si="6"/>
        <v>10379</v>
      </c>
      <c r="I33" s="8">
        <f t="shared" si="3"/>
        <v>750</v>
      </c>
      <c r="J33" s="10"/>
      <c r="K33" s="10"/>
      <c r="L33" s="8"/>
      <c r="M33" s="8"/>
      <c r="N33" s="1"/>
      <c r="O33" s="7"/>
      <c r="P33" s="5"/>
    </row>
    <row r="34" spans="1:16" ht="15.75">
      <c r="A34" s="1" t="s">
        <v>24</v>
      </c>
      <c r="B34" s="7">
        <f>'Налог.потенц.'!B34</f>
        <v>38628.781513338654</v>
      </c>
      <c r="C34" s="14">
        <v>10638</v>
      </c>
      <c r="D34" s="15">
        <f>Дотации!D34</f>
        <v>1.1164488571529505</v>
      </c>
      <c r="E34" s="19">
        <f t="shared" si="7"/>
        <v>0.4158451852949113</v>
      </c>
      <c r="F34" s="191">
        <f t="shared" si="1"/>
        <v>22499.605186739485</v>
      </c>
      <c r="G34" s="10">
        <v>18931</v>
      </c>
      <c r="H34" s="8">
        <f t="shared" si="6"/>
        <v>18931</v>
      </c>
      <c r="I34" s="8">
        <f t="shared" si="3"/>
        <v>18000</v>
      </c>
      <c r="J34" s="10"/>
      <c r="K34" s="10"/>
      <c r="L34" s="8"/>
      <c r="M34" s="8"/>
      <c r="N34" s="1"/>
      <c r="O34" s="7"/>
      <c r="P34" s="5"/>
    </row>
    <row r="35" spans="1:16" ht="15.75">
      <c r="A35" s="1" t="s">
        <v>25</v>
      </c>
      <c r="B35" s="7">
        <f>'Налог.потенц.'!B35</f>
        <v>182299.4108167258</v>
      </c>
      <c r="C35" s="14">
        <v>33138</v>
      </c>
      <c r="D35" s="15">
        <f>Дотации!D35</f>
        <v>1.0925920425838207</v>
      </c>
      <c r="E35" s="19">
        <f t="shared" si="7"/>
        <v>0.643754719615214</v>
      </c>
      <c r="F35" s="191">
        <f t="shared" si="1"/>
        <v>22831.34923322106</v>
      </c>
      <c r="G35" s="10">
        <v>20900</v>
      </c>
      <c r="H35" s="8">
        <f t="shared" si="6"/>
        <v>20900</v>
      </c>
      <c r="I35" s="8">
        <f t="shared" si="3"/>
        <v>18265</v>
      </c>
      <c r="J35" s="10"/>
      <c r="K35" s="10"/>
      <c r="L35" s="8"/>
      <c r="M35" s="8"/>
      <c r="N35" s="1"/>
      <c r="O35" s="7"/>
      <c r="P35" s="5"/>
    </row>
    <row r="36" spans="1:16" ht="15.75">
      <c r="A36" s="1" t="s">
        <v>26</v>
      </c>
      <c r="B36" s="7">
        <f>'Налог.потенц.'!B36</f>
        <v>89754.67742130383</v>
      </c>
      <c r="C36" s="14">
        <v>16575</v>
      </c>
      <c r="D36" s="15">
        <f>Дотации!D36</f>
        <v>1.1042342255698756</v>
      </c>
      <c r="E36" s="19">
        <f t="shared" si="7"/>
        <v>0.6269917656460197</v>
      </c>
      <c r="F36" s="191">
        <f t="shared" si="1"/>
        <v>13158.308058374632</v>
      </c>
      <c r="G36" s="10">
        <v>6137</v>
      </c>
      <c r="H36" s="8">
        <f t="shared" si="6"/>
        <v>10527</v>
      </c>
      <c r="I36" s="8">
        <f t="shared" si="3"/>
        <v>10527</v>
      </c>
      <c r="J36" s="10"/>
      <c r="K36" s="10"/>
      <c r="L36" s="8"/>
      <c r="M36" s="8"/>
      <c r="N36" s="1"/>
      <c r="O36" s="7"/>
      <c r="P36" s="5"/>
    </row>
    <row r="37" spans="1:16" ht="15.75">
      <c r="A37" s="1" t="s">
        <v>27</v>
      </c>
      <c r="B37" s="7">
        <f>'Налог.потенц.'!B37</f>
        <v>89028.80274036538</v>
      </c>
      <c r="C37" s="14">
        <v>27317</v>
      </c>
      <c r="D37" s="15">
        <f>Дотации!D37</f>
        <v>1.1051345115058955</v>
      </c>
      <c r="E37" s="19">
        <f t="shared" si="7"/>
        <v>0.3770525452205533</v>
      </c>
      <c r="F37" s="191">
        <f t="shared" si="1"/>
        <v>64406.65907441848</v>
      </c>
      <c r="G37" s="10">
        <v>50136</v>
      </c>
      <c r="H37" s="8">
        <f t="shared" si="6"/>
        <v>51525</v>
      </c>
      <c r="I37" s="8">
        <f t="shared" si="3"/>
        <v>51525</v>
      </c>
      <c r="J37" s="10"/>
      <c r="K37" s="10"/>
      <c r="L37" s="8"/>
      <c r="M37" s="8"/>
      <c r="N37" s="1"/>
      <c r="O37" s="7"/>
      <c r="P37" s="5"/>
    </row>
    <row r="38" spans="1:16" ht="15.75">
      <c r="A38" s="1" t="s">
        <v>28</v>
      </c>
      <c r="B38" s="7">
        <f>'Налог.потенц.'!B38</f>
        <v>88767.19265868764</v>
      </c>
      <c r="C38" s="14">
        <v>23321</v>
      </c>
      <c r="D38" s="15">
        <f>Дотации!D38</f>
        <v>1.1130136296143804</v>
      </c>
      <c r="E38" s="19">
        <f t="shared" si="7"/>
        <v>0.43724446588292937</v>
      </c>
      <c r="F38" s="191">
        <f t="shared" si="1"/>
        <v>46201.8270901765</v>
      </c>
      <c r="G38" s="10">
        <v>28565</v>
      </c>
      <c r="H38" s="8">
        <f t="shared" si="6"/>
        <v>36961</v>
      </c>
      <c r="I38" s="8">
        <f t="shared" si="3"/>
        <v>36962</v>
      </c>
      <c r="J38" s="10"/>
      <c r="K38" s="10"/>
      <c r="L38" s="8"/>
      <c r="M38" s="8"/>
      <c r="N38" s="1"/>
      <c r="O38" s="7"/>
      <c r="P38" s="5"/>
    </row>
    <row r="39" spans="1:16" ht="15.75">
      <c r="A39" s="1" t="s">
        <v>29</v>
      </c>
      <c r="B39" s="7">
        <f>'Налог.потенц.'!B39</f>
        <v>331469.6387083214</v>
      </c>
      <c r="C39" s="14">
        <v>45193</v>
      </c>
      <c r="D39" s="15">
        <f>Дотации!D39</f>
        <v>1.10887569938966</v>
      </c>
      <c r="E39" s="19">
        <f t="shared" si="7"/>
        <v>0.8456861243894912</v>
      </c>
      <c r="F39" s="191">
        <f t="shared" si="1"/>
        <v>0</v>
      </c>
      <c r="G39" s="10">
        <v>0</v>
      </c>
      <c r="H39" s="8">
        <f t="shared" si="6"/>
        <v>0</v>
      </c>
      <c r="I39" s="8">
        <f t="shared" si="3"/>
        <v>0</v>
      </c>
      <c r="J39" s="10"/>
      <c r="K39" s="10"/>
      <c r="L39" s="8"/>
      <c r="M39" s="8"/>
      <c r="N39" s="1"/>
      <c r="O39" s="7"/>
      <c r="P39" s="5"/>
    </row>
    <row r="40" spans="1:16" ht="15.75">
      <c r="A40" s="1" t="s">
        <v>30</v>
      </c>
      <c r="B40" s="7">
        <f>'Налог.потенц.'!B40</f>
        <v>534287.2103310472</v>
      </c>
      <c r="C40" s="14">
        <v>73794</v>
      </c>
      <c r="D40" s="15">
        <f>Дотации!D40</f>
        <v>1.114212286284343</v>
      </c>
      <c r="E40" s="19">
        <f t="shared" si="7"/>
        <v>0.8308168023903924</v>
      </c>
      <c r="F40" s="191">
        <f t="shared" si="1"/>
        <v>0</v>
      </c>
      <c r="G40" s="10">
        <v>0</v>
      </c>
      <c r="H40" s="8">
        <f t="shared" si="6"/>
        <v>0</v>
      </c>
      <c r="I40" s="8">
        <f t="shared" si="3"/>
        <v>0</v>
      </c>
      <c r="J40" s="10"/>
      <c r="K40" s="10"/>
      <c r="L40" s="8"/>
      <c r="M40" s="8"/>
      <c r="N40" s="1"/>
      <c r="O40" s="7"/>
      <c r="P40" s="5"/>
    </row>
    <row r="41" spans="1:16" ht="15.75">
      <c r="A41" s="1" t="s">
        <v>31</v>
      </c>
      <c r="B41" s="7">
        <f>'Налог.потенц.'!B41</f>
        <v>110619.14439998295</v>
      </c>
      <c r="C41" s="14">
        <v>24604</v>
      </c>
      <c r="D41" s="15">
        <f>Дотации!D41</f>
        <v>1.1080948234528771</v>
      </c>
      <c r="E41" s="19">
        <f t="shared" si="7"/>
        <v>0.5187607846176875</v>
      </c>
      <c r="F41" s="191">
        <f t="shared" si="1"/>
        <v>36194.27423324669</v>
      </c>
      <c r="G41" s="10">
        <v>30299</v>
      </c>
      <c r="H41" s="8">
        <f t="shared" si="6"/>
        <v>30299</v>
      </c>
      <c r="I41" s="8">
        <f t="shared" si="3"/>
        <v>28955</v>
      </c>
      <c r="J41" s="10"/>
      <c r="K41" s="10"/>
      <c r="L41" s="8"/>
      <c r="M41" s="8"/>
      <c r="N41" s="1"/>
      <c r="O41" s="7"/>
      <c r="P41" s="5"/>
    </row>
    <row r="42" spans="1:16" ht="15.75">
      <c r="A42" s="1" t="s">
        <v>32</v>
      </c>
      <c r="B42" s="7">
        <f>'Налог.потенц.'!B42</f>
        <v>63524.74889807717</v>
      </c>
      <c r="C42" s="14">
        <v>16165</v>
      </c>
      <c r="D42" s="15">
        <f>Дотации!D42</f>
        <v>1.109819563845057</v>
      </c>
      <c r="E42" s="19">
        <f t="shared" si="7"/>
        <v>0.4527248772297641</v>
      </c>
      <c r="F42" s="191">
        <f t="shared" si="1"/>
        <v>30459.120568507416</v>
      </c>
      <c r="G42" s="10">
        <v>23001</v>
      </c>
      <c r="H42" s="8">
        <f t="shared" si="6"/>
        <v>24367</v>
      </c>
      <c r="I42" s="8">
        <f t="shared" si="3"/>
        <v>24367</v>
      </c>
      <c r="J42" s="10"/>
      <c r="K42" s="10"/>
      <c r="L42" s="8"/>
      <c r="M42" s="8"/>
      <c r="N42" s="1"/>
      <c r="O42" s="7"/>
      <c r="P42" s="5"/>
    </row>
    <row r="43" spans="1:16" ht="15.75">
      <c r="A43" s="1" t="s">
        <v>33</v>
      </c>
      <c r="B43" s="7">
        <f>'Налог.потенц.'!B43</f>
        <v>61181.2851655067</v>
      </c>
      <c r="C43" s="14">
        <v>14755</v>
      </c>
      <c r="D43" s="15">
        <f>Дотации!D43</f>
        <v>1.1009727809993792</v>
      </c>
      <c r="E43" s="19">
        <f t="shared" si="7"/>
        <v>0.4815288222745703</v>
      </c>
      <c r="F43" s="191">
        <f t="shared" si="1"/>
        <v>25143.043515532758</v>
      </c>
      <c r="G43" s="10">
        <v>22547</v>
      </c>
      <c r="H43" s="8">
        <f t="shared" si="6"/>
        <v>22547</v>
      </c>
      <c r="I43" s="8">
        <f t="shared" si="3"/>
        <v>20114</v>
      </c>
      <c r="J43" s="10"/>
      <c r="K43" s="10"/>
      <c r="L43" s="8"/>
      <c r="M43" s="8"/>
      <c r="N43" s="1"/>
      <c r="O43" s="5"/>
      <c r="P43" s="5"/>
    </row>
    <row r="44" spans="1:16" ht="15.75">
      <c r="A44" s="1" t="s">
        <v>34</v>
      </c>
      <c r="B44" s="7">
        <f>'Налог.потенц.'!B44</f>
        <v>68542.988292119</v>
      </c>
      <c r="C44" s="14">
        <v>15278</v>
      </c>
      <c r="D44" s="15">
        <f>Дотации!D44</f>
        <v>1.0992792355639245</v>
      </c>
      <c r="E44" s="19">
        <f t="shared" si="7"/>
        <v>0.5218047066676249</v>
      </c>
      <c r="F44" s="191">
        <f t="shared" si="1"/>
        <v>22184.06470326109</v>
      </c>
      <c r="G44" s="10">
        <v>17474</v>
      </c>
      <c r="H44" s="8">
        <f t="shared" si="6"/>
        <v>17747</v>
      </c>
      <c r="I44" s="8">
        <f t="shared" si="3"/>
        <v>17747</v>
      </c>
      <c r="J44" s="10"/>
      <c r="K44" s="10"/>
      <c r="L44" s="8"/>
      <c r="M44" s="8"/>
      <c r="N44" s="1"/>
      <c r="O44" s="5"/>
      <c r="P44" s="5"/>
    </row>
    <row r="45" spans="1:16" ht="15.75">
      <c r="A45" s="1" t="s">
        <v>10</v>
      </c>
      <c r="B45" s="7">
        <f>'Налог.потенц.'!B45</f>
        <v>75520.98413304109</v>
      </c>
      <c r="C45" s="14">
        <v>19430</v>
      </c>
      <c r="D45" s="15">
        <f>Дотации!D45</f>
        <v>1.0971446983625</v>
      </c>
      <c r="E45" s="19">
        <f>B45/C45/(B$49/C$49)/D45</f>
        <v>0.4529501617571875</v>
      </c>
      <c r="F45" s="191">
        <f t="shared" si="1"/>
        <v>36583.852211653844</v>
      </c>
      <c r="G45" s="10">
        <v>32001</v>
      </c>
      <c r="H45" s="8">
        <f t="shared" si="6"/>
        <v>32001</v>
      </c>
      <c r="I45" s="8">
        <f t="shared" si="3"/>
        <v>29267</v>
      </c>
      <c r="J45" s="10"/>
      <c r="K45" s="10"/>
      <c r="L45" s="8"/>
      <c r="M45" s="8"/>
      <c r="N45" s="1"/>
      <c r="O45" s="5"/>
      <c r="P45" s="5"/>
    </row>
    <row r="46" spans="1:16" ht="15.75">
      <c r="A46" s="1"/>
      <c r="B46" s="7"/>
      <c r="C46" s="14"/>
      <c r="D46" s="15"/>
      <c r="E46" s="19"/>
      <c r="F46" s="10"/>
      <c r="G46" s="10"/>
      <c r="H46" s="10"/>
      <c r="I46" s="10"/>
      <c r="J46" s="10"/>
      <c r="K46" s="10"/>
      <c r="L46" s="10"/>
      <c r="M46" s="10"/>
      <c r="N46" s="1"/>
      <c r="O46" s="5"/>
      <c r="P46" s="5"/>
    </row>
    <row r="47" spans="1:16" ht="15.75">
      <c r="A47" s="192" t="s">
        <v>193</v>
      </c>
      <c r="B47" s="193"/>
      <c r="C47" s="194"/>
      <c r="D47" s="195"/>
      <c r="E47" s="196"/>
      <c r="F47" s="197"/>
      <c r="G47" s="197"/>
      <c r="H47" s="197">
        <f>F49-SUM(H8:H45)</f>
        <v>105969.99999999988</v>
      </c>
      <c r="I47" s="197">
        <f>F49-SUM(I8:I45)</f>
        <v>171670.99999999988</v>
      </c>
      <c r="J47" s="197"/>
      <c r="K47" s="197"/>
      <c r="L47" s="197">
        <f>ROUNDUP(SUM(L9:L17)/4,0)</f>
        <v>7050</v>
      </c>
      <c r="M47" s="197">
        <f>ROUNDUP(SUM(M9:M17)/4,0)</f>
        <v>7007</v>
      </c>
      <c r="N47" s="1"/>
      <c r="O47" s="5"/>
      <c r="P47" s="5"/>
    </row>
    <row r="48" spans="1:16" ht="15.75">
      <c r="A48" s="1"/>
      <c r="B48" s="1"/>
      <c r="C48" s="9"/>
      <c r="D48" s="5"/>
      <c r="E48" s="6"/>
      <c r="F48" s="6"/>
      <c r="G48" s="6"/>
      <c r="H48" s="1"/>
      <c r="I48" s="1"/>
      <c r="J48" s="1"/>
      <c r="K48" s="1"/>
      <c r="L48" s="16"/>
      <c r="M48" s="16"/>
      <c r="N48" s="1"/>
      <c r="O48" s="5"/>
      <c r="P48" s="5"/>
    </row>
    <row r="49" spans="1:16" ht="15.75">
      <c r="A49" s="11" t="s">
        <v>35</v>
      </c>
      <c r="B49" s="12">
        <f>SUM(B8:B48)</f>
        <v>24977521.219022103</v>
      </c>
      <c r="C49" s="12">
        <f>SUM(C8:C45)</f>
        <v>3193514</v>
      </c>
      <c r="D49" s="12"/>
      <c r="E49" s="23">
        <f>B49/C49</f>
        <v>7.821328235611963</v>
      </c>
      <c r="F49" s="12">
        <f>SUM(F8:F45)</f>
        <v>858355.9999999999</v>
      </c>
      <c r="G49" s="12">
        <f>SUM(G8:G45)</f>
        <v>686372</v>
      </c>
      <c r="H49" s="12">
        <f>SUM(H8:H47)</f>
        <v>858355.9999999999</v>
      </c>
      <c r="I49" s="12">
        <f>SUM(I8:I47)</f>
        <v>858355.9999999999</v>
      </c>
      <c r="J49" s="12">
        <f>SUM(J8:J45)</f>
        <v>35033</v>
      </c>
      <c r="K49" s="12">
        <f>SUM(K8:K45)</f>
        <v>28192</v>
      </c>
      <c r="L49" s="12">
        <f>SUM(L8:L47)</f>
        <v>35250</v>
      </c>
      <c r="M49" s="12">
        <f>SUM(M8:M47)</f>
        <v>35035</v>
      </c>
      <c r="N49" s="1"/>
      <c r="O49" s="1"/>
      <c r="P49" s="1"/>
    </row>
  </sheetData>
  <sheetProtection/>
  <mergeCells count="13">
    <mergeCell ref="G4:G5"/>
    <mergeCell ref="H4:I4"/>
    <mergeCell ref="J4:J5"/>
    <mergeCell ref="K4:K5"/>
    <mergeCell ref="L4:L5"/>
    <mergeCell ref="M4:M5"/>
    <mergeCell ref="A2:M2"/>
    <mergeCell ref="A4:A5"/>
    <mergeCell ref="B4:B5"/>
    <mergeCell ref="C4:C5"/>
    <mergeCell ref="D4:D5"/>
    <mergeCell ref="E4:E5"/>
    <mergeCell ref="F4:F5"/>
  </mergeCells>
  <conditionalFormatting sqref="H8:H47">
    <cfRule type="expression" priority="3" dxfId="5">
      <formula>$G8=$H8</formula>
    </cfRule>
  </conditionalFormatting>
  <conditionalFormatting sqref="L9:L17">
    <cfRule type="expression" priority="2" dxfId="5">
      <formula>$K9=$L9</formula>
    </cfRule>
  </conditionalFormatting>
  <conditionalFormatting sqref="I47">
    <cfRule type="expression" priority="1" dxfId="5">
      <formula>$G47=$H47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rgb="FF003300"/>
    <pageSetUpPr fitToPage="1"/>
  </sheetPr>
  <dimension ref="A1:O55"/>
  <sheetViews>
    <sheetView zoomScale="75" zoomScaleNormal="75" zoomScalePageLayoutView="0" workbookViewId="0" topLeftCell="A1">
      <selection activeCell="A2" sqref="A2:I2"/>
    </sheetView>
  </sheetViews>
  <sheetFormatPr defaultColWidth="9.00390625" defaultRowHeight="12.75"/>
  <cols>
    <col min="1" max="1" width="25.625" style="31" customWidth="1"/>
    <col min="2" max="2" width="16.375" style="31" customWidth="1"/>
    <col min="3" max="3" width="20.00390625" style="31" customWidth="1"/>
    <col min="4" max="4" width="21.625" style="31" customWidth="1"/>
    <col min="5" max="5" width="15.00390625" style="31" customWidth="1"/>
    <col min="6" max="6" width="13.125" style="31" customWidth="1"/>
    <col min="7" max="7" width="25.25390625" style="31" customWidth="1"/>
    <col min="8" max="8" width="21.625" style="31" customWidth="1"/>
    <col min="9" max="9" width="22.00390625" style="31" customWidth="1"/>
    <col min="10" max="10" width="25.75390625" style="31" customWidth="1"/>
    <col min="11" max="11" width="16.25390625" style="31" bestFit="1" customWidth="1"/>
    <col min="12" max="12" width="9.125" style="31" customWidth="1"/>
    <col min="13" max="13" width="9.875" style="31" bestFit="1" customWidth="1"/>
    <col min="14" max="16384" width="9.125" style="31" customWidth="1"/>
  </cols>
  <sheetData>
    <row r="1" spans="1:9" s="36" customFormat="1" ht="15" customHeight="1">
      <c r="A1" s="213" t="s">
        <v>64</v>
      </c>
      <c r="B1" s="213"/>
      <c r="C1" s="213"/>
      <c r="D1" s="213"/>
      <c r="E1" s="213"/>
      <c r="F1" s="213"/>
      <c r="G1" s="213"/>
      <c r="H1" s="213"/>
      <c r="I1" s="213"/>
    </row>
    <row r="2" spans="1:9" s="36" customFormat="1" ht="35.25" customHeight="1">
      <c r="A2" s="214" t="s">
        <v>173</v>
      </c>
      <c r="B2" s="214"/>
      <c r="C2" s="214"/>
      <c r="D2" s="214"/>
      <c r="E2" s="214"/>
      <c r="F2" s="214"/>
      <c r="G2" s="214"/>
      <c r="H2" s="214"/>
      <c r="I2" s="214"/>
    </row>
    <row r="3" spans="1:9" s="36" customFormat="1" ht="15.75">
      <c r="A3" s="149"/>
      <c r="B3" s="166"/>
      <c r="C3" s="166"/>
      <c r="D3" s="166"/>
      <c r="E3" s="155"/>
      <c r="F3" s="155"/>
      <c r="G3" s="168"/>
      <c r="H3" s="43"/>
      <c r="I3" s="43"/>
    </row>
    <row r="4" spans="1:15" s="37" customFormat="1" ht="69" customHeight="1">
      <c r="A4" s="42" t="s">
        <v>141</v>
      </c>
      <c r="B4" s="215" t="s">
        <v>62</v>
      </c>
      <c r="C4" s="216"/>
      <c r="D4" s="217"/>
      <c r="E4" s="41" t="s">
        <v>61</v>
      </c>
      <c r="F4" s="42" t="s">
        <v>139</v>
      </c>
      <c r="G4" s="41" t="s">
        <v>101</v>
      </c>
      <c r="H4" s="40" t="s">
        <v>60</v>
      </c>
      <c r="I4" s="41" t="s">
        <v>140</v>
      </c>
      <c r="K4" s="36"/>
      <c r="L4" s="36"/>
      <c r="M4" s="36"/>
      <c r="N4" s="36"/>
      <c r="O4" s="36"/>
    </row>
    <row r="5" spans="1:15" s="37" customFormat="1" ht="15.75" customHeight="1">
      <c r="A5" s="220" t="s">
        <v>50</v>
      </c>
      <c r="B5" s="209" t="s">
        <v>170</v>
      </c>
      <c r="C5" s="218" t="s">
        <v>169</v>
      </c>
      <c r="D5" s="219"/>
      <c r="E5" s="209" t="s">
        <v>161</v>
      </c>
      <c r="F5" s="207" t="s">
        <v>162</v>
      </c>
      <c r="G5" s="207" t="s">
        <v>174</v>
      </c>
      <c r="H5" s="209" t="s">
        <v>160</v>
      </c>
      <c r="I5" s="211" t="s">
        <v>171</v>
      </c>
      <c r="K5" s="36"/>
      <c r="L5" s="36"/>
      <c r="M5" s="36"/>
      <c r="N5" s="36"/>
      <c r="O5" s="36"/>
    </row>
    <row r="6" spans="1:15" s="37" customFormat="1" ht="178.5" customHeight="1">
      <c r="A6" s="221"/>
      <c r="B6" s="210"/>
      <c r="C6" s="156" t="s">
        <v>175</v>
      </c>
      <c r="D6" s="156" t="s">
        <v>176</v>
      </c>
      <c r="E6" s="210"/>
      <c r="F6" s="208"/>
      <c r="G6" s="208"/>
      <c r="H6" s="210"/>
      <c r="I6" s="212"/>
      <c r="K6" s="36"/>
      <c r="L6" s="36"/>
      <c r="M6" s="36"/>
      <c r="N6" s="36"/>
      <c r="O6" s="36"/>
    </row>
    <row r="7" spans="1:15" s="37" customFormat="1" ht="15.75">
      <c r="A7" s="38" t="s">
        <v>38</v>
      </c>
      <c r="B7" s="39" t="s">
        <v>39</v>
      </c>
      <c r="C7" s="39" t="s">
        <v>40</v>
      </c>
      <c r="D7" s="38" t="s">
        <v>41</v>
      </c>
      <c r="E7" s="38" t="s">
        <v>42</v>
      </c>
      <c r="F7" s="38" t="s">
        <v>47</v>
      </c>
      <c r="G7" s="38" t="s">
        <v>43</v>
      </c>
      <c r="H7" s="38" t="s">
        <v>45</v>
      </c>
      <c r="I7" s="38" t="s">
        <v>52</v>
      </c>
      <c r="J7" s="36"/>
      <c r="K7" s="36"/>
      <c r="L7" s="36"/>
      <c r="M7" s="36"/>
      <c r="N7" s="36"/>
      <c r="O7" s="36"/>
    </row>
    <row r="8" spans="1:8" s="36" customFormat="1" ht="15.75">
      <c r="A8" s="22" t="s">
        <v>143</v>
      </c>
      <c r="B8" s="97"/>
      <c r="C8" s="97"/>
      <c r="D8" s="97"/>
      <c r="E8" s="98"/>
      <c r="F8" s="99"/>
      <c r="G8" s="100"/>
      <c r="H8" s="100"/>
    </row>
    <row r="9" spans="1:15" s="35" customFormat="1" ht="15.75">
      <c r="A9" s="101" t="s">
        <v>0</v>
      </c>
      <c r="B9" s="102">
        <f>C9+D9</f>
        <v>236248910.7195</v>
      </c>
      <c r="C9" s="102">
        <v>225354358.7195</v>
      </c>
      <c r="D9" s="102">
        <v>10894552</v>
      </c>
      <c r="E9" s="103">
        <v>18139</v>
      </c>
      <c r="F9" s="104">
        <v>230128</v>
      </c>
      <c r="G9" s="161">
        <v>247403944.57916</v>
      </c>
      <c r="H9" s="105">
        <v>2037</v>
      </c>
      <c r="I9" s="161">
        <v>649485769</v>
      </c>
      <c r="J9" s="164"/>
      <c r="K9" s="183"/>
      <c r="L9" s="183"/>
      <c r="M9" s="183"/>
      <c r="N9" s="183"/>
      <c r="O9" s="183"/>
    </row>
    <row r="10" spans="1:15" ht="15.75">
      <c r="A10" s="101" t="s">
        <v>1</v>
      </c>
      <c r="B10" s="102">
        <f aca="true" t="shared" si="0" ref="B10:B46">C10+D10</f>
        <v>91953731.5655</v>
      </c>
      <c r="C10" s="102">
        <v>87620052.5655</v>
      </c>
      <c r="D10" s="102">
        <v>4333679</v>
      </c>
      <c r="E10" s="103">
        <v>10663</v>
      </c>
      <c r="F10" s="104">
        <v>19523</v>
      </c>
      <c r="G10" s="105">
        <v>94008905.82348</v>
      </c>
      <c r="H10" s="105">
        <v>1108</v>
      </c>
      <c r="I10" s="161">
        <v>256997898</v>
      </c>
      <c r="J10" s="164"/>
      <c r="K10" s="183"/>
      <c r="L10" s="183"/>
      <c r="M10" s="183"/>
      <c r="N10" s="183"/>
      <c r="O10" s="183"/>
    </row>
    <row r="11" spans="1:15" ht="15.75">
      <c r="A11" s="101" t="s">
        <v>2</v>
      </c>
      <c r="B11" s="102">
        <f t="shared" si="0"/>
        <v>19713093.5138</v>
      </c>
      <c r="C11" s="102">
        <v>18924239.5138</v>
      </c>
      <c r="D11" s="102">
        <v>788854</v>
      </c>
      <c r="E11" s="103">
        <v>2336</v>
      </c>
      <c r="F11" s="104">
        <v>10933</v>
      </c>
      <c r="G11" s="105">
        <v>24867274.738</v>
      </c>
      <c r="H11" s="105">
        <v>273</v>
      </c>
      <c r="I11" s="161">
        <v>35691895</v>
      </c>
      <c r="J11" s="164"/>
      <c r="K11" s="183"/>
      <c r="L11" s="183"/>
      <c r="M11" s="183"/>
      <c r="N11" s="183"/>
      <c r="O11" s="183"/>
    </row>
    <row r="12" spans="1:15" ht="15.75">
      <c r="A12" s="101" t="s">
        <v>11</v>
      </c>
      <c r="B12" s="102">
        <f t="shared" si="0"/>
        <v>17406806.286399998</v>
      </c>
      <c r="C12" s="102">
        <v>16769853.2864</v>
      </c>
      <c r="D12" s="102">
        <v>636953</v>
      </c>
      <c r="E12" s="103">
        <v>1431</v>
      </c>
      <c r="F12" s="104">
        <v>2939</v>
      </c>
      <c r="G12" s="105">
        <v>18057975.06007</v>
      </c>
      <c r="H12" s="105">
        <v>239</v>
      </c>
      <c r="I12" s="161">
        <v>33606897</v>
      </c>
      <c r="J12" s="164"/>
      <c r="K12" s="183"/>
      <c r="L12" s="183"/>
      <c r="M12" s="183"/>
      <c r="N12" s="183"/>
      <c r="O12" s="183"/>
    </row>
    <row r="13" spans="1:15" ht="15.75">
      <c r="A13" s="101" t="s">
        <v>3</v>
      </c>
      <c r="B13" s="102">
        <f t="shared" si="0"/>
        <v>5564938.3711</v>
      </c>
      <c r="C13" s="102">
        <v>5367549.3711</v>
      </c>
      <c r="D13" s="102">
        <v>197389</v>
      </c>
      <c r="E13" s="103">
        <v>927</v>
      </c>
      <c r="F13" s="104">
        <v>1508</v>
      </c>
      <c r="G13" s="105">
        <v>11164830.791759998</v>
      </c>
      <c r="H13" s="105">
        <v>13</v>
      </c>
      <c r="I13" s="161">
        <v>11395654</v>
      </c>
      <c r="J13" s="164"/>
      <c r="K13" s="183"/>
      <c r="L13" s="183"/>
      <c r="M13" s="183"/>
      <c r="N13" s="183"/>
      <c r="O13" s="183"/>
    </row>
    <row r="14" spans="1:15" ht="15.75">
      <c r="A14" s="101" t="s">
        <v>4</v>
      </c>
      <c r="B14" s="102">
        <f t="shared" si="0"/>
        <v>6703462.2451</v>
      </c>
      <c r="C14" s="102">
        <v>6402648.2451</v>
      </c>
      <c r="D14" s="102">
        <v>300814</v>
      </c>
      <c r="E14" s="103">
        <v>705</v>
      </c>
      <c r="F14" s="104">
        <v>1598</v>
      </c>
      <c r="G14" s="105">
        <v>7735128.95623</v>
      </c>
      <c r="H14" s="105">
        <v>70</v>
      </c>
      <c r="I14" s="161">
        <v>10482118</v>
      </c>
      <c r="J14" s="164"/>
      <c r="K14" s="183"/>
      <c r="L14" s="183"/>
      <c r="M14" s="183"/>
      <c r="N14" s="183"/>
      <c r="O14" s="183"/>
    </row>
    <row r="15" spans="1:15" ht="15.75">
      <c r="A15" s="101" t="s">
        <v>59</v>
      </c>
      <c r="B15" s="102">
        <f t="shared" si="0"/>
        <v>5479355.445</v>
      </c>
      <c r="C15" s="102">
        <v>4871107.445</v>
      </c>
      <c r="D15" s="102">
        <v>608248</v>
      </c>
      <c r="E15" s="103">
        <v>898</v>
      </c>
      <c r="F15" s="102">
        <v>1326</v>
      </c>
      <c r="G15" s="161">
        <v>8866798.9944</v>
      </c>
      <c r="H15" s="161">
        <v>59</v>
      </c>
      <c r="I15" s="161">
        <v>14403647</v>
      </c>
      <c r="J15" s="164"/>
      <c r="K15" s="183"/>
      <c r="L15" s="183"/>
      <c r="M15" s="183"/>
      <c r="N15" s="183"/>
      <c r="O15" s="183"/>
    </row>
    <row r="16" spans="1:15" ht="15.75">
      <c r="A16" s="101" t="s">
        <v>5</v>
      </c>
      <c r="B16" s="102">
        <f t="shared" si="0"/>
        <v>1680554.5089</v>
      </c>
      <c r="C16" s="102">
        <v>1626584.5089</v>
      </c>
      <c r="D16" s="102">
        <v>53970</v>
      </c>
      <c r="E16" s="103">
        <v>245</v>
      </c>
      <c r="F16" s="102">
        <v>0</v>
      </c>
      <c r="G16" s="161">
        <v>4104393</v>
      </c>
      <c r="H16" s="161">
        <v>5</v>
      </c>
      <c r="I16" s="161">
        <v>1944994</v>
      </c>
      <c r="J16" s="164"/>
      <c r="K16" s="183"/>
      <c r="L16" s="183"/>
      <c r="M16" s="183"/>
      <c r="N16" s="183"/>
      <c r="O16" s="183"/>
    </row>
    <row r="17" spans="1:15" ht="15.75">
      <c r="A17" s="101" t="s">
        <v>6</v>
      </c>
      <c r="B17" s="102">
        <f t="shared" si="0"/>
        <v>3328319.9872</v>
      </c>
      <c r="C17" s="102">
        <v>3045905.9872</v>
      </c>
      <c r="D17" s="102">
        <v>282414</v>
      </c>
      <c r="E17" s="103">
        <v>1202</v>
      </c>
      <c r="F17" s="102">
        <v>2202</v>
      </c>
      <c r="G17" s="161">
        <v>12926685.90202</v>
      </c>
      <c r="H17" s="161">
        <v>56</v>
      </c>
      <c r="I17" s="161">
        <v>13736403</v>
      </c>
      <c r="J17" s="164"/>
      <c r="K17" s="183"/>
      <c r="L17" s="183"/>
      <c r="M17" s="183"/>
      <c r="N17" s="183"/>
      <c r="O17" s="183"/>
    </row>
    <row r="18" spans="1:15" ht="15.75">
      <c r="A18" s="101" t="s">
        <v>13</v>
      </c>
      <c r="B18" s="102">
        <f t="shared" si="0"/>
        <v>2674961.9721999997</v>
      </c>
      <c r="C18" s="102">
        <v>2540073.9721999997</v>
      </c>
      <c r="D18" s="102">
        <v>134888</v>
      </c>
      <c r="E18" s="103">
        <v>513</v>
      </c>
      <c r="F18" s="102">
        <v>7338</v>
      </c>
      <c r="G18" s="161">
        <v>4638992</v>
      </c>
      <c r="H18" s="161">
        <v>135</v>
      </c>
      <c r="I18" s="161">
        <v>4562721</v>
      </c>
      <c r="J18" s="164"/>
      <c r="K18" s="183"/>
      <c r="L18" s="183"/>
      <c r="M18" s="183"/>
      <c r="N18" s="183"/>
      <c r="O18" s="183"/>
    </row>
    <row r="19" spans="1:15" ht="15.75">
      <c r="A19" s="101" t="s">
        <v>113</v>
      </c>
      <c r="B19" s="102"/>
      <c r="C19" s="106"/>
      <c r="D19" s="106"/>
      <c r="E19" s="104"/>
      <c r="F19" s="107"/>
      <c r="G19" s="161"/>
      <c r="H19" s="161"/>
      <c r="I19" s="161"/>
      <c r="J19" s="164"/>
      <c r="K19" s="183"/>
      <c r="L19" s="183"/>
      <c r="M19" s="183"/>
      <c r="N19" s="183"/>
      <c r="O19" s="183"/>
    </row>
    <row r="20" spans="1:15" ht="15.75">
      <c r="A20" s="101" t="s">
        <v>14</v>
      </c>
      <c r="B20" s="102">
        <f t="shared" si="0"/>
        <v>498025.6785</v>
      </c>
      <c r="C20" s="102">
        <v>474449.6785</v>
      </c>
      <c r="D20" s="102">
        <v>23576</v>
      </c>
      <c r="E20" s="108">
        <v>117</v>
      </c>
      <c r="F20" s="102">
        <v>16450</v>
      </c>
      <c r="G20" s="161">
        <v>4462136</v>
      </c>
      <c r="H20" s="161">
        <v>9</v>
      </c>
      <c r="I20" s="161">
        <v>1052791</v>
      </c>
      <c r="J20" s="164"/>
      <c r="K20" s="183"/>
      <c r="L20" s="183"/>
      <c r="M20" s="183"/>
      <c r="N20" s="183"/>
      <c r="O20" s="183"/>
    </row>
    <row r="21" spans="1:15" ht="15.75">
      <c r="A21" s="101" t="s">
        <v>15</v>
      </c>
      <c r="B21" s="102">
        <f t="shared" si="0"/>
        <v>3043860.2005</v>
      </c>
      <c r="C21" s="102">
        <v>2912401.2005</v>
      </c>
      <c r="D21" s="102">
        <v>131459</v>
      </c>
      <c r="E21" s="103">
        <v>444</v>
      </c>
      <c r="F21" s="102">
        <v>43658</v>
      </c>
      <c r="G21" s="161">
        <v>8701923.23671</v>
      </c>
      <c r="H21" s="161">
        <v>59</v>
      </c>
      <c r="I21" s="161">
        <v>6721295</v>
      </c>
      <c r="J21" s="164"/>
      <c r="K21" s="183"/>
      <c r="L21" s="183"/>
      <c r="M21" s="183"/>
      <c r="N21" s="183"/>
      <c r="O21" s="183"/>
    </row>
    <row r="22" spans="1:15" ht="15.75">
      <c r="A22" s="101" t="s">
        <v>16</v>
      </c>
      <c r="B22" s="102">
        <f t="shared" si="0"/>
        <v>1333324.1423</v>
      </c>
      <c r="C22" s="102">
        <v>1301528.1423</v>
      </c>
      <c r="D22" s="102">
        <v>31796</v>
      </c>
      <c r="E22" s="103">
        <v>232</v>
      </c>
      <c r="F22" s="102">
        <v>37618</v>
      </c>
      <c r="G22" s="161">
        <v>3905342.76246</v>
      </c>
      <c r="H22" s="161">
        <v>5</v>
      </c>
      <c r="I22" s="161">
        <v>1721047</v>
      </c>
      <c r="J22" s="164"/>
      <c r="K22" s="183"/>
      <c r="L22" s="183"/>
      <c r="M22" s="183"/>
      <c r="N22" s="183"/>
      <c r="O22" s="183"/>
    </row>
    <row r="23" spans="1:15" ht="15.75">
      <c r="A23" s="101" t="s">
        <v>36</v>
      </c>
      <c r="B23" s="102">
        <f t="shared" si="0"/>
        <v>1118245.9409</v>
      </c>
      <c r="C23" s="102">
        <v>1080905.9409</v>
      </c>
      <c r="D23" s="102">
        <v>37340</v>
      </c>
      <c r="E23" s="103">
        <v>301</v>
      </c>
      <c r="F23" s="102">
        <v>211090</v>
      </c>
      <c r="G23" s="161">
        <v>5583854</v>
      </c>
      <c r="H23" s="161">
        <v>17</v>
      </c>
      <c r="I23" s="161">
        <v>2201649</v>
      </c>
      <c r="J23" s="164"/>
      <c r="K23" s="183"/>
      <c r="L23" s="183"/>
      <c r="M23" s="183"/>
      <c r="N23" s="183"/>
      <c r="O23" s="183"/>
    </row>
    <row r="24" spans="1:15" ht="15.75">
      <c r="A24" s="101" t="s">
        <v>37</v>
      </c>
      <c r="B24" s="102">
        <f t="shared" si="0"/>
        <v>1187824.4875999999</v>
      </c>
      <c r="C24" s="102">
        <v>1133869.4875999999</v>
      </c>
      <c r="D24" s="102">
        <v>53955</v>
      </c>
      <c r="E24" s="103">
        <v>253</v>
      </c>
      <c r="F24" s="102">
        <v>101215</v>
      </c>
      <c r="G24" s="161">
        <v>5611790.1248</v>
      </c>
      <c r="H24" s="161">
        <v>14</v>
      </c>
      <c r="I24" s="161">
        <v>2188874</v>
      </c>
      <c r="J24" s="164"/>
      <c r="K24" s="183"/>
      <c r="L24" s="183"/>
      <c r="M24" s="183"/>
      <c r="N24" s="183"/>
      <c r="O24" s="183"/>
    </row>
    <row r="25" spans="1:15" ht="15.75">
      <c r="A25" s="101" t="s">
        <v>7</v>
      </c>
      <c r="B25" s="102">
        <f t="shared" si="0"/>
        <v>892591.5652000001</v>
      </c>
      <c r="C25" s="102">
        <v>849466.5652000001</v>
      </c>
      <c r="D25" s="102">
        <v>43125</v>
      </c>
      <c r="E25" s="103">
        <v>289</v>
      </c>
      <c r="F25" s="102">
        <v>63030</v>
      </c>
      <c r="G25" s="161">
        <v>4394727.07528</v>
      </c>
      <c r="H25" s="161">
        <v>89</v>
      </c>
      <c r="I25" s="161">
        <v>2189851</v>
      </c>
      <c r="J25" s="164"/>
      <c r="K25" s="183"/>
      <c r="L25" s="183"/>
      <c r="M25" s="183"/>
      <c r="N25" s="183"/>
      <c r="O25" s="183"/>
    </row>
    <row r="26" spans="1:15" ht="15.75">
      <c r="A26" s="101" t="s">
        <v>8</v>
      </c>
      <c r="B26" s="102">
        <f t="shared" si="0"/>
        <v>11105344.358700002</v>
      </c>
      <c r="C26" s="102">
        <v>10468303.358700002</v>
      </c>
      <c r="D26" s="102">
        <v>637041</v>
      </c>
      <c r="E26" s="108">
        <v>929</v>
      </c>
      <c r="F26" s="102">
        <v>22712</v>
      </c>
      <c r="G26" s="161">
        <v>57313029.62428</v>
      </c>
      <c r="H26" s="161">
        <v>49</v>
      </c>
      <c r="I26" s="161">
        <v>13264979</v>
      </c>
      <c r="J26" s="164"/>
      <c r="K26" s="183"/>
      <c r="L26" s="183"/>
      <c r="M26" s="183"/>
      <c r="N26" s="183"/>
      <c r="O26" s="183"/>
    </row>
    <row r="27" spans="1:15" ht="15.75">
      <c r="A27" s="101" t="s">
        <v>9</v>
      </c>
      <c r="B27" s="102">
        <f t="shared" si="0"/>
        <v>451873.144</v>
      </c>
      <c r="C27" s="102">
        <v>439725.144</v>
      </c>
      <c r="D27" s="102">
        <v>12148</v>
      </c>
      <c r="E27" s="109">
        <v>85</v>
      </c>
      <c r="F27" s="102">
        <v>17029</v>
      </c>
      <c r="G27" s="161">
        <v>3829965.1452</v>
      </c>
      <c r="H27" s="161">
        <v>6</v>
      </c>
      <c r="I27" s="161">
        <v>622521</v>
      </c>
      <c r="J27" s="164"/>
      <c r="K27" s="183"/>
      <c r="L27" s="183"/>
      <c r="M27" s="183"/>
      <c r="N27" s="183"/>
      <c r="O27" s="183"/>
    </row>
    <row r="28" spans="1:15" ht="15.75">
      <c r="A28" s="101" t="s">
        <v>17</v>
      </c>
      <c r="B28" s="102">
        <f t="shared" si="0"/>
        <v>749211.3761</v>
      </c>
      <c r="C28" s="102">
        <v>708632.3761</v>
      </c>
      <c r="D28" s="102">
        <v>40579</v>
      </c>
      <c r="E28" s="108">
        <v>175</v>
      </c>
      <c r="F28" s="102">
        <v>41667</v>
      </c>
      <c r="G28" s="161">
        <v>5218184.5</v>
      </c>
      <c r="H28" s="161">
        <v>14</v>
      </c>
      <c r="I28" s="161">
        <v>694291</v>
      </c>
      <c r="J28" s="164"/>
      <c r="K28" s="183"/>
      <c r="L28" s="183"/>
      <c r="M28" s="183"/>
      <c r="N28" s="183"/>
      <c r="O28" s="183"/>
    </row>
    <row r="29" spans="1:15" ht="15.75">
      <c r="A29" s="101" t="s">
        <v>18</v>
      </c>
      <c r="B29" s="102">
        <f t="shared" si="0"/>
        <v>2299887.645</v>
      </c>
      <c r="C29" s="102">
        <v>2056214.645</v>
      </c>
      <c r="D29" s="102">
        <v>243673</v>
      </c>
      <c r="E29" s="108">
        <v>320</v>
      </c>
      <c r="F29" s="102">
        <v>74324</v>
      </c>
      <c r="G29" s="161">
        <v>11324647.38058</v>
      </c>
      <c r="H29" s="161">
        <v>17</v>
      </c>
      <c r="I29" s="161">
        <v>3067401</v>
      </c>
      <c r="J29" s="164"/>
      <c r="K29" s="183"/>
      <c r="L29" s="183"/>
      <c r="M29" s="183"/>
      <c r="N29" s="183"/>
      <c r="O29" s="183"/>
    </row>
    <row r="30" spans="1:15" ht="15.75">
      <c r="A30" s="101" t="s">
        <v>19</v>
      </c>
      <c r="B30" s="102">
        <f t="shared" si="0"/>
        <v>2985642.396</v>
      </c>
      <c r="C30" s="102">
        <v>2854134.396</v>
      </c>
      <c r="D30" s="102">
        <v>131508</v>
      </c>
      <c r="E30" s="103">
        <v>569</v>
      </c>
      <c r="F30" s="102">
        <v>68617</v>
      </c>
      <c r="G30" s="161">
        <v>13293897</v>
      </c>
      <c r="H30" s="161">
        <v>63</v>
      </c>
      <c r="I30" s="161">
        <v>5451902</v>
      </c>
      <c r="J30" s="164"/>
      <c r="K30" s="183"/>
      <c r="L30" s="183"/>
      <c r="M30" s="183"/>
      <c r="N30" s="183"/>
      <c r="O30" s="183"/>
    </row>
    <row r="31" spans="1:15" ht="15.75">
      <c r="A31" s="101" t="s">
        <v>20</v>
      </c>
      <c r="B31" s="102">
        <f t="shared" si="0"/>
        <v>837400.7725</v>
      </c>
      <c r="C31" s="102">
        <v>779202.7725</v>
      </c>
      <c r="D31" s="102">
        <v>58198</v>
      </c>
      <c r="E31" s="103">
        <v>173</v>
      </c>
      <c r="F31" s="102">
        <v>33977</v>
      </c>
      <c r="G31" s="161">
        <v>3036364.24223</v>
      </c>
      <c r="H31" s="161">
        <v>21</v>
      </c>
      <c r="I31" s="161">
        <v>1018461</v>
      </c>
      <c r="J31" s="164"/>
      <c r="K31" s="183"/>
      <c r="L31" s="183"/>
      <c r="M31" s="183"/>
      <c r="N31" s="183"/>
      <c r="O31" s="183"/>
    </row>
    <row r="32" spans="1:15" ht="15.75">
      <c r="A32" s="101" t="s">
        <v>21</v>
      </c>
      <c r="B32" s="102">
        <f t="shared" si="0"/>
        <v>1803982.8791</v>
      </c>
      <c r="C32" s="102">
        <v>1751710.8791</v>
      </c>
      <c r="D32" s="102">
        <v>52272</v>
      </c>
      <c r="E32" s="103">
        <v>224</v>
      </c>
      <c r="F32" s="102">
        <v>43730</v>
      </c>
      <c r="G32" s="161">
        <v>7324844.81566</v>
      </c>
      <c r="H32" s="161">
        <v>47</v>
      </c>
      <c r="I32" s="161">
        <v>1464639</v>
      </c>
      <c r="J32" s="164"/>
      <c r="K32" s="183"/>
      <c r="L32" s="183"/>
      <c r="M32" s="183"/>
      <c r="N32" s="183"/>
      <c r="O32" s="183"/>
    </row>
    <row r="33" spans="1:15" ht="15.75">
      <c r="A33" s="101" t="s">
        <v>22</v>
      </c>
      <c r="B33" s="102">
        <f t="shared" si="0"/>
        <v>1187657.5543</v>
      </c>
      <c r="C33" s="102">
        <v>1141954.5543</v>
      </c>
      <c r="D33" s="102">
        <v>45703</v>
      </c>
      <c r="E33" s="103">
        <v>187</v>
      </c>
      <c r="F33" s="102">
        <v>61152</v>
      </c>
      <c r="G33" s="161">
        <v>6336377.14757</v>
      </c>
      <c r="H33" s="161">
        <v>8</v>
      </c>
      <c r="I33" s="161">
        <v>1900483</v>
      </c>
      <c r="J33" s="164"/>
      <c r="K33" s="183"/>
      <c r="L33" s="183"/>
      <c r="M33" s="183"/>
      <c r="N33" s="183"/>
      <c r="O33" s="183"/>
    </row>
    <row r="34" spans="1:15" ht="15.75">
      <c r="A34" s="101" t="s">
        <v>23</v>
      </c>
      <c r="B34" s="102">
        <f t="shared" si="0"/>
        <v>4691486.226</v>
      </c>
      <c r="C34" s="102">
        <v>4448898.226</v>
      </c>
      <c r="D34" s="102">
        <v>242588</v>
      </c>
      <c r="E34" s="103">
        <v>777</v>
      </c>
      <c r="F34" s="102">
        <v>37555</v>
      </c>
      <c r="G34" s="161">
        <v>25991096.11262</v>
      </c>
      <c r="H34" s="161">
        <v>203</v>
      </c>
      <c r="I34" s="161">
        <v>11437453</v>
      </c>
      <c r="J34" s="164"/>
      <c r="K34" s="183"/>
      <c r="L34" s="183"/>
      <c r="M34" s="183"/>
      <c r="N34" s="183"/>
      <c r="O34" s="183"/>
    </row>
    <row r="35" spans="1:15" ht="15.75">
      <c r="A35" s="101" t="s">
        <v>24</v>
      </c>
      <c r="B35" s="102">
        <f t="shared" si="0"/>
        <v>509447.3878</v>
      </c>
      <c r="C35" s="102">
        <v>490597.3878</v>
      </c>
      <c r="D35" s="102">
        <v>18850</v>
      </c>
      <c r="E35" s="103">
        <v>178</v>
      </c>
      <c r="F35" s="102">
        <v>3187</v>
      </c>
      <c r="G35" s="161">
        <v>2148772.3395</v>
      </c>
      <c r="H35" s="161">
        <v>0</v>
      </c>
      <c r="I35" s="161">
        <v>648028</v>
      </c>
      <c r="J35" s="164"/>
      <c r="K35" s="183"/>
      <c r="L35" s="183"/>
      <c r="M35" s="183"/>
      <c r="N35" s="183"/>
      <c r="O35" s="183"/>
    </row>
    <row r="36" spans="1:15" ht="15.75">
      <c r="A36" s="101" t="s">
        <v>25</v>
      </c>
      <c r="B36" s="102">
        <f t="shared" si="0"/>
        <v>2756075.231</v>
      </c>
      <c r="C36" s="102">
        <v>2629313.231</v>
      </c>
      <c r="D36" s="102">
        <v>126762</v>
      </c>
      <c r="E36" s="103">
        <v>401</v>
      </c>
      <c r="F36" s="102">
        <v>29866</v>
      </c>
      <c r="G36" s="161">
        <v>6013595</v>
      </c>
      <c r="H36" s="161">
        <v>33</v>
      </c>
      <c r="I36" s="161">
        <v>5905981</v>
      </c>
      <c r="J36" s="164"/>
      <c r="K36" s="183"/>
      <c r="L36" s="183"/>
      <c r="M36" s="183"/>
      <c r="N36" s="183"/>
      <c r="O36" s="183"/>
    </row>
    <row r="37" spans="1:15" ht="15.75">
      <c r="A37" s="101" t="s">
        <v>26</v>
      </c>
      <c r="B37" s="102">
        <f t="shared" si="0"/>
        <v>1163325.0254000002</v>
      </c>
      <c r="C37" s="102">
        <v>1110913.0254000002</v>
      </c>
      <c r="D37" s="102">
        <v>52412</v>
      </c>
      <c r="E37" s="103">
        <v>259</v>
      </c>
      <c r="F37" s="104">
        <v>109529</v>
      </c>
      <c r="G37" s="105">
        <v>4061617</v>
      </c>
      <c r="H37" s="105">
        <v>11</v>
      </c>
      <c r="I37" s="161">
        <v>1595570</v>
      </c>
      <c r="J37" s="164"/>
      <c r="K37" s="183"/>
      <c r="L37" s="183"/>
      <c r="M37" s="183"/>
      <c r="N37" s="183"/>
      <c r="O37" s="183"/>
    </row>
    <row r="38" spans="1:15" ht="15.75">
      <c r="A38" s="101" t="s">
        <v>27</v>
      </c>
      <c r="B38" s="102">
        <f t="shared" si="0"/>
        <v>1037080.3811</v>
      </c>
      <c r="C38" s="102">
        <v>948275.3811</v>
      </c>
      <c r="D38" s="102">
        <v>88805</v>
      </c>
      <c r="E38" s="103">
        <v>154</v>
      </c>
      <c r="F38" s="104">
        <v>53244</v>
      </c>
      <c r="G38" s="105">
        <v>7411577.52292</v>
      </c>
      <c r="H38" s="105">
        <v>37</v>
      </c>
      <c r="I38" s="161">
        <v>1517299</v>
      </c>
      <c r="J38" s="164"/>
      <c r="K38" s="183"/>
      <c r="L38" s="183"/>
      <c r="M38" s="183"/>
      <c r="N38" s="183"/>
      <c r="O38" s="183"/>
    </row>
    <row r="39" spans="1:15" ht="15.75">
      <c r="A39" s="101" t="s">
        <v>28</v>
      </c>
      <c r="B39" s="102">
        <f t="shared" si="0"/>
        <v>1202709.111</v>
      </c>
      <c r="C39" s="102">
        <v>1116236.111</v>
      </c>
      <c r="D39" s="102">
        <v>86473</v>
      </c>
      <c r="E39" s="103">
        <v>237</v>
      </c>
      <c r="F39" s="104">
        <v>74850</v>
      </c>
      <c r="G39" s="105">
        <v>3583578.31995</v>
      </c>
      <c r="H39" s="105">
        <v>24</v>
      </c>
      <c r="I39" s="161">
        <v>2424814</v>
      </c>
      <c r="J39" s="164"/>
      <c r="K39" s="183"/>
      <c r="L39" s="183"/>
      <c r="M39" s="183"/>
      <c r="N39" s="183"/>
      <c r="O39" s="183"/>
    </row>
    <row r="40" spans="1:15" ht="15.75">
      <c r="A40" s="101" t="s">
        <v>29</v>
      </c>
      <c r="B40" s="102">
        <f t="shared" si="0"/>
        <v>5123998.9933</v>
      </c>
      <c r="C40" s="102">
        <v>4915017.9933</v>
      </c>
      <c r="D40" s="102">
        <v>208981</v>
      </c>
      <c r="E40" s="103">
        <v>475</v>
      </c>
      <c r="F40" s="104">
        <v>6746</v>
      </c>
      <c r="G40" s="105">
        <v>12712516.2714</v>
      </c>
      <c r="H40" s="105">
        <v>275</v>
      </c>
      <c r="I40" s="161">
        <v>5464164</v>
      </c>
      <c r="J40" s="164"/>
      <c r="K40" s="183"/>
      <c r="L40" s="183"/>
      <c r="M40" s="183"/>
      <c r="N40" s="183"/>
      <c r="O40" s="183"/>
    </row>
    <row r="41" spans="1:15" ht="15.75">
      <c r="A41" s="101" t="s">
        <v>30</v>
      </c>
      <c r="B41" s="102">
        <f t="shared" si="0"/>
        <v>6428608.413</v>
      </c>
      <c r="C41" s="102">
        <v>6097741.413</v>
      </c>
      <c r="D41" s="102">
        <v>330867</v>
      </c>
      <c r="E41" s="103">
        <v>804</v>
      </c>
      <c r="F41" s="104">
        <v>194254</v>
      </c>
      <c r="G41" s="105">
        <v>44520683.6728</v>
      </c>
      <c r="H41" s="105">
        <v>115</v>
      </c>
      <c r="I41" s="161">
        <v>17506384</v>
      </c>
      <c r="J41" s="164"/>
      <c r="K41" s="183"/>
      <c r="L41" s="183"/>
      <c r="M41" s="183"/>
      <c r="N41" s="183"/>
      <c r="O41" s="183"/>
    </row>
    <row r="42" spans="1:15" ht="15.75">
      <c r="A42" s="101" t="s">
        <v>31</v>
      </c>
      <c r="B42" s="102">
        <f t="shared" si="0"/>
        <v>1485100.5917</v>
      </c>
      <c r="C42" s="102">
        <v>1438596.5917</v>
      </c>
      <c r="D42" s="102">
        <v>46504</v>
      </c>
      <c r="E42" s="103">
        <v>216</v>
      </c>
      <c r="F42" s="104">
        <v>42627</v>
      </c>
      <c r="G42" s="105">
        <v>5857865.17724</v>
      </c>
      <c r="H42" s="105">
        <v>10</v>
      </c>
      <c r="I42" s="161">
        <v>3975157</v>
      </c>
      <c r="J42" s="164"/>
      <c r="K42" s="183"/>
      <c r="L42" s="183"/>
      <c r="M42" s="183"/>
      <c r="N42" s="183"/>
      <c r="O42" s="183"/>
    </row>
    <row r="43" spans="1:15" ht="15.75">
      <c r="A43" s="101" t="s">
        <v>32</v>
      </c>
      <c r="B43" s="102">
        <f t="shared" si="0"/>
        <v>788708.5606</v>
      </c>
      <c r="C43" s="102">
        <v>754968.5606</v>
      </c>
      <c r="D43" s="102">
        <v>33740</v>
      </c>
      <c r="E43" s="103">
        <v>150</v>
      </c>
      <c r="F43" s="104">
        <v>64769</v>
      </c>
      <c r="G43" s="105">
        <v>3679736.35544</v>
      </c>
      <c r="H43" s="105">
        <v>3</v>
      </c>
      <c r="I43" s="161">
        <v>1563107</v>
      </c>
      <c r="J43" s="164"/>
      <c r="K43" s="183"/>
      <c r="L43" s="183"/>
      <c r="M43" s="183"/>
      <c r="N43" s="183"/>
      <c r="O43" s="183"/>
    </row>
    <row r="44" spans="1:15" ht="15.75">
      <c r="A44" s="101" t="s">
        <v>33</v>
      </c>
      <c r="B44" s="102">
        <f t="shared" si="0"/>
        <v>829095.3003</v>
      </c>
      <c r="C44" s="102">
        <v>783876.3003</v>
      </c>
      <c r="D44" s="102">
        <v>45219</v>
      </c>
      <c r="E44" s="103">
        <v>178</v>
      </c>
      <c r="F44" s="104">
        <v>7531</v>
      </c>
      <c r="G44" s="105">
        <v>3462541.98971</v>
      </c>
      <c r="H44" s="105">
        <v>32</v>
      </c>
      <c r="I44" s="161">
        <v>1081933</v>
      </c>
      <c r="J44" s="164"/>
      <c r="K44" s="183"/>
      <c r="L44" s="183"/>
      <c r="M44" s="183"/>
      <c r="N44" s="183"/>
      <c r="O44" s="183"/>
    </row>
    <row r="45" spans="1:15" ht="15.75">
      <c r="A45" s="101" t="s">
        <v>34</v>
      </c>
      <c r="B45" s="102">
        <f t="shared" si="0"/>
        <v>797547.3879</v>
      </c>
      <c r="C45" s="102">
        <v>752930.3879</v>
      </c>
      <c r="D45" s="102">
        <v>44617</v>
      </c>
      <c r="E45" s="103">
        <v>245</v>
      </c>
      <c r="F45" s="104">
        <v>11919</v>
      </c>
      <c r="G45" s="105">
        <v>5680807.188</v>
      </c>
      <c r="H45" s="105">
        <v>19</v>
      </c>
      <c r="I45" s="161">
        <v>964725</v>
      </c>
      <c r="J45" s="164"/>
      <c r="K45" s="183"/>
      <c r="L45" s="183"/>
      <c r="M45" s="183"/>
      <c r="N45" s="183"/>
      <c r="O45" s="183"/>
    </row>
    <row r="46" spans="1:15" ht="15.75">
      <c r="A46" s="101" t="s">
        <v>10</v>
      </c>
      <c r="B46" s="102">
        <f t="shared" si="0"/>
        <v>890357.5036</v>
      </c>
      <c r="C46" s="102">
        <v>853150.5036</v>
      </c>
      <c r="D46" s="102">
        <v>37207</v>
      </c>
      <c r="E46" s="103">
        <v>235</v>
      </c>
      <c r="F46" s="104">
        <v>14684</v>
      </c>
      <c r="G46" s="105">
        <v>5782106.59208</v>
      </c>
      <c r="H46" s="105">
        <v>2</v>
      </c>
      <c r="I46" s="161">
        <v>2348949</v>
      </c>
      <c r="J46" s="164"/>
      <c r="K46" s="183"/>
      <c r="L46" s="183"/>
      <c r="M46" s="183"/>
      <c r="N46" s="183"/>
      <c r="O46" s="183"/>
    </row>
    <row r="47" spans="1:15" ht="18.75" customHeight="1">
      <c r="A47" s="11" t="s">
        <v>35</v>
      </c>
      <c r="B47" s="34">
        <f aca="true" t="shared" si="1" ref="B47:G47">SUM(B9:B46)</f>
        <v>447952546.8681001</v>
      </c>
      <c r="C47" s="34">
        <f t="shared" si="1"/>
        <v>426815387.8681001</v>
      </c>
      <c r="D47" s="34">
        <f t="shared" si="1"/>
        <v>21137159</v>
      </c>
      <c r="E47" s="34">
        <f t="shared" si="1"/>
        <v>45666</v>
      </c>
      <c r="F47" s="34">
        <f t="shared" si="1"/>
        <v>1764525</v>
      </c>
      <c r="G47" s="34">
        <f t="shared" si="1"/>
        <v>705018506.4415498</v>
      </c>
      <c r="H47" s="34">
        <f>SUM(H9:H46)</f>
        <v>5177</v>
      </c>
      <c r="I47" s="34">
        <f>SUM(I9:I46)</f>
        <v>1132301744</v>
      </c>
      <c r="J47" s="164"/>
      <c r="K47" s="36"/>
      <c r="L47" s="36"/>
      <c r="M47" s="36"/>
      <c r="N47" s="36"/>
      <c r="O47" s="36"/>
    </row>
    <row r="48" spans="10:15" ht="15.75">
      <c r="J48" s="36"/>
      <c r="K48" s="36"/>
      <c r="L48" s="36"/>
      <c r="M48" s="36"/>
      <c r="N48" s="36"/>
      <c r="O48" s="36"/>
    </row>
    <row r="49" spans="10:15" ht="15.75">
      <c r="J49" s="36"/>
      <c r="K49" s="36"/>
      <c r="L49" s="36"/>
      <c r="M49" s="36"/>
      <c r="N49" s="36"/>
      <c r="O49" s="36"/>
    </row>
    <row r="50" spans="2:15" ht="15.75">
      <c r="B50" s="33"/>
      <c r="C50" s="33"/>
      <c r="D50" s="33"/>
      <c r="G50" s="32"/>
      <c r="H50" s="32"/>
      <c r="J50" s="36"/>
      <c r="K50" s="36"/>
      <c r="L50" s="36"/>
      <c r="M50" s="36"/>
      <c r="N50" s="36"/>
      <c r="O50" s="36"/>
    </row>
    <row r="51" spans="2:15" ht="15.75">
      <c r="B51" s="32"/>
      <c r="C51" s="32"/>
      <c r="D51" s="32"/>
      <c r="J51" s="36"/>
      <c r="K51" s="36"/>
      <c r="L51" s="36"/>
      <c r="M51" s="36"/>
      <c r="N51" s="36"/>
      <c r="O51" s="36"/>
    </row>
    <row r="52" spans="2:15" ht="15.75">
      <c r="B52" s="33"/>
      <c r="C52" s="33"/>
      <c r="D52" s="33"/>
      <c r="J52" s="36"/>
      <c r="K52" s="36"/>
      <c r="L52" s="36"/>
      <c r="M52" s="36"/>
      <c r="N52" s="36"/>
      <c r="O52" s="36"/>
    </row>
    <row r="53" spans="10:15" ht="15.75">
      <c r="J53" s="36"/>
      <c r="K53" s="36"/>
      <c r="L53" s="36"/>
      <c r="M53" s="36"/>
      <c r="N53" s="36"/>
      <c r="O53" s="36"/>
    </row>
    <row r="55" spans="2:4" ht="15.75">
      <c r="B55" s="32"/>
      <c r="C55" s="32"/>
      <c r="D55" s="32"/>
    </row>
  </sheetData>
  <sheetProtection/>
  <mergeCells count="11">
    <mergeCell ref="E5:E6"/>
    <mergeCell ref="F5:F6"/>
    <mergeCell ref="G5:G6"/>
    <mergeCell ref="H5:H6"/>
    <mergeCell ref="I5:I6"/>
    <mergeCell ref="A1:I1"/>
    <mergeCell ref="A2:I2"/>
    <mergeCell ref="B4:D4"/>
    <mergeCell ref="C5:D5"/>
    <mergeCell ref="B5:B6"/>
    <mergeCell ref="A5:A6"/>
  </mergeCells>
  <printOptions gridLines="1" horizontalCentered="1"/>
  <pageMargins left="0.4330708661417323" right="0.2362204724409449" top="0.31496062992125984" bottom="0.15748031496062992" header="0.15748031496062992" footer="0.15748031496062992"/>
  <pageSetup fitToHeight="1" fitToWidth="1" horizontalDpi="600" verticalDpi="600" orientation="landscape" paperSize="9" scale="5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tabColor rgb="FF003300"/>
  </sheetPr>
  <dimension ref="A1:G16"/>
  <sheetViews>
    <sheetView zoomScale="75" zoomScaleNormal="75" zoomScalePageLayoutView="0" workbookViewId="0" topLeftCell="A1">
      <selection activeCell="A2" sqref="A2:F2"/>
    </sheetView>
  </sheetViews>
  <sheetFormatPr defaultColWidth="9.00390625" defaultRowHeight="12.75"/>
  <cols>
    <col min="1" max="1" width="41.875" style="45" customWidth="1"/>
    <col min="2" max="2" width="17.25390625" style="44" customWidth="1"/>
    <col min="3" max="3" width="14.625" style="44" customWidth="1"/>
    <col min="4" max="4" width="12.375" style="44" customWidth="1"/>
    <col min="5" max="5" width="15.875" style="44" customWidth="1"/>
    <col min="6" max="6" width="19.75390625" style="44" customWidth="1"/>
    <col min="7" max="7" width="18.625" style="44" bestFit="1" customWidth="1"/>
    <col min="8" max="16384" width="9.125" style="44" customWidth="1"/>
  </cols>
  <sheetData>
    <row r="1" spans="1:6" ht="15.75">
      <c r="A1" s="53"/>
      <c r="B1" s="52"/>
      <c r="C1" s="52"/>
      <c r="D1" s="52"/>
      <c r="E1" s="52"/>
      <c r="F1" s="51" t="s">
        <v>76</v>
      </c>
    </row>
    <row r="2" spans="1:6" ht="16.5">
      <c r="A2" s="224" t="s">
        <v>164</v>
      </c>
      <c r="B2" s="225"/>
      <c r="C2" s="225"/>
      <c r="D2" s="225"/>
      <c r="E2" s="225"/>
      <c r="F2" s="225"/>
    </row>
    <row r="3" spans="1:6" ht="15.75">
      <c r="A3" s="160"/>
      <c r="B3" s="150"/>
      <c r="C3" s="150"/>
      <c r="D3" s="169"/>
      <c r="E3" s="150"/>
      <c r="F3" s="150"/>
    </row>
    <row r="4" spans="1:6" ht="80.25" customHeight="1">
      <c r="A4" s="226" t="s">
        <v>63</v>
      </c>
      <c r="B4" s="226" t="s">
        <v>75</v>
      </c>
      <c r="C4" s="222" t="s">
        <v>155</v>
      </c>
      <c r="D4" s="226" t="s">
        <v>74</v>
      </c>
      <c r="E4" s="226"/>
      <c r="F4" s="226" t="s">
        <v>73</v>
      </c>
    </row>
    <row r="5" spans="1:6" ht="53.25" customHeight="1">
      <c r="A5" s="226"/>
      <c r="B5" s="226"/>
      <c r="C5" s="223"/>
      <c r="D5" s="165" t="s">
        <v>166</v>
      </c>
      <c r="E5" s="165" t="s">
        <v>167</v>
      </c>
      <c r="F5" s="226"/>
    </row>
    <row r="6" spans="1:6" s="48" customFormat="1" ht="15.75">
      <c r="A6" s="50" t="s">
        <v>38</v>
      </c>
      <c r="B6" s="50" t="s">
        <v>39</v>
      </c>
      <c r="C6" s="50" t="s">
        <v>40</v>
      </c>
      <c r="D6" s="50" t="s">
        <v>41</v>
      </c>
      <c r="E6" s="50" t="s">
        <v>42</v>
      </c>
      <c r="F6" s="49" t="s">
        <v>72</v>
      </c>
    </row>
    <row r="7" spans="1:7" ht="24" customHeight="1">
      <c r="A7" s="113" t="s">
        <v>71</v>
      </c>
      <c r="B7" s="114">
        <f>SUM('База налогов'!B9:B18)</f>
        <v>390754134.6147001</v>
      </c>
      <c r="C7" s="114">
        <v>13945235.57637</v>
      </c>
      <c r="D7" s="115">
        <v>1</v>
      </c>
      <c r="E7" s="115">
        <v>1</v>
      </c>
      <c r="F7" s="116">
        <f aca="true" t="shared" si="0" ref="F7:F15">C7/B7*D7*E7</f>
        <v>0.035688005170106736</v>
      </c>
      <c r="G7" s="47"/>
    </row>
    <row r="8" spans="1:7" ht="38.25" customHeight="1">
      <c r="A8" s="113" t="s">
        <v>70</v>
      </c>
      <c r="B8" s="114">
        <f>SUM('База налогов'!B20:B46)</f>
        <v>57198412.253400005</v>
      </c>
      <c r="C8" s="114">
        <v>2937025.40244</v>
      </c>
      <c r="D8" s="117">
        <v>1</v>
      </c>
      <c r="E8" s="117">
        <v>1</v>
      </c>
      <c r="F8" s="116">
        <f t="shared" si="0"/>
        <v>0.05134802325331008</v>
      </c>
      <c r="G8" s="47"/>
    </row>
    <row r="9" spans="1:7" ht="35.25" customHeight="1">
      <c r="A9" s="113" t="s">
        <v>69</v>
      </c>
      <c r="B9" s="114">
        <f>SUM('База налогов'!E9:'База налогов'!E18)</f>
        <v>37059</v>
      </c>
      <c r="C9" s="114">
        <v>1202826.29551</v>
      </c>
      <c r="D9" s="117">
        <v>1</v>
      </c>
      <c r="E9" s="117">
        <v>1</v>
      </c>
      <c r="F9" s="116">
        <f t="shared" si="0"/>
        <v>32.45706294044632</v>
      </c>
      <c r="G9" s="47"/>
    </row>
    <row r="10" spans="1:7" ht="37.5" customHeight="1">
      <c r="A10" s="113" t="s">
        <v>68</v>
      </c>
      <c r="B10" s="114">
        <f>SUM('База налогов'!E20:'База налогов'!E46)</f>
        <v>8607</v>
      </c>
      <c r="C10" s="114">
        <v>182736.33978</v>
      </c>
      <c r="D10" s="117">
        <v>1</v>
      </c>
      <c r="E10" s="117">
        <v>1</v>
      </c>
      <c r="F10" s="116">
        <f t="shared" si="0"/>
        <v>21.23113044963402</v>
      </c>
      <c r="G10" s="47"/>
    </row>
    <row r="11" spans="1:7" ht="21" customHeight="1">
      <c r="A11" s="113" t="s">
        <v>67</v>
      </c>
      <c r="B11" s="114">
        <f>'База налогов'!F47</f>
        <v>1764525</v>
      </c>
      <c r="C11" s="114">
        <v>124469.07517</v>
      </c>
      <c r="D11" s="117">
        <v>1</v>
      </c>
      <c r="E11" s="117">
        <v>1</v>
      </c>
      <c r="F11" s="116">
        <f t="shared" si="0"/>
        <v>0.07053970624955724</v>
      </c>
      <c r="G11" s="47"/>
    </row>
    <row r="12" spans="1:6" ht="18.75" customHeight="1">
      <c r="A12" s="113" t="s">
        <v>66</v>
      </c>
      <c r="B12" s="114">
        <f>SUM('База налогов'!G9:G18)</f>
        <v>433774929.8451199</v>
      </c>
      <c r="C12" s="114">
        <v>3775501.75911</v>
      </c>
      <c r="D12" s="117">
        <v>1</v>
      </c>
      <c r="E12" s="117">
        <v>1</v>
      </c>
      <c r="F12" s="116">
        <f t="shared" si="0"/>
        <v>0.008703826568441956</v>
      </c>
    </row>
    <row r="13" spans="1:6" ht="18.75" customHeight="1">
      <c r="A13" s="113" t="s">
        <v>65</v>
      </c>
      <c r="B13" s="114">
        <f>SUM('База налогов'!G20:G46)</f>
        <v>271243576.59643006</v>
      </c>
      <c r="C13" s="114">
        <v>938858.1603</v>
      </c>
      <c r="D13" s="117">
        <v>1</v>
      </c>
      <c r="E13" s="117">
        <v>1</v>
      </c>
      <c r="F13" s="116">
        <f t="shared" si="0"/>
        <v>0.0034613102071607053</v>
      </c>
    </row>
    <row r="14" spans="1:6" ht="45.75" customHeight="1">
      <c r="A14" s="113" t="s">
        <v>60</v>
      </c>
      <c r="B14" s="114">
        <f>'База налогов'!H47</f>
        <v>5177</v>
      </c>
      <c r="C14" s="114">
        <v>96583.84995</v>
      </c>
      <c r="D14" s="117">
        <v>1</v>
      </c>
      <c r="E14" s="117">
        <v>1</v>
      </c>
      <c r="F14" s="116">
        <f t="shared" si="0"/>
        <v>18.65633570600734</v>
      </c>
    </row>
    <row r="15" spans="1:6" ht="16.5">
      <c r="A15" s="167" t="s">
        <v>172</v>
      </c>
      <c r="B15" s="114">
        <f>'База налогов'!I47</f>
        <v>1132301744</v>
      </c>
      <c r="C15" s="114">
        <v>1484697.4163599994</v>
      </c>
      <c r="D15" s="117">
        <v>1.1</v>
      </c>
      <c r="E15" s="117">
        <v>1.1</v>
      </c>
      <c r="F15" s="116">
        <f t="shared" si="0"/>
        <v>0.0015865769732450394</v>
      </c>
    </row>
    <row r="16" spans="1:2" ht="15.75">
      <c r="A16" s="44"/>
      <c r="B16" s="46"/>
    </row>
  </sheetData>
  <sheetProtection/>
  <mergeCells count="6">
    <mergeCell ref="C4:C5"/>
    <mergeCell ref="A2:F2"/>
    <mergeCell ref="A4:A5"/>
    <mergeCell ref="F4:F5"/>
    <mergeCell ref="D4:E4"/>
    <mergeCell ref="B4:B5"/>
  </mergeCells>
  <printOptions gridLines="1" horizontalCentered="1"/>
  <pageMargins left="0.2362204724409449" right="0.35433070866141736" top="0.35433070866141736" bottom="0.1968503937007874" header="0.2362204724409449" footer="0.2362204724409449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tabColor rgb="FF003300"/>
    <pageSetUpPr fitToPage="1"/>
  </sheetPr>
  <dimension ref="A1:J49"/>
  <sheetViews>
    <sheetView zoomScale="75" zoomScaleNormal="75" zoomScalePageLayoutView="0" workbookViewId="0" topLeftCell="A1">
      <pane xSplit="1" ySplit="5" topLeftCell="B6" activePane="bottomRight" state="frozen"/>
      <selection pane="topLeft" activeCell="F3" sqref="F3"/>
      <selection pane="topRight" activeCell="F3" sqref="F3"/>
      <selection pane="bottomLeft" activeCell="F3" sqref="F3"/>
      <selection pane="bottomRight" activeCell="A3" sqref="A3:J3"/>
    </sheetView>
  </sheetViews>
  <sheetFormatPr defaultColWidth="9.00390625" defaultRowHeight="12.75"/>
  <cols>
    <col min="1" max="1" width="18.125" style="54" customWidth="1"/>
    <col min="2" max="2" width="15.625" style="54" customWidth="1"/>
    <col min="3" max="3" width="11.125" style="54" customWidth="1"/>
    <col min="4" max="4" width="14.625" style="54" customWidth="1"/>
    <col min="5" max="5" width="12.625" style="54" customWidth="1"/>
    <col min="6" max="6" width="11.25390625" style="54" customWidth="1"/>
    <col min="7" max="7" width="10.00390625" style="54" customWidth="1"/>
    <col min="8" max="8" width="12.875" style="54" customWidth="1"/>
    <col min="9" max="9" width="18.375" style="54" customWidth="1"/>
    <col min="10" max="10" width="14.875" style="54" customWidth="1"/>
    <col min="11" max="16384" width="9.125" style="54" customWidth="1"/>
  </cols>
  <sheetData>
    <row r="1" spans="1:10" ht="15.75">
      <c r="A1" s="66"/>
      <c r="B1" s="66"/>
      <c r="C1" s="66"/>
      <c r="D1" s="66"/>
      <c r="E1" s="66"/>
      <c r="F1" s="66"/>
      <c r="H1" s="66"/>
      <c r="I1" s="66"/>
      <c r="J1" s="66" t="s">
        <v>107</v>
      </c>
    </row>
    <row r="2" spans="1:9" ht="10.5" customHeight="1">
      <c r="A2" s="227"/>
      <c r="B2" s="227"/>
      <c r="C2" s="227"/>
      <c r="D2" s="227"/>
      <c r="E2" s="227"/>
      <c r="F2" s="227"/>
      <c r="G2" s="227"/>
      <c r="H2" s="66"/>
      <c r="I2" s="66"/>
    </row>
    <row r="3" spans="1:10" s="60" customFormat="1" ht="33.75" customHeight="1">
      <c r="A3" s="227" t="s">
        <v>163</v>
      </c>
      <c r="B3" s="227"/>
      <c r="C3" s="227"/>
      <c r="D3" s="227"/>
      <c r="E3" s="227"/>
      <c r="F3" s="227"/>
      <c r="G3" s="227"/>
      <c r="H3" s="227"/>
      <c r="I3" s="227"/>
      <c r="J3" s="227"/>
    </row>
    <row r="4" spans="1:10" s="60" customFormat="1" ht="12" customHeight="1">
      <c r="A4" s="170"/>
      <c r="B4" s="171"/>
      <c r="C4" s="171"/>
      <c r="D4" s="171"/>
      <c r="E4" s="163"/>
      <c r="F4" s="163"/>
      <c r="G4" s="163"/>
      <c r="H4" s="171"/>
      <c r="I4" s="171"/>
      <c r="J4" s="171"/>
    </row>
    <row r="5" spans="1:10" s="60" customFormat="1" ht="113.25" customHeight="1">
      <c r="A5" s="64" t="s">
        <v>50</v>
      </c>
      <c r="B5" s="64" t="s">
        <v>106</v>
      </c>
      <c r="C5" s="65" t="s">
        <v>105</v>
      </c>
      <c r="D5" s="64" t="s">
        <v>104</v>
      </c>
      <c r="E5" s="63" t="s">
        <v>103</v>
      </c>
      <c r="F5" s="63" t="s">
        <v>102</v>
      </c>
      <c r="G5" s="64" t="s">
        <v>139</v>
      </c>
      <c r="H5" s="63" t="s">
        <v>101</v>
      </c>
      <c r="I5" s="63" t="s">
        <v>60</v>
      </c>
      <c r="J5" s="63" t="s">
        <v>140</v>
      </c>
    </row>
    <row r="6" spans="1:10" s="60" customFormat="1" ht="15.75">
      <c r="A6" s="62" t="s">
        <v>38</v>
      </c>
      <c r="B6" s="62" t="s">
        <v>100</v>
      </c>
      <c r="C6" s="62" t="s">
        <v>40</v>
      </c>
      <c r="D6" s="62" t="s">
        <v>41</v>
      </c>
      <c r="E6" s="62" t="s">
        <v>42</v>
      </c>
      <c r="F6" s="62" t="s">
        <v>47</v>
      </c>
      <c r="G6" s="62" t="s">
        <v>43</v>
      </c>
      <c r="H6" s="62" t="s">
        <v>52</v>
      </c>
      <c r="I6" s="62" t="s">
        <v>53</v>
      </c>
      <c r="J6" s="62" t="s">
        <v>54</v>
      </c>
    </row>
    <row r="7" spans="1:9" s="61" customFormat="1" ht="15.75">
      <c r="A7" s="95" t="s">
        <v>143</v>
      </c>
      <c r="B7" s="110"/>
      <c r="C7" s="110"/>
      <c r="D7" s="110"/>
      <c r="E7" s="110"/>
      <c r="F7" s="110"/>
      <c r="G7" s="110"/>
      <c r="H7" s="110"/>
      <c r="I7" s="110"/>
    </row>
    <row r="8" spans="1:10" s="60" customFormat="1" ht="15.75">
      <c r="A8" s="101" t="s">
        <v>0</v>
      </c>
      <c r="B8" s="110">
        <f>D8-C8</f>
        <v>12258047.320730472</v>
      </c>
      <c r="C8" s="111"/>
      <c r="D8" s="110">
        <f>SUM(E8:J8)</f>
        <v>12258047.320730472</v>
      </c>
      <c r="E8" s="110">
        <f>'Репрез.ставки'!$F$7*'База налогов'!B9</f>
        <v>8431252.347189602</v>
      </c>
      <c r="F8" s="110">
        <f>'Репрез.ставки'!$F$9*'База налогов'!E9</f>
        <v>588738.6646767558</v>
      </c>
      <c r="G8" s="110">
        <f>'Репрез.ставки'!$F$11*'База налогов'!F9</f>
        <v>16233.16151979811</v>
      </c>
      <c r="H8" s="110">
        <f>'База налогов'!G9*'Репрез.ставки'!$F$12</f>
        <v>2153361.025965434</v>
      </c>
      <c r="I8" s="110">
        <f>'База налогов'!H9*'Репрез.ставки'!$F$14</f>
        <v>38002.95583313695</v>
      </c>
      <c r="J8" s="110">
        <f>'База налогов'!I9*'Репрез.ставки'!$F$15</f>
        <v>1030459.1655457468</v>
      </c>
    </row>
    <row r="9" spans="1:10" ht="15.75">
      <c r="A9" s="101" t="s">
        <v>1</v>
      </c>
      <c r="B9" s="110">
        <f aca="true" t="shared" si="0" ref="B9:B17">D9-C9</f>
        <v>4875767.435617257</v>
      </c>
      <c r="C9" s="111"/>
      <c r="D9" s="110">
        <f aca="true" t="shared" si="1" ref="D9:D45">SUM(E9:J9)</f>
        <v>4875767.435617257</v>
      </c>
      <c r="E9" s="110">
        <f>'Репрез.ставки'!$F$7*'База налогов'!B10</f>
        <v>3281645.247520171</v>
      </c>
      <c r="F9" s="110">
        <f>'Репрез.ставки'!$F$9*'База налогов'!E10</f>
        <v>346089.6621339791</v>
      </c>
      <c r="G9" s="110">
        <f>'Репрез.ставки'!$F$11*'База налогов'!F10</f>
        <v>1377.146685110106</v>
      </c>
      <c r="H9" s="110">
        <f>'База налогов'!G10*'Репрез.ставки'!$F$12</f>
        <v>818237.2121765629</v>
      </c>
      <c r="I9" s="110">
        <f>'База налогов'!H10*'Репрез.ставки'!$F$14</f>
        <v>20671.21996225613</v>
      </c>
      <c r="J9" s="110">
        <f>'База налогов'!I10*'Репрез.ставки'!$F$15</f>
        <v>407746.94713917735</v>
      </c>
    </row>
    <row r="10" spans="1:10" ht="15.75">
      <c r="A10" s="101" t="s">
        <v>2</v>
      </c>
      <c r="B10" s="110">
        <f t="shared" si="0"/>
        <v>1058273.4578121707</v>
      </c>
      <c r="C10" s="111"/>
      <c r="D10" s="110">
        <f t="shared" si="1"/>
        <v>1058273.4578121707</v>
      </c>
      <c r="E10" s="110">
        <f>'Репрез.ставки'!$F$7*'База налогов'!B11</f>
        <v>703520.9832392919</v>
      </c>
      <c r="F10" s="110">
        <f>'Репрез.ставки'!$F$9*'База налогов'!E11</f>
        <v>75819.6990288826</v>
      </c>
      <c r="G10" s="110">
        <f>'Репрез.ставки'!$F$11*'База налогов'!F11</f>
        <v>771.2106084264093</v>
      </c>
      <c r="H10" s="110">
        <f>'База налогов'!G11*'Репрез.ставки'!$F$12</f>
        <v>216440.4465493499</v>
      </c>
      <c r="I10" s="110">
        <f>'База налогов'!H11*'Репрез.ставки'!$F$14</f>
        <v>5093.179647740004</v>
      </c>
      <c r="J10" s="110">
        <f>'База налогов'!I11*'Репрез.ставки'!$F$15</f>
        <v>56627.93873847975</v>
      </c>
    </row>
    <row r="11" spans="1:10" ht="15.75">
      <c r="A11" s="101" t="s">
        <v>11</v>
      </c>
      <c r="B11" s="110">
        <f t="shared" si="0"/>
        <v>882819.8422647887</v>
      </c>
      <c r="C11" s="111"/>
      <c r="D11" s="110">
        <f t="shared" si="1"/>
        <v>882819.8422647887</v>
      </c>
      <c r="E11" s="110">
        <f>'Репрез.ставки'!$F$7*'База налогов'!B12</f>
        <v>621214.1927440895</v>
      </c>
      <c r="F11" s="110">
        <f>'Репрез.ставки'!$F$9*'База налогов'!E12</f>
        <v>46446.05706777868</v>
      </c>
      <c r="G11" s="110">
        <f>'Репрез.ставки'!$F$11*'База налогов'!F12</f>
        <v>207.31619666744874</v>
      </c>
      <c r="H11" s="110">
        <f>'База налогов'!G12*'Репрез.ставки'!$F$12</f>
        <v>157173.4831000995</v>
      </c>
      <c r="I11" s="110">
        <f>'База налогов'!H12*'Репрез.ставки'!$F$14</f>
        <v>4458.864233735754</v>
      </c>
      <c r="J11" s="110">
        <f>'База налогов'!I12*'Репрез.ставки'!$F$15</f>
        <v>53319.92892241779</v>
      </c>
    </row>
    <row r="12" spans="1:10" ht="15.75">
      <c r="A12" s="101" t="s">
        <v>3</v>
      </c>
      <c r="B12" s="110">
        <f t="shared" si="0"/>
        <v>344294.98605508555</v>
      </c>
      <c r="C12" s="111"/>
      <c r="D12" s="110">
        <f t="shared" si="1"/>
        <v>344294.98605508555</v>
      </c>
      <c r="E12" s="110">
        <f>'Репрез.ставки'!$F$7*'База налогов'!B13</f>
        <v>198601.54935914217</v>
      </c>
      <c r="F12" s="110">
        <f>'Репрез.ставки'!$F$9*'База налогов'!E13</f>
        <v>30087.69734579374</v>
      </c>
      <c r="G12" s="110">
        <f>'Репрез.ставки'!$F$11*'База налогов'!F13</f>
        <v>106.37387702433233</v>
      </c>
      <c r="H12" s="110">
        <f>'База налогов'!G13*'Репрез.ставки'!$F$12</f>
        <v>97176.75087747951</v>
      </c>
      <c r="I12" s="110">
        <f>'База налогов'!H13*'Репрез.ставки'!$F$14</f>
        <v>242.5323641780954</v>
      </c>
      <c r="J12" s="110">
        <f>'База налогов'!I13*'Репрез.ставки'!$F$15</f>
        <v>18080.082231467724</v>
      </c>
    </row>
    <row r="13" spans="1:10" ht="15.75">
      <c r="A13" s="101" t="s">
        <v>4</v>
      </c>
      <c r="B13" s="110">
        <f t="shared" si="0"/>
        <v>347489.9985529628</v>
      </c>
      <c r="C13" s="111"/>
      <c r="D13" s="110">
        <f t="shared" si="1"/>
        <v>347489.9985529628</v>
      </c>
      <c r="E13" s="110">
        <f>'Репрез.ставки'!$F$7*'База налогов'!B14</f>
        <v>239233.1952607441</v>
      </c>
      <c r="F13" s="110">
        <f>'Репрез.ставки'!$F$9*'База налогов'!E14</f>
        <v>22882.229373014656</v>
      </c>
      <c r="G13" s="110">
        <f>'Репрез.ставки'!$F$11*'База налогов'!F14</f>
        <v>112.72245058679248</v>
      </c>
      <c r="H13" s="110">
        <f>'База налогов'!G14*'Репрез.ставки'!$F$12</f>
        <v>67325.22091955938</v>
      </c>
      <c r="I13" s="110">
        <f>'База налогов'!H14*'Репрез.ставки'!$F$14</f>
        <v>1305.9434994205137</v>
      </c>
      <c r="J13" s="110">
        <f>'База налогов'!I14*'Репрез.ставки'!$F$15</f>
        <v>16630.687049637345</v>
      </c>
    </row>
    <row r="14" spans="1:10" ht="15.75">
      <c r="A14" s="101" t="s">
        <v>59</v>
      </c>
      <c r="B14" s="110">
        <f t="shared" si="0"/>
        <v>325915.5427531178</v>
      </c>
      <c r="C14" s="111"/>
      <c r="D14" s="110">
        <f t="shared" si="1"/>
        <v>325915.5427531178</v>
      </c>
      <c r="E14" s="110">
        <f>'Репрез.ставки'!$F$7*'База налогов'!B15</f>
        <v>195547.2654500125</v>
      </c>
      <c r="F14" s="110">
        <f>'Репрез.ставки'!$F$9*'База налогов'!E15</f>
        <v>29146.442520520795</v>
      </c>
      <c r="G14" s="110">
        <f>'Репрез.ставки'!$F$11*'База налогов'!F15</f>
        <v>93.5356504869129</v>
      </c>
      <c r="H14" s="110">
        <f>'База налогов'!G15*'Репрез.ставки'!$F$12</f>
        <v>77175.08066449314</v>
      </c>
      <c r="I14" s="110">
        <f>'База налогов'!H15*'Репрез.ставки'!$F$14</f>
        <v>1100.723806654433</v>
      </c>
      <c r="J14" s="110">
        <f>'База налогов'!I15*'Репрез.ставки'!$F$15</f>
        <v>22852.494660949993</v>
      </c>
    </row>
    <row r="15" spans="1:10" ht="15.75">
      <c r="A15" s="101" t="s">
        <v>5</v>
      </c>
      <c r="B15" s="110">
        <f t="shared" si="0"/>
        <v>106830.70763543571</v>
      </c>
      <c r="C15" s="111"/>
      <c r="D15" s="110">
        <f t="shared" si="1"/>
        <v>106830.70763543571</v>
      </c>
      <c r="E15" s="110">
        <f>'Репрез.ставки'!$F$7*'База налогов'!B16</f>
        <v>59975.638002269385</v>
      </c>
      <c r="F15" s="110">
        <f>'Репрез.ставки'!$F$9*'База налогов'!E16</f>
        <v>7951.980420409349</v>
      </c>
      <c r="G15" s="110">
        <f>'Репрез.ставки'!$F$11*'База налогов'!F16</f>
        <v>0</v>
      </c>
      <c r="H15" s="110">
        <f>'База налогов'!G16*'Репрез.ставки'!$F$12</f>
        <v>35723.92484072719</v>
      </c>
      <c r="I15" s="110">
        <f>'База налогов'!H16*'Репрез.ставки'!$F$14</f>
        <v>93.2816785300367</v>
      </c>
      <c r="J15" s="110">
        <f>'База налогов'!I16*'Репрез.ставки'!$F$15</f>
        <v>3085.882693499762</v>
      </c>
    </row>
    <row r="16" spans="1:10" ht="15.75">
      <c r="A16" s="101" t="s">
        <v>6</v>
      </c>
      <c r="B16" s="110">
        <f t="shared" si="0"/>
        <v>293300.06668899744</v>
      </c>
      <c r="C16" s="111"/>
      <c r="D16" s="110">
        <f t="shared" si="1"/>
        <v>293300.06668899744</v>
      </c>
      <c r="E16" s="110">
        <f>'Репрез.ставки'!$F$7*'База налогов'!B17</f>
        <v>118781.10091096319</v>
      </c>
      <c r="F16" s="110">
        <f>'Репрез.ставки'!$F$9*'База налогов'!E17</f>
        <v>39013.389654416475</v>
      </c>
      <c r="G16" s="110">
        <f>'Репрез.ставки'!$F$11*'База налогов'!F17</f>
        <v>155.32843316152506</v>
      </c>
      <c r="H16" s="110">
        <f>'База налогов'!G17*'Репрез.ставки'!$F$12</f>
        <v>112511.63219590575</v>
      </c>
      <c r="I16" s="110">
        <f>'База налогов'!H17*'Репрез.ставки'!$F$14</f>
        <v>1044.7547995364112</v>
      </c>
      <c r="J16" s="110">
        <f>'База налогов'!I17*'Репрез.ставки'!$F$15</f>
        <v>21793.86069501408</v>
      </c>
    </row>
    <row r="17" spans="1:10" ht="15.75">
      <c r="A17" s="101" t="s">
        <v>13</v>
      </c>
      <c r="B17" s="110">
        <f t="shared" si="0"/>
        <v>162766.84556126295</v>
      </c>
      <c r="C17" s="111"/>
      <c r="D17" s="110">
        <f>SUM(E17:J17)</f>
        <v>162766.84556126295</v>
      </c>
      <c r="E17" s="110">
        <f>'Репрез.ставки'!$F$7*'База налогов'!B18</f>
        <v>95464.0566937125</v>
      </c>
      <c r="F17" s="110">
        <f>'Репрез.ставки'!$F$9*'База налогов'!E18</f>
        <v>16650.473288448964</v>
      </c>
      <c r="G17" s="110">
        <f>'Репрез.ставки'!$F$11*'База налогов'!F18</f>
        <v>517.620364459251</v>
      </c>
      <c r="H17" s="110">
        <f>'База налогов'!G18*'Репрез.ставки'!$F$12</f>
        <v>40376.98182038969</v>
      </c>
      <c r="I17" s="110">
        <f>'База налогов'!H18*'Репрез.ставки'!$F$14</f>
        <v>2518.605320310991</v>
      </c>
      <c r="J17" s="110">
        <f>'База налогов'!I18*'Репрез.ставки'!$F$15</f>
        <v>7239.108073941579</v>
      </c>
    </row>
    <row r="18" spans="1:10" ht="15.75">
      <c r="A18" s="101" t="s">
        <v>113</v>
      </c>
      <c r="B18" s="110"/>
      <c r="C18" s="111"/>
      <c r="D18" s="110"/>
      <c r="E18" s="110"/>
      <c r="F18" s="110"/>
      <c r="G18" s="110"/>
      <c r="H18" s="110"/>
      <c r="I18" s="110"/>
      <c r="J18" s="110"/>
    </row>
    <row r="19" spans="1:10" ht="15.75">
      <c r="A19" s="101" t="s">
        <v>14</v>
      </c>
      <c r="B19" s="110">
        <f aca="true" t="shared" si="2" ref="B19:B45">D19-C19</f>
        <v>46500.13241290885</v>
      </c>
      <c r="C19" s="111"/>
      <c r="D19" s="110">
        <f t="shared" si="1"/>
        <v>46500.13241290885</v>
      </c>
      <c r="E19" s="110">
        <f>'Репрез.ставки'!$F$8*'База налогов'!B20</f>
        <v>25572.63412036353</v>
      </c>
      <c r="F19" s="110">
        <f>'Репрез.ставки'!$F$10*'База налогов'!E20</f>
        <v>2484.0422626071804</v>
      </c>
      <c r="G19" s="110">
        <f>'Репрез.ставки'!$F$11*'База налогов'!F20</f>
        <v>1160.3781678052167</v>
      </c>
      <c r="H19" s="110">
        <f>'База налогов'!G20*'Репрез.ставки'!$F$13</f>
        <v>15444.83688253924</v>
      </c>
      <c r="I19" s="110">
        <f>'База налогов'!H20*'Репрез.ставки'!$F$14</f>
        <v>167.90702135406605</v>
      </c>
      <c r="J19" s="110">
        <f>'База налогов'!I20*'Репрез.ставки'!$F$15</f>
        <v>1670.3339582396181</v>
      </c>
    </row>
    <row r="20" spans="1:10" ht="15.75">
      <c r="A20" s="101" t="s">
        <v>99</v>
      </c>
      <c r="B20" s="110">
        <f t="shared" si="2"/>
        <v>210687.08017537446</v>
      </c>
      <c r="C20" s="111"/>
      <c r="D20" s="110">
        <f t="shared" si="1"/>
        <v>210687.08017537446</v>
      </c>
      <c r="E20" s="110">
        <f>'Репрез.ставки'!$F$8*'База налогов'!B21</f>
        <v>156296.20435509906</v>
      </c>
      <c r="F20" s="110">
        <f>'Репрез.ставки'!$F$10*'База налогов'!E21</f>
        <v>9426.621919637504</v>
      </c>
      <c r="G20" s="110">
        <f>'Репрез.ставки'!$F$11*'База налогов'!F21</f>
        <v>3079.62249544317</v>
      </c>
      <c r="H20" s="110">
        <f>'База налогов'!G21*'Репрез.ставки'!$F$13</f>
        <v>30120.055721153247</v>
      </c>
      <c r="I20" s="110">
        <f>'База налогов'!H21*'Репрез.ставки'!$F$14</f>
        <v>1100.723806654433</v>
      </c>
      <c r="J20" s="110">
        <f>'База налогов'!I21*'Репрез.ставки'!$F$15</f>
        <v>10663.851877387016</v>
      </c>
    </row>
    <row r="21" spans="1:10" ht="15.75">
      <c r="A21" s="101" t="s">
        <v>16</v>
      </c>
      <c r="B21" s="110">
        <f t="shared" si="2"/>
        <v>92384.20198179754</v>
      </c>
      <c r="C21" s="111"/>
      <c r="D21" s="110">
        <f t="shared" si="1"/>
        <v>92384.20198179754</v>
      </c>
      <c r="E21" s="110">
        <f>'Репрез.ставки'!$F$8*'База налогов'!B22</f>
        <v>68463.55906302012</v>
      </c>
      <c r="F21" s="110">
        <f>'Репрез.ставки'!$F$10*'База налогов'!E22</f>
        <v>4925.622264315092</v>
      </c>
      <c r="G21" s="110">
        <f>'Репрез.ставки'!$F$11*'База налогов'!F22</f>
        <v>2653.5626696958443</v>
      </c>
      <c r="H21" s="110">
        <f>'База налогов'!G22*'Репрез.ставки'!$F$13</f>
        <v>13517.602766163984</v>
      </c>
      <c r="I21" s="110">
        <f>'База налогов'!H22*'Репрез.ставки'!$F$14</f>
        <v>93.2816785300367</v>
      </c>
      <c r="J21" s="110">
        <f>'База налогов'!I22*'Репрез.ставки'!$F$15</f>
        <v>2730.573540072455</v>
      </c>
    </row>
    <row r="22" spans="1:10" ht="15.75">
      <c r="A22" s="101" t="s">
        <v>98</v>
      </c>
      <c r="B22" s="110">
        <f t="shared" si="2"/>
        <v>101838.20959287691</v>
      </c>
      <c r="C22" s="111"/>
      <c r="D22" s="110">
        <f t="shared" si="1"/>
        <v>101838.20959287691</v>
      </c>
      <c r="E22" s="110">
        <f>'Репрез.ставки'!$F$8*'База налогов'!B23</f>
        <v>57419.71857625281</v>
      </c>
      <c r="F22" s="110">
        <f>'Репрез.ставки'!$F$10*'База налогов'!E23</f>
        <v>6390.570265339839</v>
      </c>
      <c r="G22" s="110">
        <f>'Репрез.ставки'!$F$11*'База налогов'!F23</f>
        <v>14890.226592219038</v>
      </c>
      <c r="H22" s="110">
        <f>'База налогов'!G23*'Репрез.ставки'!$F$13</f>
        <v>19327.450845495132</v>
      </c>
      <c r="I22" s="110">
        <f>'База налогов'!H23*'Репрез.ставки'!$F$14</f>
        <v>317.15770700212477</v>
      </c>
      <c r="J22" s="110">
        <f>'База налогов'!I23*'Репрез.ставки'!$F$15</f>
        <v>3493.0856065679677</v>
      </c>
    </row>
    <row r="23" spans="1:10" ht="15.75">
      <c r="A23" s="101" t="s">
        <v>97</v>
      </c>
      <c r="B23" s="110">
        <f t="shared" si="2"/>
        <v>96661.74400697503</v>
      </c>
      <c r="C23" s="111"/>
      <c r="D23" s="110">
        <f t="shared" si="1"/>
        <v>96661.74400697503</v>
      </c>
      <c r="E23" s="110">
        <f>'Репрез.ставки'!$F$8*'База налогов'!B24</f>
        <v>60992.43941013593</v>
      </c>
      <c r="F23" s="110">
        <f>'Репрез.ставки'!$F$10*'База налогов'!E24</f>
        <v>5371.476003757407</v>
      </c>
      <c r="G23" s="110">
        <f>'Репрез.ставки'!$F$11*'База налогов'!F24</f>
        <v>7139.676368048937</v>
      </c>
      <c r="H23" s="110">
        <f>'База налогов'!G24*'Репрез.ставки'!$F$13</f>
        <v>19424.14643941389</v>
      </c>
      <c r="I23" s="110">
        <f>'База налогов'!H24*'Репрез.ставки'!$F$14</f>
        <v>261.1886998841028</v>
      </c>
      <c r="J23" s="110">
        <f>'База налогов'!I24*'Репрез.ставки'!$F$15</f>
        <v>3472.8170857347623</v>
      </c>
    </row>
    <row r="24" spans="1:10" ht="15.75">
      <c r="A24" s="101" t="s">
        <v>96</v>
      </c>
      <c r="B24" s="110">
        <f t="shared" si="2"/>
        <v>76761.02156307633</v>
      </c>
      <c r="C24" s="111"/>
      <c r="D24" s="110">
        <f t="shared" si="1"/>
        <v>76761.02156307633</v>
      </c>
      <c r="E24" s="110">
        <f>'Репрез.ставки'!$F$8*'База налогов'!B25</f>
        <v>45832.81244559804</v>
      </c>
      <c r="F24" s="110">
        <f>'Репрез.ставки'!$F$10*'База налогов'!E25</f>
        <v>6135.7966999442315</v>
      </c>
      <c r="G24" s="110">
        <f>'Репрез.ставки'!$F$11*'База налогов'!F25</f>
        <v>4446.117684909593</v>
      </c>
      <c r="H24" s="110">
        <f>'База налогов'!G25*'Репрез.ставки'!$F$13</f>
        <v>15211.51368335218</v>
      </c>
      <c r="I24" s="110">
        <f>'База налогов'!H25*'Репрез.ставки'!$F$14</f>
        <v>1660.4138778346532</v>
      </c>
      <c r="J24" s="110">
        <f>'База налогов'!I25*'Репрез.ставки'!$F$15</f>
        <v>3474.367171437623</v>
      </c>
    </row>
    <row r="25" spans="1:10" ht="15.75">
      <c r="A25" s="101" t="s">
        <v>8</v>
      </c>
      <c r="B25" s="110">
        <f>D25-C25</f>
        <v>802609.0996333242</v>
      </c>
      <c r="C25" s="112">
        <v>9292.443852667053</v>
      </c>
      <c r="D25" s="110">
        <f>SUM(E25:J25)</f>
        <v>811901.5434859912</v>
      </c>
      <c r="E25" s="110">
        <f>'Репрез.ставки'!$F$8*'База налогов'!B26</f>
        <v>570237.4803665436</v>
      </c>
      <c r="F25" s="110">
        <f>'Репрез.ставки'!$F$10*'База налогов'!E26</f>
        <v>19723.720187710005</v>
      </c>
      <c r="G25" s="110">
        <f>'Репрез.ставки'!$F$11*'База налогов'!F26</f>
        <v>1602.097808339944</v>
      </c>
      <c r="H25" s="110">
        <f>'База налогов'!G26*'Репрез.ставки'!$F$13</f>
        <v>198378.17444182423</v>
      </c>
      <c r="I25" s="110">
        <f>'База налогов'!H26*'Репрез.ставки'!$F$14</f>
        <v>914.1604495943596</v>
      </c>
      <c r="J25" s="110">
        <f>'База налогов'!I26*'Репрез.ставки'!$F$15</f>
        <v>21045.91023197901</v>
      </c>
    </row>
    <row r="26" spans="1:10" ht="15.75">
      <c r="A26" s="101" t="s">
        <v>95</v>
      </c>
      <c r="B26" s="110">
        <f t="shared" si="2"/>
        <v>40564.97239994895</v>
      </c>
      <c r="C26" s="112"/>
      <c r="D26" s="110">
        <f t="shared" si="1"/>
        <v>40564.97239994895</v>
      </c>
      <c r="E26" s="110">
        <f>'Репрез.ставки'!$F$8*'База налогов'!B27</f>
        <v>23202.792705658332</v>
      </c>
      <c r="F26" s="110">
        <f>'Репрез.ставки'!$F$10*'База налогов'!E27</f>
        <v>1804.6460882188917</v>
      </c>
      <c r="G26" s="110">
        <f>'Репрез.ставки'!$F$11*'База налогов'!F27</f>
        <v>1201.2206577237102</v>
      </c>
      <c r="H26" s="110">
        <f>'База налогов'!G27*'Репрез.ставки'!$F$13</f>
        <v>13256.697450150494</v>
      </c>
      <c r="I26" s="110">
        <f>'База налогов'!H27*'Репрез.ставки'!$F$14</f>
        <v>111.93801423604404</v>
      </c>
      <c r="J26" s="110">
        <f>'База налогов'!I27*'Репрез.ставки'!$F$15</f>
        <v>987.6774839614751</v>
      </c>
    </row>
    <row r="27" spans="1:10" ht="15.75">
      <c r="A27" s="101" t="s">
        <v>94</v>
      </c>
      <c r="B27" s="110">
        <f t="shared" si="2"/>
        <v>64549.63901652665</v>
      </c>
      <c r="C27" s="112"/>
      <c r="D27" s="110">
        <f t="shared" si="1"/>
        <v>64549.63901652665</v>
      </c>
      <c r="E27" s="110">
        <f>'Репрез.ставки'!$F$8*'База налогов'!B28</f>
        <v>38470.52316162724</v>
      </c>
      <c r="F27" s="110">
        <f>'Репрез.ставки'!$F$10*'База налогов'!E28</f>
        <v>3715.4478286859535</v>
      </c>
      <c r="G27" s="110">
        <f>'Репрез.ставки'!$F$11*'База налогов'!F28</f>
        <v>2939.1779403003015</v>
      </c>
      <c r="H27" s="110">
        <f>'База налогов'!G28*'Репрез.ставки'!$F$13</f>
        <v>18061.75527269778</v>
      </c>
      <c r="I27" s="110">
        <f>'База налогов'!H28*'Репрез.ставки'!$F$14</f>
        <v>261.1886998841028</v>
      </c>
      <c r="J27" s="110">
        <f>'База налогов'!I28*'Репрез.ставки'!$F$15</f>
        <v>1101.5461133312717</v>
      </c>
    </row>
    <row r="28" spans="1:10" ht="15.75">
      <c r="A28" s="101" t="s">
        <v>93</v>
      </c>
      <c r="B28" s="110">
        <f t="shared" si="2"/>
        <v>173540.1749458692</v>
      </c>
      <c r="C28" s="112">
        <v>973.2072729746133</v>
      </c>
      <c r="D28" s="110">
        <f t="shared" si="1"/>
        <v>174513.3822188438</v>
      </c>
      <c r="E28" s="110">
        <f>'Репрез.ставки'!$F$8*'База налогов'!B29</f>
        <v>118094.68427546056</v>
      </c>
      <c r="F28" s="110">
        <f>'Репрез.ставки'!$F$10*'База налогов'!E29</f>
        <v>6793.961743882886</v>
      </c>
      <c r="G28" s="110">
        <f>'Репрез.ставки'!$F$11*'База налогов'!F29</f>
        <v>5242.793127292092</v>
      </c>
      <c r="H28" s="110">
        <f>'База налогов'!G29*'Репрез.ставки'!$F$13</f>
        <v>39198.1175708973</v>
      </c>
      <c r="I28" s="110">
        <f>'База налогов'!H29*'Репрез.ставки'!$F$14</f>
        <v>317.15770700212477</v>
      </c>
      <c r="J28" s="110">
        <f>'База налогов'!I29*'Репрез.ставки'!$F$15</f>
        <v>4866.667794308807</v>
      </c>
    </row>
    <row r="29" spans="1:10" ht="15.75">
      <c r="A29" s="101" t="s">
        <v>92</v>
      </c>
      <c r="B29" s="110">
        <f t="shared" si="2"/>
        <v>226067.08412755418</v>
      </c>
      <c r="C29" s="112"/>
      <c r="D29" s="110">
        <f t="shared" si="1"/>
        <v>226067.08412755418</v>
      </c>
      <c r="E29" s="110">
        <f>'Репрез.ставки'!$F$8*'База налогов'!B30</f>
        <v>153306.83517587645</v>
      </c>
      <c r="F29" s="110">
        <f>'Репрез.ставки'!$F$10*'База налогов'!E30</f>
        <v>12080.513225841756</v>
      </c>
      <c r="G29" s="110">
        <f>'Репрез.ставки'!$F$11*'База налогов'!F30</f>
        <v>4840.223023725869</v>
      </c>
      <c r="H29" s="110">
        <f>'База налогов'!G30*'Репрез.ставки'!$F$13</f>
        <v>46014.30137904308</v>
      </c>
      <c r="I29" s="110">
        <f>'База налогов'!H30*'Репрез.ставки'!$F$14</f>
        <v>1175.3491494784623</v>
      </c>
      <c r="J29" s="110">
        <f>'База налогов'!I30*'Репрез.ставки'!$F$15</f>
        <v>8649.862173588577</v>
      </c>
    </row>
    <row r="30" spans="1:10" ht="15.75">
      <c r="A30" s="101" t="s">
        <v>91</v>
      </c>
      <c r="B30" s="110">
        <f t="shared" si="2"/>
        <v>61586.03587056046</v>
      </c>
      <c r="C30" s="112"/>
      <c r="D30" s="110">
        <f t="shared" si="1"/>
        <v>61586.03587056046</v>
      </c>
      <c r="E30" s="110">
        <f>'Репрез.ставки'!$F$8*'База налогов'!B31</f>
        <v>42998.874338669826</v>
      </c>
      <c r="F30" s="110">
        <f>'Репрез.ставки'!$F$10*'База налогов'!E31</f>
        <v>3672.9855677866854</v>
      </c>
      <c r="G30" s="110">
        <f>'Репрез.ставки'!$F$11*'База налогов'!F31</f>
        <v>2396.7275992412065</v>
      </c>
      <c r="H30" s="110">
        <f>'База налогов'!G31*'Репрез.ставки'!$F$13</f>
        <v>10509.798544288478</v>
      </c>
      <c r="I30" s="110">
        <f>'База налогов'!H31*'Репрез.ставки'!$F$14</f>
        <v>391.7830498261541</v>
      </c>
      <c r="J30" s="110">
        <f>'База налогов'!I31*'Репрез.ставки'!$F$15</f>
        <v>1615.866770748116</v>
      </c>
    </row>
    <row r="31" spans="1:10" ht="15.75">
      <c r="A31" s="101" t="s">
        <v>90</v>
      </c>
      <c r="B31" s="110">
        <f t="shared" si="2"/>
        <v>129025.59981562235</v>
      </c>
      <c r="C31" s="112"/>
      <c r="D31" s="110">
        <f t="shared" si="1"/>
        <v>129025.59981562235</v>
      </c>
      <c r="E31" s="110">
        <f>'Репрез.ставки'!$F$8*'База налогов'!B32</f>
        <v>92630.95482460006</v>
      </c>
      <c r="F31" s="110">
        <f>'Репрез.ставки'!$F$10*'База налогов'!E32</f>
        <v>4755.773220718021</v>
      </c>
      <c r="G31" s="110">
        <f>'Репрез.ставки'!$F$11*'База налогов'!F32</f>
        <v>3084.701354293138</v>
      </c>
      <c r="H31" s="110">
        <f>'База налогов'!G32*'Репрез.ставки'!$F$13</f>
        <v>25353.56012631213</v>
      </c>
      <c r="I31" s="110">
        <f>'База налогов'!H32*'Репрез.ставки'!$F$14</f>
        <v>876.847778182345</v>
      </c>
      <c r="J31" s="110">
        <f>'База налогов'!I32*'Репрез.ставки'!$F$15</f>
        <v>2323.762511516641</v>
      </c>
    </row>
    <row r="32" spans="1:10" ht="15.75">
      <c r="A32" s="101" t="s">
        <v>89</v>
      </c>
      <c r="B32" s="110">
        <f t="shared" si="2"/>
        <v>94364.41337461586</v>
      </c>
      <c r="C32" s="112"/>
      <c r="D32" s="110">
        <f t="shared" si="1"/>
        <v>94364.41337461586</v>
      </c>
      <c r="E32" s="110">
        <f>'Репрез.ставки'!$F$8*'База налогов'!B33</f>
        <v>60983.867715165776</v>
      </c>
      <c r="F32" s="110">
        <f>'Репрез.ставки'!$F$10*'База налогов'!E33</f>
        <v>3970.221394081562</v>
      </c>
      <c r="G32" s="110">
        <f>'Репрез.ставки'!$F$11*'База налогов'!F33</f>
        <v>4313.644116572925</v>
      </c>
      <c r="H32" s="110">
        <f>'База налогов'!G33*'Репрез.ставки'!$F$13</f>
        <v>21932.166897303876</v>
      </c>
      <c r="I32" s="110">
        <f>'База налогов'!H33*'Репрез.ставки'!$F$14</f>
        <v>149.25068564805872</v>
      </c>
      <c r="J32" s="110">
        <f>'База налогов'!I33*'Репрез.ставки'!$F$15</f>
        <v>3015.2625658436523</v>
      </c>
    </row>
    <row r="33" spans="1:10" ht="15.75">
      <c r="A33" s="101" t="s">
        <v>88</v>
      </c>
      <c r="B33" s="110">
        <f t="shared" si="2"/>
        <v>371250.741354994</v>
      </c>
      <c r="C33" s="112">
        <v>690.3914784040894</v>
      </c>
      <c r="D33" s="110">
        <f t="shared" si="1"/>
        <v>371941.1328333981</v>
      </c>
      <c r="E33" s="110">
        <f>'Репрез.ставки'!$F$8*'База налогов'!B34</f>
        <v>240898.54382523193</v>
      </c>
      <c r="F33" s="110">
        <f>'Репрез.ставки'!$F$10*'База налогов'!E34</f>
        <v>16496.588359365633</v>
      </c>
      <c r="G33" s="110">
        <f>'Репрез.ставки'!$F$11*'База налогов'!F34</f>
        <v>2649.118668202122</v>
      </c>
      <c r="H33" s="110">
        <f>'База налогов'!G34*'Репрез.ставки'!$F$13</f>
        <v>89963.24626990654</v>
      </c>
      <c r="I33" s="110">
        <f>'База налогов'!H34*'Репрез.ставки'!$F$14</f>
        <v>3787.23614831949</v>
      </c>
      <c r="J33" s="110">
        <f>'База налогов'!I34*'Репрез.ставки'!$F$15</f>
        <v>18146.399562372397</v>
      </c>
    </row>
    <row r="34" spans="1:10" ht="15.75">
      <c r="A34" s="101" t="s">
        <v>87</v>
      </c>
      <c r="B34" s="110">
        <f t="shared" si="2"/>
        <v>38628.781513338654</v>
      </c>
      <c r="C34" s="112"/>
      <c r="D34" s="110">
        <f t="shared" si="1"/>
        <v>38628.781513338654</v>
      </c>
      <c r="E34" s="110">
        <f>'Репрез.ставки'!$F$8*'База налогов'!B35</f>
        <v>26159.11631509248</v>
      </c>
      <c r="F34" s="110">
        <f>'Репрез.ставки'!$F$10*'База налогов'!E35</f>
        <v>3779.1412200348555</v>
      </c>
      <c r="G34" s="110">
        <f>'Репрез.ставки'!$F$11*'База налогов'!F35</f>
        <v>224.81004381733894</v>
      </c>
      <c r="H34" s="110">
        <f>'База налогов'!G35*'Репрез.ставки'!$F$13</f>
        <v>7437.567631575937</v>
      </c>
      <c r="I34" s="110">
        <f>'База налогов'!H35*'Репрез.ставки'!$F$14</f>
        <v>0</v>
      </c>
      <c r="J34" s="110">
        <f>'База налогов'!I35*'Репрез.ставки'!$F$15</f>
        <v>1028.1463028180365</v>
      </c>
    </row>
    <row r="35" spans="1:10" ht="15.75">
      <c r="A35" s="101" t="s">
        <v>86</v>
      </c>
      <c r="B35" s="110">
        <f t="shared" si="2"/>
        <v>182299.4108167258</v>
      </c>
      <c r="C35" s="112">
        <v>640.8967022382523</v>
      </c>
      <c r="D35" s="110">
        <f t="shared" si="1"/>
        <v>182940.30751896405</v>
      </c>
      <c r="E35" s="110">
        <f>'Репрез.ставки'!$F$8*'База налогов'!B36</f>
        <v>141519.01504925996</v>
      </c>
      <c r="F35" s="110">
        <f>'Репрез.ставки'!$F$10*'База налогов'!E36</f>
        <v>8513.683310303242</v>
      </c>
      <c r="G35" s="110">
        <f>'Репрез.ставки'!$F$11*'База налогов'!F36</f>
        <v>2106.7388668492767</v>
      </c>
      <c r="H35" s="110">
        <f>'База налогов'!G36*'Репрез.ставки'!$F$13</f>
        <v>20814.91775523058</v>
      </c>
      <c r="I35" s="110">
        <f>'База налогов'!H36*'Репрез.ставки'!$F$14</f>
        <v>615.6590782982422</v>
      </c>
      <c r="J35" s="110">
        <f>'База налогов'!I36*'Репрез.ставки'!$F$15</f>
        <v>9370.29345902271</v>
      </c>
    </row>
    <row r="36" spans="1:10" ht="15.75">
      <c r="A36" s="101" t="s">
        <v>85</v>
      </c>
      <c r="B36" s="110">
        <f t="shared" si="2"/>
        <v>89754.67742130383</v>
      </c>
      <c r="C36" s="112"/>
      <c r="D36" s="110">
        <f t="shared" si="1"/>
        <v>89754.67742130383</v>
      </c>
      <c r="E36" s="110">
        <f>'Репрез.ставки'!$F$8*'База налогов'!B37</f>
        <v>59734.44045539675</v>
      </c>
      <c r="F36" s="110">
        <f>'Репрез.ставки'!$F$10*'База налогов'!E37</f>
        <v>5498.862786455211</v>
      </c>
      <c r="G36" s="110">
        <f>'Репрез.ставки'!$F$11*'База налогов'!F37</f>
        <v>7726.1434858077555</v>
      </c>
      <c r="H36" s="110">
        <f>'База налогов'!G37*'Репрез.ставки'!$F$13</f>
        <v>14058.516379677441</v>
      </c>
      <c r="I36" s="110">
        <f>'База налогов'!H37*'Репрез.ставки'!$F$14</f>
        <v>205.21969276608075</v>
      </c>
      <c r="J36" s="110">
        <f>'База налогов'!I37*'Репрез.ставки'!$F$15</f>
        <v>2531.4946212005875</v>
      </c>
    </row>
    <row r="37" spans="1:10" ht="15.75">
      <c r="A37" s="101" t="s">
        <v>84</v>
      </c>
      <c r="B37" s="110">
        <f t="shared" si="2"/>
        <v>89028.80274036538</v>
      </c>
      <c r="C37" s="112"/>
      <c r="D37" s="110">
        <f t="shared" si="1"/>
        <v>89028.80274036538</v>
      </c>
      <c r="E37" s="110">
        <f>'Репрез.ставки'!$F$8*'База налогов'!B38</f>
        <v>53252.02752427448</v>
      </c>
      <c r="F37" s="110">
        <f>'Репрез.ставки'!$F$10*'База налогов'!E38</f>
        <v>3269.594089243639</v>
      </c>
      <c r="G37" s="110">
        <f>'Репрез.ставки'!$F$11*'База налогов'!F38</f>
        <v>3755.816119551426</v>
      </c>
      <c r="H37" s="110">
        <f>'База налогов'!G38*'Репрез.ставки'!$F$13</f>
        <v>25653.768931245853</v>
      </c>
      <c r="I37" s="110">
        <f>'База налогов'!H38*'Репрез.ставки'!$F$14</f>
        <v>690.2844211222716</v>
      </c>
      <c r="J37" s="110">
        <f>'База налогов'!I38*'Репрез.ставки'!$F$15</f>
        <v>2407.311654927725</v>
      </c>
    </row>
    <row r="38" spans="1:10" ht="15.75">
      <c r="A38" s="101" t="s">
        <v>83</v>
      </c>
      <c r="B38" s="110">
        <f t="shared" si="2"/>
        <v>88767.19265868764</v>
      </c>
      <c r="C38" s="112"/>
      <c r="D38" s="110">
        <f t="shared" si="1"/>
        <v>88767.19265868764</v>
      </c>
      <c r="E38" s="110">
        <f>'Репрез.ставки'!$F$8*'База налогов'!B39</f>
        <v>61756.7353985959</v>
      </c>
      <c r="F38" s="110">
        <f>'Репрез.ставки'!$F$10*'База налогов'!E39</f>
        <v>5031.777916563263</v>
      </c>
      <c r="G38" s="110">
        <f>'Репрез.ставки'!$F$11*'База налогов'!F39</f>
        <v>5279.89701277936</v>
      </c>
      <c r="H38" s="110">
        <f>'База налогов'!G39*'Репрез.ставки'!$F$13</f>
        <v>12403.876217002746</v>
      </c>
      <c r="I38" s="110">
        <f>'База налогов'!H39*'Репрез.ставки'!$F$14</f>
        <v>447.75205694417616</v>
      </c>
      <c r="J38" s="110">
        <f>'База налогов'!I39*'Репрез.ставки'!$F$15</f>
        <v>3847.154056802197</v>
      </c>
    </row>
    <row r="39" spans="1:10" ht="15.75">
      <c r="A39" s="101" t="s">
        <v>82</v>
      </c>
      <c r="B39" s="110">
        <f t="shared" si="2"/>
        <v>331469.6387083214</v>
      </c>
      <c r="C39" s="112"/>
      <c r="D39" s="110">
        <f t="shared" si="1"/>
        <v>331469.6387083214</v>
      </c>
      <c r="E39" s="110">
        <f>'Репрез.ставки'!$F$8*'База налогов'!B40</f>
        <v>263107.21945790586</v>
      </c>
      <c r="F39" s="110">
        <f>'Репрез.ставки'!$F$10*'База налогов'!E40</f>
        <v>10084.78696357616</v>
      </c>
      <c r="G39" s="110">
        <f>'Репрез.ставки'!$F$11*'База налогов'!F40</f>
        <v>475.86085835951314</v>
      </c>
      <c r="H39" s="110">
        <f>'База налогов'!G40*'Репрез.ставки'!$F$13</f>
        <v>44001.96232889337</v>
      </c>
      <c r="I39" s="110">
        <f>'База налогов'!H40*'Репрез.ставки'!$F$14</f>
        <v>5130.492319152018</v>
      </c>
      <c r="J39" s="110">
        <f>'База налогов'!I40*'Репрез.ставки'!$F$15</f>
        <v>8669.316780434507</v>
      </c>
    </row>
    <row r="40" spans="1:10" ht="15.75">
      <c r="A40" s="101" t="s">
        <v>51</v>
      </c>
      <c r="B40" s="110">
        <f t="shared" si="2"/>
        <v>534287.2103310472</v>
      </c>
      <c r="C40" s="112">
        <v>10602.174097220595</v>
      </c>
      <c r="D40" s="110">
        <f t="shared" si="1"/>
        <v>544889.3844282678</v>
      </c>
      <c r="E40" s="110">
        <f>'Репрез.ставки'!$F$8*'База налогов'!B41</f>
        <v>330096.3342771488</v>
      </c>
      <c r="F40" s="110">
        <f>'Репрез.ставки'!$F$10*'База налогов'!E41</f>
        <v>17069.828881505753</v>
      </c>
      <c r="G40" s="110">
        <f>'Репрез.ставки'!$F$11*'База налогов'!F41</f>
        <v>13702.620097801493</v>
      </c>
      <c r="H40" s="110">
        <f>'База налогов'!G41*'Репрез.ставки'!$F$13</f>
        <v>154099.89682643558</v>
      </c>
      <c r="I40" s="110">
        <f>'База налогов'!H41*'Репрез.ставки'!$F$14</f>
        <v>2145.478606190844</v>
      </c>
      <c r="J40" s="110">
        <f>'База налогов'!I41*'Репрез.ставки'!$F$15</f>
        <v>27775.225739185385</v>
      </c>
    </row>
    <row r="41" spans="1:10" ht="15.75">
      <c r="A41" s="101" t="s">
        <v>81</v>
      </c>
      <c r="B41" s="110">
        <f t="shared" si="2"/>
        <v>110619.14439998295</v>
      </c>
      <c r="C41" s="112"/>
      <c r="D41" s="110">
        <f t="shared" si="1"/>
        <v>110619.14439998295</v>
      </c>
      <c r="E41" s="110">
        <f>'Репрез.ставки'!$F$8*'База налогов'!B42</f>
        <v>76256.97971611616</v>
      </c>
      <c r="F41" s="110">
        <f>'Репрез.ставки'!$F$10*'База налогов'!E42</f>
        <v>4585.924177120948</v>
      </c>
      <c r="G41" s="110">
        <f>'Репрез.ставки'!$F$11*'База налогов'!F42</f>
        <v>3006.8960582998766</v>
      </c>
      <c r="H41" s="110">
        <f>'База налогов'!G42*'Репрез.ставки'!$F$13</f>
        <v>20275.888530152068</v>
      </c>
      <c r="I41" s="110">
        <f>'База налогов'!H42*'Репрез.ставки'!$F$14</f>
        <v>186.5633570600734</v>
      </c>
      <c r="J41" s="110">
        <f>'База налогов'!I42*'Репрез.ставки'!$F$15</f>
        <v>6306.892561233831</v>
      </c>
    </row>
    <row r="42" spans="1:10" ht="15.75">
      <c r="A42" s="101" t="s">
        <v>80</v>
      </c>
      <c r="B42" s="110">
        <f t="shared" si="2"/>
        <v>63524.74889807717</v>
      </c>
      <c r="C42" s="112"/>
      <c r="D42" s="110">
        <f t="shared" si="1"/>
        <v>63524.74889807717</v>
      </c>
      <c r="E42" s="110">
        <f>'Репрез.ставки'!$F$8*'База налогов'!B43</f>
        <v>40498.62550977352</v>
      </c>
      <c r="F42" s="110">
        <f>'Репрез.ставки'!$F$10*'База налогов'!E43</f>
        <v>3184.669567445103</v>
      </c>
      <c r="G42" s="110">
        <f>'Репрез.ставки'!$F$11*'База налогов'!F43</f>
        <v>4568.786234077573</v>
      </c>
      <c r="H42" s="110">
        <f>'База налогов'!G43*'Репрез.ставки'!$F$13</f>
        <v>12736.709006744804</v>
      </c>
      <c r="I42" s="110">
        <f>'База налогов'!H43*'Репрез.ставки'!$F$14</f>
        <v>55.96900711802202</v>
      </c>
      <c r="J42" s="110">
        <f>'База налогов'!I43*'Репрез.ставки'!$F$15</f>
        <v>2479.989572918134</v>
      </c>
    </row>
    <row r="43" spans="1:10" ht="15.75">
      <c r="A43" s="101" t="s">
        <v>79</v>
      </c>
      <c r="B43" s="110">
        <f t="shared" si="2"/>
        <v>61181.2851655067</v>
      </c>
      <c r="C43" s="112"/>
      <c r="D43" s="110">
        <f t="shared" si="1"/>
        <v>61181.2851655067</v>
      </c>
      <c r="E43" s="110">
        <f>'Репрез.ставки'!$F$8*'База налогов'!B44</f>
        <v>42572.404759014506</v>
      </c>
      <c r="F43" s="110">
        <f>'Репрез.ставки'!$F$10*'База налогов'!E44</f>
        <v>3779.1412200348555</v>
      </c>
      <c r="G43" s="110">
        <f>'Репрез.ставки'!$F$11*'База налогов'!F44</f>
        <v>531.2345277654156</v>
      </c>
      <c r="H43" s="110">
        <f>'База налогов'!G44*'Репрез.ставки'!$F$13</f>
        <v>11984.93193170576</v>
      </c>
      <c r="I43" s="110">
        <f>'База налогов'!H44*'Репрез.ставки'!$F$14</f>
        <v>597.0027425922349</v>
      </c>
      <c r="J43" s="110">
        <f>'База налогов'!I44*'Репрез.ставки'!$F$15</f>
        <v>1716.569984393925</v>
      </c>
    </row>
    <row r="44" spans="1:10" ht="15.75">
      <c r="A44" s="101" t="s">
        <v>78</v>
      </c>
      <c r="B44" s="110">
        <f t="shared" si="2"/>
        <v>68542.988292119</v>
      </c>
      <c r="C44" s="112"/>
      <c r="D44" s="110">
        <f t="shared" si="1"/>
        <v>68542.988292119</v>
      </c>
      <c r="E44" s="110">
        <f>'Репрез.ставки'!$F$8*'База налогов'!B45</f>
        <v>40952.48181950591</v>
      </c>
      <c r="F44" s="110">
        <f>'Репрез.ставки'!$F$10*'База налогов'!E45</f>
        <v>5201.626960160334</v>
      </c>
      <c r="G44" s="110">
        <f>'Репрез.ставки'!$F$11*'База налогов'!F45</f>
        <v>840.7627587884728</v>
      </c>
      <c r="H44" s="110">
        <f>'База налогов'!G45*'Репрез.ставки'!$F$13</f>
        <v>19663.035904736305</v>
      </c>
      <c r="I44" s="110">
        <f>'База налогов'!H45*'Репрез.ставки'!$F$14</f>
        <v>354.4703784141395</v>
      </c>
      <c r="J44" s="110">
        <f>'База налогов'!I45*'Репрез.ставки'!$F$15</f>
        <v>1530.6104705138207</v>
      </c>
    </row>
    <row r="45" spans="1:10" ht="15.75">
      <c r="A45" s="101" t="s">
        <v>77</v>
      </c>
      <c r="B45" s="110">
        <f t="shared" si="2"/>
        <v>75520.98413304109</v>
      </c>
      <c r="C45" s="112"/>
      <c r="D45" s="110">
        <f t="shared" si="1"/>
        <v>75520.98413304109</v>
      </c>
      <c r="E45" s="110">
        <f>'Репрез.ставки'!$F$8*'База налогов'!B46</f>
        <v>45718.09779861192</v>
      </c>
      <c r="F45" s="110">
        <f>'Репрез.ставки'!$F$10*'База налогов'!E46</f>
        <v>4989.315655663994</v>
      </c>
      <c r="G45" s="110">
        <f>'Репрез.ставки'!$F$11*'База налогов'!F46</f>
        <v>1035.8050465684985</v>
      </c>
      <c r="H45" s="110">
        <f>'База налогов'!G46*'Репрез.ставки'!$F$13</f>
        <v>20013.664566057705</v>
      </c>
      <c r="I45" s="110">
        <f>'База налогов'!H46*'Репрез.ставки'!$F$14</f>
        <v>37.31267141201468</v>
      </c>
      <c r="J45" s="110">
        <f>'База налогов'!I46*'Репрез.ставки'!$F$15</f>
        <v>3726.788394726962</v>
      </c>
    </row>
    <row r="46" spans="1:10" s="57" customFormat="1" ht="20.25" customHeight="1">
      <c r="A46" s="11" t="s">
        <v>35</v>
      </c>
      <c r="B46" s="58">
        <f aca="true" t="shared" si="3" ref="B46:I46">SUM(B8:B45)</f>
        <v>24977521.219022103</v>
      </c>
      <c r="C46" s="59">
        <f t="shared" si="3"/>
        <v>22199.113403504605</v>
      </c>
      <c r="D46" s="58">
        <f t="shared" si="3"/>
        <v>24999720.33242561</v>
      </c>
      <c r="E46" s="58">
        <f t="shared" si="3"/>
        <v>16882260.978809997</v>
      </c>
      <c r="F46" s="58">
        <f t="shared" si="3"/>
        <v>1385562.63529</v>
      </c>
      <c r="G46" s="58">
        <f t="shared" si="3"/>
        <v>124469.07516999998</v>
      </c>
      <c r="H46" s="58">
        <f t="shared" si="3"/>
        <v>4714359.91941</v>
      </c>
      <c r="I46" s="58">
        <f t="shared" si="3"/>
        <v>96583.84995000005</v>
      </c>
      <c r="J46" s="58">
        <f>SUM(J8:J45)</f>
        <v>1796483.8737955994</v>
      </c>
    </row>
    <row r="47" spans="2:7" ht="15.75">
      <c r="B47" s="56"/>
      <c r="C47" s="56"/>
      <c r="D47" s="56"/>
      <c r="E47" s="56"/>
      <c r="F47" s="56"/>
      <c r="G47" s="56"/>
    </row>
    <row r="48" spans="5:7" ht="15.75">
      <c r="E48" s="56"/>
      <c r="F48" s="56"/>
      <c r="G48" s="56"/>
    </row>
    <row r="49" spans="2:7" ht="15.75">
      <c r="B49" s="56"/>
      <c r="C49" s="56"/>
      <c r="D49" s="56"/>
      <c r="F49" s="55"/>
      <c r="G49" s="55"/>
    </row>
  </sheetData>
  <sheetProtection/>
  <mergeCells count="2">
    <mergeCell ref="A2:G2"/>
    <mergeCell ref="A3:J3"/>
  </mergeCells>
  <printOptions gridLines="1" horizontalCentered="1"/>
  <pageMargins left="0.2755905511811024" right="0.2362204724409449" top="0.3937007874015748" bottom="0.2362204724409449" header="0.15748031496062992" footer="0.2362204724409449"/>
  <pageSetup fitToHeight="1" fitToWidth="1" horizontalDpi="600" verticalDpi="6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tabColor theme="5" tint="-0.24997000396251678"/>
  </sheetPr>
  <dimension ref="A1:I52"/>
  <sheetViews>
    <sheetView zoomScale="75" zoomScaleNormal="75" zoomScalePageLayoutView="0" workbookViewId="0" topLeftCell="A1">
      <pane ySplit="6" topLeftCell="A7" activePane="bottomLeft" state="frozen"/>
      <selection pane="topLeft" activeCell="G14" sqref="G14"/>
      <selection pane="bottomLeft" activeCell="A2" sqref="A2:H2"/>
    </sheetView>
  </sheetViews>
  <sheetFormatPr defaultColWidth="9.00390625" defaultRowHeight="12.75"/>
  <cols>
    <col min="1" max="1" width="23.25390625" style="67" customWidth="1"/>
    <col min="2" max="2" width="12.75390625" style="67" hidden="1" customWidth="1"/>
    <col min="3" max="4" width="11.00390625" style="67" customWidth="1"/>
    <col min="5" max="5" width="12.375" style="67" customWidth="1"/>
    <col min="6" max="6" width="12.125" style="67" customWidth="1"/>
    <col min="7" max="7" width="11.25390625" style="67" customWidth="1"/>
    <col min="8" max="8" width="17.375" style="67" customWidth="1"/>
    <col min="9" max="9" width="9.125" style="67" customWidth="1"/>
    <col min="10" max="10" width="16.625" style="67" customWidth="1"/>
    <col min="11" max="12" width="9.125" style="67" customWidth="1"/>
    <col min="13" max="13" width="12.75390625" style="67" bestFit="1" customWidth="1"/>
    <col min="14" max="15" width="9.125" style="67" customWidth="1"/>
    <col min="16" max="16" width="14.75390625" style="67" bestFit="1" customWidth="1"/>
    <col min="17" max="17" width="10.875" style="67" bestFit="1" customWidth="1"/>
    <col min="18" max="20" width="13.25390625" style="67" bestFit="1" customWidth="1"/>
    <col min="21" max="21" width="11.00390625" style="67" customWidth="1"/>
    <col min="22" max="22" width="10.875" style="67" bestFit="1" customWidth="1"/>
    <col min="23" max="23" width="9.625" style="67" bestFit="1" customWidth="1"/>
    <col min="24" max="16384" width="9.125" style="67" customWidth="1"/>
  </cols>
  <sheetData>
    <row r="1" spans="1:8" ht="15.75" customHeight="1">
      <c r="A1" s="86"/>
      <c r="B1" s="86"/>
      <c r="C1" s="86"/>
      <c r="D1" s="86"/>
      <c r="E1" s="86"/>
      <c r="F1" s="86"/>
      <c r="G1" s="86"/>
      <c r="H1" s="87" t="s">
        <v>124</v>
      </c>
    </row>
    <row r="2" spans="1:8" ht="30" customHeight="1">
      <c r="A2" s="232" t="s">
        <v>165</v>
      </c>
      <c r="B2" s="232"/>
      <c r="C2" s="232"/>
      <c r="D2" s="232"/>
      <c r="E2" s="232"/>
      <c r="F2" s="232"/>
      <c r="G2" s="232"/>
      <c r="H2" s="232"/>
    </row>
    <row r="3" spans="1:8" ht="49.5" customHeight="1">
      <c r="A3" s="89" t="s">
        <v>123</v>
      </c>
      <c r="B3" s="90" t="s">
        <v>122</v>
      </c>
      <c r="C3" s="237" t="s">
        <v>147</v>
      </c>
      <c r="D3" s="237"/>
      <c r="E3" s="146" t="s">
        <v>148</v>
      </c>
      <c r="F3" s="146" t="s">
        <v>149</v>
      </c>
      <c r="G3" s="239" t="s">
        <v>150</v>
      </c>
      <c r="H3" s="91" t="s">
        <v>121</v>
      </c>
    </row>
    <row r="4" spans="1:8" ht="21" customHeight="1">
      <c r="A4" s="235" t="s">
        <v>120</v>
      </c>
      <c r="B4" s="238" t="s">
        <v>119</v>
      </c>
      <c r="C4" s="238"/>
      <c r="D4" s="238"/>
      <c r="E4" s="238"/>
      <c r="F4" s="238"/>
      <c r="G4" s="239"/>
      <c r="H4" s="233" t="s">
        <v>118</v>
      </c>
    </row>
    <row r="5" spans="1:8" ht="18" customHeight="1">
      <c r="A5" s="236"/>
      <c r="B5" s="92" t="s">
        <v>117</v>
      </c>
      <c r="C5" s="92" t="s">
        <v>117</v>
      </c>
      <c r="D5" s="92" t="s">
        <v>116</v>
      </c>
      <c r="E5" s="92" t="s">
        <v>115</v>
      </c>
      <c r="F5" s="92" t="s">
        <v>114</v>
      </c>
      <c r="G5" s="239"/>
      <c r="H5" s="234"/>
    </row>
    <row r="6" spans="1:8" ht="48" customHeight="1">
      <c r="A6" s="236"/>
      <c r="B6" s="93" t="e">
        <f>#REF!/#REF!</f>
        <v>#REF!</v>
      </c>
      <c r="C6" s="93">
        <f>H48/H52</f>
        <v>0.05890188646970112</v>
      </c>
      <c r="D6" s="93">
        <f>H49/H52</f>
        <v>0.08954511393562091</v>
      </c>
      <c r="E6" s="93">
        <f>H50/H52</f>
        <v>0.0025994941893336993</v>
      </c>
      <c r="F6" s="94">
        <f>H51*'сельская местность'!D46/100*0.2/H52</f>
        <v>0.017019203599606757</v>
      </c>
      <c r="G6" s="239"/>
      <c r="H6" s="234"/>
    </row>
    <row r="7" spans="1:8" s="69" customFormat="1" ht="15.75">
      <c r="A7" s="22" t="s">
        <v>143</v>
      </c>
      <c r="B7" s="118"/>
      <c r="C7" s="118"/>
      <c r="D7" s="118"/>
      <c r="E7" s="118"/>
      <c r="F7" s="118"/>
      <c r="G7" s="118"/>
      <c r="H7" s="118"/>
    </row>
    <row r="8" spans="1:8" ht="15.75">
      <c r="A8" s="119" t="s">
        <v>0</v>
      </c>
      <c r="B8" s="120"/>
      <c r="C8" s="120">
        <f>образование!E8</f>
        <v>1.0027384269974493</v>
      </c>
      <c r="D8" s="120">
        <f>образование!H8</f>
        <v>0.9050162152269695</v>
      </c>
      <c r="E8" s="121">
        <f>транспорт!I7</f>
        <v>0.13410022129569835</v>
      </c>
      <c r="F8" s="121">
        <f>'сельская местность'!E7</f>
        <v>0.00014748244416559747</v>
      </c>
      <c r="G8" s="121">
        <f>'сельская местность'!F7</f>
        <v>0.9000000000000001</v>
      </c>
      <c r="H8" s="120">
        <f aca="true" t="shared" si="0" ref="H8:H17">(C8*C$6+D8*D$6+E8*E$6+F8*F$6+1-SUM(C$6:F$6))*G8</f>
        <v>0.8751495327096803</v>
      </c>
    </row>
    <row r="9" spans="1:8" ht="15.75">
      <c r="A9" s="119" t="s">
        <v>1</v>
      </c>
      <c r="B9" s="120"/>
      <c r="C9" s="120">
        <f>образование!E9</f>
        <v>1.0167472417740921</v>
      </c>
      <c r="D9" s="120">
        <f>образование!H9</f>
        <v>1.0497643616642276</v>
      </c>
      <c r="E9" s="121">
        <f>транспорт!I8</f>
        <v>0.36070682724789527</v>
      </c>
      <c r="F9" s="121">
        <f>'сельская местность'!E8</f>
        <v>0</v>
      </c>
      <c r="G9" s="121">
        <f>'сельская местность'!F8</f>
        <v>0.9790353511063741</v>
      </c>
      <c r="H9" s="120">
        <f t="shared" si="0"/>
        <v>0.96607444749542</v>
      </c>
    </row>
    <row r="10" spans="1:8" ht="15.75">
      <c r="A10" s="119" t="s">
        <v>2</v>
      </c>
      <c r="B10" s="120"/>
      <c r="C10" s="120">
        <f>образование!E10</f>
        <v>0.9541945643710305</v>
      </c>
      <c r="D10" s="120">
        <f>образование!H10</f>
        <v>1.022777427085481</v>
      </c>
      <c r="E10" s="121">
        <f>транспорт!I9</f>
        <v>0.5390761858470711</v>
      </c>
      <c r="F10" s="121">
        <f>'сельская местность'!E9</f>
        <v>0.01785218431134474</v>
      </c>
      <c r="G10" s="121">
        <f>'сельская местность'!F9</f>
        <v>1.0718153024926451</v>
      </c>
      <c r="H10" s="120">
        <f t="shared" si="0"/>
        <v>1.0519095897642345</v>
      </c>
    </row>
    <row r="11" spans="1:8" ht="15.75">
      <c r="A11" s="119" t="s">
        <v>11</v>
      </c>
      <c r="B11" s="120"/>
      <c r="C11" s="120">
        <f>образование!E11</f>
        <v>0.9002216183029483</v>
      </c>
      <c r="D11" s="120">
        <f>образование!H11</f>
        <v>0.9857681959545798</v>
      </c>
      <c r="E11" s="121">
        <f>транспорт!I10</f>
        <v>0.1819271223813057</v>
      </c>
      <c r="F11" s="121">
        <f>'сельская местность'!E10</f>
        <v>0.08845353484107948</v>
      </c>
      <c r="G11" s="121">
        <f>'сельская местность'!F10</f>
        <v>1.083564226881399</v>
      </c>
      <c r="H11" s="120">
        <f t="shared" si="0"/>
        <v>1.0567006174280216</v>
      </c>
    </row>
    <row r="12" spans="1:8" ht="15.75">
      <c r="A12" s="119" t="s">
        <v>3</v>
      </c>
      <c r="B12" s="120"/>
      <c r="C12" s="120">
        <f>образование!E12</f>
        <v>0.9931644132755123</v>
      </c>
      <c r="D12" s="120">
        <f>образование!H12</f>
        <v>1.078794988761337</v>
      </c>
      <c r="E12" s="121">
        <f>транспорт!I11</f>
        <v>0.22892964312539968</v>
      </c>
      <c r="F12" s="121">
        <f>'сельская местность'!E11</f>
        <v>0</v>
      </c>
      <c r="G12" s="121">
        <f>'сельская местность'!F11</f>
        <v>1.0890236959432233</v>
      </c>
      <c r="H12" s="120">
        <f t="shared" si="0"/>
        <v>1.0755519073827426</v>
      </c>
    </row>
    <row r="13" spans="1:8" ht="15.75">
      <c r="A13" s="119" t="s">
        <v>4</v>
      </c>
      <c r="B13" s="120"/>
      <c r="C13" s="120">
        <f>образование!E13</f>
        <v>0.9449904959393305</v>
      </c>
      <c r="D13" s="120">
        <f>образование!H13</f>
        <v>1.0984196057781772</v>
      </c>
      <c r="E13" s="121">
        <f>транспорт!I12</f>
        <v>0.32209464131308496</v>
      </c>
      <c r="F13" s="121">
        <f>'сельская местность'!E12</f>
        <v>0</v>
      </c>
      <c r="G13" s="121">
        <f>'сельская местность'!F12</f>
        <v>1.0934601103124364</v>
      </c>
      <c r="H13" s="120">
        <f t="shared" si="0"/>
        <v>1.0790170512612307</v>
      </c>
    </row>
    <row r="14" spans="1:8" ht="15.75">
      <c r="A14" s="119" t="s">
        <v>12</v>
      </c>
      <c r="B14" s="120"/>
      <c r="C14" s="120">
        <f>образование!E14</f>
        <v>0.9864994288457135</v>
      </c>
      <c r="D14" s="120">
        <f>образование!H14</f>
        <v>1.0389583189429714</v>
      </c>
      <c r="E14" s="121">
        <f>транспорт!I13</f>
        <v>0.3356685027730386</v>
      </c>
      <c r="F14" s="121">
        <f>'сельская местность'!E13</f>
        <v>0.3105033396437956</v>
      </c>
      <c r="G14" s="121">
        <f>'сельская местность'!F13</f>
        <v>1.0916391318853202</v>
      </c>
      <c r="H14" s="120">
        <f t="shared" si="0"/>
        <v>1.079884043051052</v>
      </c>
    </row>
    <row r="15" spans="1:8" ht="15.75">
      <c r="A15" s="119" t="s">
        <v>5</v>
      </c>
      <c r="B15" s="120"/>
      <c r="C15" s="120">
        <f>образование!E15</f>
        <v>0.9018964102237899</v>
      </c>
      <c r="D15" s="120">
        <f>образование!H15</f>
        <v>1.0515135417386765</v>
      </c>
      <c r="E15" s="121">
        <f>транспорт!I14</f>
        <v>0.5059534505897002</v>
      </c>
      <c r="F15" s="121">
        <f>'сельская местность'!E14</f>
        <v>0</v>
      </c>
      <c r="G15" s="121">
        <f>'сельская местность'!F14</f>
        <v>1.0970549265811378</v>
      </c>
      <c r="H15" s="120">
        <f t="shared" si="0"/>
        <v>1.075696171926912</v>
      </c>
    </row>
    <row r="16" spans="1:8" ht="15.75">
      <c r="A16" s="119" t="s">
        <v>6</v>
      </c>
      <c r="B16" s="120"/>
      <c r="C16" s="120">
        <f>образование!E16</f>
        <v>1.1058044982777422</v>
      </c>
      <c r="D16" s="120">
        <f>образование!H16</f>
        <v>1.0536965159530454</v>
      </c>
      <c r="E16" s="121">
        <f>транспорт!I15</f>
        <v>0.17877679519854447</v>
      </c>
      <c r="F16" s="121">
        <f>'сельская местность'!E15</f>
        <v>0</v>
      </c>
      <c r="G16" s="121">
        <f>'сельская местность'!F15</f>
        <v>1.091543464226448</v>
      </c>
      <c r="H16" s="120">
        <f t="shared" si="0"/>
        <v>1.082687091672133</v>
      </c>
    </row>
    <row r="17" spans="1:8" ht="15.75">
      <c r="A17" s="119" t="s">
        <v>13</v>
      </c>
      <c r="B17" s="120"/>
      <c r="C17" s="120">
        <f>образование!E17</f>
        <v>1.0022952763250557</v>
      </c>
      <c r="D17" s="120">
        <f>образование!H17</f>
        <v>1.1099091669439736</v>
      </c>
      <c r="E17" s="121">
        <f>транспорт!I16</f>
        <v>0.5111733238048756</v>
      </c>
      <c r="F17" s="121">
        <f>'сельская местность'!E16</f>
        <v>0.14703487378582328</v>
      </c>
      <c r="G17" s="121">
        <f>'сельская местность'!F16</f>
        <v>1.0965757217318968</v>
      </c>
      <c r="H17" s="120">
        <f t="shared" si="0"/>
        <v>1.09020410768287</v>
      </c>
    </row>
    <row r="18" spans="1:8" ht="15.75">
      <c r="A18" s="119" t="s">
        <v>113</v>
      </c>
      <c r="B18" s="120"/>
      <c r="C18" s="120"/>
      <c r="D18" s="120"/>
      <c r="E18" s="121"/>
      <c r="F18" s="121"/>
      <c r="G18" s="121"/>
      <c r="H18" s="120"/>
    </row>
    <row r="19" spans="1:8" ht="15.75">
      <c r="A19" s="119" t="s">
        <v>14</v>
      </c>
      <c r="B19" s="120"/>
      <c r="C19" s="120">
        <f>образование!E19</f>
        <v>1.072328285259096</v>
      </c>
      <c r="D19" s="120">
        <f>образование!H19</f>
        <v>1.0863283071657148</v>
      </c>
      <c r="E19" s="121">
        <f>транспорт!I18</f>
        <v>4.0398712531779015</v>
      </c>
      <c r="F19" s="121">
        <f>'сельская местность'!E18</f>
        <v>1</v>
      </c>
      <c r="G19" s="121">
        <f>'сельская местность'!F18</f>
        <v>1.0995920259619842</v>
      </c>
      <c r="H19" s="120">
        <f aca="true" t="shared" si="1" ref="H19:H45">(C19*C$6+D19*D$6+E19*E$6+F19*F$6+1-SUM(C$6:F$6))*G19</f>
        <v>1.1214658562932764</v>
      </c>
    </row>
    <row r="20" spans="1:8" ht="15.75">
      <c r="A20" s="119" t="s">
        <v>15</v>
      </c>
      <c r="B20" s="120"/>
      <c r="C20" s="120">
        <f>образование!E20</f>
        <v>0.9552900616745194</v>
      </c>
      <c r="D20" s="120">
        <f>образование!H20</f>
        <v>1.0326271189551668</v>
      </c>
      <c r="E20" s="121">
        <f>транспорт!I19</f>
        <v>1.6797941194568837</v>
      </c>
      <c r="F20" s="121">
        <f>'сельская местность'!E19</f>
        <v>1</v>
      </c>
      <c r="G20" s="121">
        <f>'сельская местность'!F19</f>
        <v>1.0947436514023026</v>
      </c>
      <c r="H20" s="120">
        <f t="shared" si="1"/>
        <v>1.0969935907083217</v>
      </c>
    </row>
    <row r="21" spans="1:8" ht="15.75">
      <c r="A21" s="119" t="s">
        <v>16</v>
      </c>
      <c r="B21" s="120"/>
      <c r="C21" s="120">
        <f>образование!E21</f>
        <v>1.0523363056336277</v>
      </c>
      <c r="D21" s="120">
        <f>образование!H21</f>
        <v>1.0786681367026445</v>
      </c>
      <c r="E21" s="121">
        <f>транспорт!I20</f>
        <v>1.592711537542711</v>
      </c>
      <c r="F21" s="121">
        <f>'сельская местность'!E20</f>
        <v>1</v>
      </c>
      <c r="G21" s="121">
        <f>'сельская местность'!F20</f>
        <v>1.0991490431067727</v>
      </c>
      <c r="H21" s="120">
        <f t="shared" si="1"/>
        <v>1.1119736993620952</v>
      </c>
    </row>
    <row r="22" spans="1:8" ht="15.75">
      <c r="A22" s="119" t="s">
        <v>36</v>
      </c>
      <c r="B22" s="120"/>
      <c r="C22" s="120">
        <f>образование!E22</f>
        <v>0.9597849996686376</v>
      </c>
      <c r="D22" s="120">
        <f>образование!H22</f>
        <v>1.0554157711842227</v>
      </c>
      <c r="E22" s="121">
        <f>транспорт!I21</f>
        <v>3.579638044820836</v>
      </c>
      <c r="F22" s="121">
        <f>'сельская местность'!E21</f>
        <v>1</v>
      </c>
      <c r="G22" s="121">
        <f>'сельская местность'!F21</f>
        <v>1.0984301491774229</v>
      </c>
      <c r="H22" s="120">
        <f t="shared" si="1"/>
        <v>1.1086446996750081</v>
      </c>
    </row>
    <row r="23" spans="1:8" ht="15.75">
      <c r="A23" s="119" t="s">
        <v>37</v>
      </c>
      <c r="B23" s="120"/>
      <c r="C23" s="120">
        <f>образование!E23</f>
        <v>1.3260575169368096</v>
      </c>
      <c r="D23" s="120">
        <f>образование!H23</f>
        <v>1.2293359016027634</v>
      </c>
      <c r="E23" s="121">
        <f>транспорт!I22</f>
        <v>4.250380582384968</v>
      </c>
      <c r="F23" s="121">
        <f>'сельская местность'!E22</f>
        <v>1</v>
      </c>
      <c r="G23" s="121">
        <f>'сельская местность'!F22</f>
        <v>1.0986041533975452</v>
      </c>
      <c r="H23" s="120">
        <f t="shared" si="1"/>
        <v>1.1515466101245593</v>
      </c>
    </row>
    <row r="24" spans="1:8" ht="15.75">
      <c r="A24" s="119" t="s">
        <v>7</v>
      </c>
      <c r="B24" s="120"/>
      <c r="C24" s="120">
        <f>образование!E24</f>
        <v>1.0162597447514123</v>
      </c>
      <c r="D24" s="120">
        <f>образование!H24</f>
        <v>1.066210510532895</v>
      </c>
      <c r="E24" s="121">
        <f>транспорт!I23</f>
        <v>2.7023235822667053</v>
      </c>
      <c r="F24" s="121">
        <f>'сельская местность'!E23</f>
        <v>1</v>
      </c>
      <c r="G24" s="121">
        <f>'сельская местность'!F23</f>
        <v>1.0975265057474253</v>
      </c>
      <c r="H24" s="120">
        <f t="shared" si="1"/>
        <v>1.1099414375996326</v>
      </c>
    </row>
    <row r="25" spans="1:8" ht="15.75">
      <c r="A25" s="119" t="s">
        <v>8</v>
      </c>
      <c r="B25" s="120"/>
      <c r="C25" s="120">
        <f>образование!E25</f>
        <v>0.9719807085203048</v>
      </c>
      <c r="D25" s="120">
        <f>образование!H25</f>
        <v>0.9900727485574755</v>
      </c>
      <c r="E25" s="121">
        <f>транспорт!I24</f>
        <v>1.0673344389848243</v>
      </c>
      <c r="F25" s="121">
        <f>'сельская местность'!E24</f>
        <v>1</v>
      </c>
      <c r="G25" s="121">
        <f>'сельская местность'!F24</f>
        <v>1.084392480036742</v>
      </c>
      <c r="H25" s="120">
        <f t="shared" si="1"/>
        <v>1.0818286611932526</v>
      </c>
    </row>
    <row r="26" spans="1:8" ht="15.75">
      <c r="A26" s="119" t="s">
        <v>9</v>
      </c>
      <c r="B26" s="120"/>
      <c r="C26" s="120">
        <f>образование!E26</f>
        <v>0.9627763544129132</v>
      </c>
      <c r="D26" s="120">
        <f>образование!H26</f>
        <v>1.0759995454887707</v>
      </c>
      <c r="E26" s="121">
        <f>транспорт!I25</f>
        <v>3.0754349074958376</v>
      </c>
      <c r="F26" s="121">
        <f>'сельская местность'!E25</f>
        <v>1</v>
      </c>
      <c r="G26" s="121">
        <f>'сельская местность'!F25</f>
        <v>1.1</v>
      </c>
      <c r="H26" s="120">
        <f t="shared" si="1"/>
        <v>1.1110087185954507</v>
      </c>
    </row>
    <row r="27" spans="1:8" ht="15.75">
      <c r="A27" s="119" t="s">
        <v>17</v>
      </c>
      <c r="B27" s="120"/>
      <c r="C27" s="120">
        <f>образование!E27</f>
        <v>1.1199923657581514</v>
      </c>
      <c r="D27" s="120">
        <f>образование!H27</f>
        <v>1.1538817967390471</v>
      </c>
      <c r="E27" s="121">
        <f>транспорт!I26</f>
        <v>3.3592231921574354</v>
      </c>
      <c r="F27" s="121">
        <f>'сельская местность'!E26</f>
        <v>1</v>
      </c>
      <c r="G27" s="121">
        <f>'сельская местность'!F26</f>
        <v>1.0994942785713977</v>
      </c>
      <c r="H27" s="120">
        <f t="shared" si="1"/>
        <v>1.1291585536210171</v>
      </c>
    </row>
    <row r="28" spans="1:8" ht="15.75">
      <c r="A28" s="119" t="s">
        <v>18</v>
      </c>
      <c r="B28" s="120"/>
      <c r="C28" s="120">
        <f>образование!E28</f>
        <v>0.8743743467721057</v>
      </c>
      <c r="D28" s="120">
        <f>образование!H28</f>
        <v>0.9947626987186042</v>
      </c>
      <c r="E28" s="121">
        <f>транспорт!I27</f>
        <v>1.8215025318621674</v>
      </c>
      <c r="F28" s="121">
        <f>'сельская местность'!E27</f>
        <v>1</v>
      </c>
      <c r="G28" s="121">
        <f>'сельская местность'!F27</f>
        <v>1.0959953032725447</v>
      </c>
      <c r="H28" s="120">
        <f t="shared" si="1"/>
        <v>1.0897118836752357</v>
      </c>
    </row>
    <row r="29" spans="1:8" ht="15.75">
      <c r="A29" s="119" t="s">
        <v>19</v>
      </c>
      <c r="B29" s="120"/>
      <c r="C29" s="120">
        <f>образование!E29</f>
        <v>1.0597644618014173</v>
      </c>
      <c r="D29" s="120">
        <f>образование!H29</f>
        <v>1.1265286497259155</v>
      </c>
      <c r="E29" s="121">
        <f>транспорт!I28</f>
        <v>2.002760025838951</v>
      </c>
      <c r="F29" s="121">
        <f>'сельская местность'!E28</f>
        <v>1</v>
      </c>
      <c r="G29" s="121">
        <f>'сельская местность'!F28</f>
        <v>1.093965138497134</v>
      </c>
      <c r="H29" s="120">
        <f t="shared" si="1"/>
        <v>1.1130624121739967</v>
      </c>
    </row>
    <row r="30" spans="1:8" ht="15.75">
      <c r="A30" s="119" t="s">
        <v>20</v>
      </c>
      <c r="B30" s="120"/>
      <c r="C30" s="120">
        <f>образование!E30</f>
        <v>0.7905357250774915</v>
      </c>
      <c r="D30" s="120">
        <f>образование!H30</f>
        <v>1.0606307664429893</v>
      </c>
      <c r="E30" s="121">
        <f>транспорт!I29</f>
        <v>2.6279450046180948</v>
      </c>
      <c r="F30" s="121">
        <f>'сельская местность'!E29</f>
        <v>1</v>
      </c>
      <c r="G30" s="121">
        <f>'сельская местность'!F29</f>
        <v>1.0991322319420795</v>
      </c>
      <c r="H30" s="120">
        <f t="shared" si="1"/>
        <v>1.0961900544807293</v>
      </c>
    </row>
    <row r="31" spans="1:8" ht="15.75">
      <c r="A31" s="119" t="s">
        <v>21</v>
      </c>
      <c r="B31" s="120"/>
      <c r="C31" s="120">
        <f>образование!E31</f>
        <v>0.9704796549095834</v>
      </c>
      <c r="D31" s="120">
        <f>образование!H31</f>
        <v>1.0904189558057584</v>
      </c>
      <c r="E31" s="121">
        <f>транспорт!I30</f>
        <v>2.2612310779232203</v>
      </c>
      <c r="F31" s="121">
        <f>'сельская местность'!E30</f>
        <v>1</v>
      </c>
      <c r="G31" s="121">
        <f>'сельская местность'!F30</f>
        <v>1.097810042504517</v>
      </c>
      <c r="H31" s="120">
        <f t="shared" si="1"/>
        <v>1.1083889073387256</v>
      </c>
    </row>
    <row r="32" spans="1:8" ht="15.75">
      <c r="A32" s="119" t="s">
        <v>22</v>
      </c>
      <c r="B32" s="120"/>
      <c r="C32" s="120">
        <f>образование!E32</f>
        <v>1.1466688731532981</v>
      </c>
      <c r="D32" s="120">
        <f>образование!H32</f>
        <v>1.1262243142404917</v>
      </c>
      <c r="E32" s="121">
        <f>транспорт!I31</f>
        <v>3.196316399696329</v>
      </c>
      <c r="F32" s="121">
        <f>'сельская местность'!E31</f>
        <v>1</v>
      </c>
      <c r="G32" s="121">
        <f>'сельская местность'!F31</f>
        <v>1.0986816234039143</v>
      </c>
      <c r="H32" s="120">
        <f t="shared" si="1"/>
        <v>1.126864076718255</v>
      </c>
    </row>
    <row r="33" spans="1:8" ht="15.75">
      <c r="A33" s="119" t="s">
        <v>23</v>
      </c>
      <c r="B33" s="120"/>
      <c r="C33" s="120">
        <f>образование!E33</f>
        <v>1.0307234492753927</v>
      </c>
      <c r="D33" s="120">
        <f>образование!H33</f>
        <v>1.0914118987636632</v>
      </c>
      <c r="E33" s="121">
        <f>транспорт!I32</f>
        <v>1.5195121510535776</v>
      </c>
      <c r="F33" s="121">
        <f>'сельская местность'!E32</f>
        <v>1</v>
      </c>
      <c r="G33" s="121">
        <f>'сельская местность'!F32</f>
        <v>1.0917190282453564</v>
      </c>
      <c r="H33" s="120">
        <f t="shared" si="1"/>
        <v>1.1041052649419385</v>
      </c>
    </row>
    <row r="34" spans="1:8" ht="15.75">
      <c r="A34" s="122" t="s">
        <v>24</v>
      </c>
      <c r="B34" s="120"/>
      <c r="C34" s="120">
        <f>образование!E34</f>
        <v>0.9871261430359687</v>
      </c>
      <c r="D34" s="120">
        <f>образование!H34</f>
        <v>1.1411647564622895</v>
      </c>
      <c r="E34" s="121">
        <f>транспорт!I33</f>
        <v>2.254858344567606</v>
      </c>
      <c r="F34" s="121">
        <f>'сельская местность'!E33</f>
        <v>1</v>
      </c>
      <c r="G34" s="121">
        <f>'сельская местность'!F33</f>
        <v>1.0997932400053727</v>
      </c>
      <c r="H34" s="120">
        <f t="shared" si="1"/>
        <v>1.1164488571529505</v>
      </c>
    </row>
    <row r="35" spans="1:8" ht="15.75">
      <c r="A35" s="119" t="s">
        <v>25</v>
      </c>
      <c r="B35" s="120"/>
      <c r="C35" s="120">
        <f>образование!E35</f>
        <v>0.8900957867147636</v>
      </c>
      <c r="D35" s="120">
        <f>образование!H35</f>
        <v>1.0252700522930174</v>
      </c>
      <c r="E35" s="121">
        <f>транспорт!I34</f>
        <v>1.4608447598819962</v>
      </c>
      <c r="F35" s="121">
        <f>'сельская местность'!E34</f>
        <v>1</v>
      </c>
      <c r="G35" s="121">
        <f>'сельская местность'!F34</f>
        <v>1.0958937430404811</v>
      </c>
      <c r="H35" s="120">
        <f t="shared" si="1"/>
        <v>1.0925920425838207</v>
      </c>
    </row>
    <row r="36" spans="1:8" ht="15.75">
      <c r="A36" s="119" t="s">
        <v>26</v>
      </c>
      <c r="B36" s="120"/>
      <c r="C36" s="120">
        <f>образование!E36</f>
        <v>0.9756933192616053</v>
      </c>
      <c r="D36" s="120">
        <f>образование!H36</f>
        <v>1.0101688049413418</v>
      </c>
      <c r="E36" s="121">
        <f>транспорт!I35</f>
        <v>3.1155658711469463</v>
      </c>
      <c r="F36" s="121">
        <f>'сельская местность'!E35</f>
        <v>1</v>
      </c>
      <c r="G36" s="121">
        <f>'сельская местность'!F35</f>
        <v>1.09876429273957</v>
      </c>
      <c r="H36" s="120">
        <f t="shared" si="1"/>
        <v>1.1042342255698756</v>
      </c>
    </row>
    <row r="37" spans="1:8" ht="15.75">
      <c r="A37" s="119" t="s">
        <v>27</v>
      </c>
      <c r="B37" s="120"/>
      <c r="C37" s="120">
        <f>образование!E37</f>
        <v>0.9989732037061506</v>
      </c>
      <c r="D37" s="120">
        <f>образование!H37</f>
        <v>1.0418232929147124</v>
      </c>
      <c r="E37" s="121">
        <f>транспорт!I36</f>
        <v>2.4695586244453334</v>
      </c>
      <c r="F37" s="121">
        <f>'сельская местность'!E36</f>
        <v>1</v>
      </c>
      <c r="G37" s="121">
        <f>'сельская местность'!F36</f>
        <v>1.0969025862330426</v>
      </c>
      <c r="H37" s="120">
        <f t="shared" si="1"/>
        <v>1.1051345115058955</v>
      </c>
    </row>
    <row r="38" spans="1:8" ht="15.75">
      <c r="A38" s="119" t="s">
        <v>28</v>
      </c>
      <c r="B38" s="120"/>
      <c r="C38" s="120">
        <f>образование!E38</f>
        <v>0.9487946941167085</v>
      </c>
      <c r="D38" s="120">
        <f>образование!H38</f>
        <v>1.162851099524955</v>
      </c>
      <c r="E38" s="121">
        <f>транспорт!I37</f>
        <v>1.9544517049837984</v>
      </c>
      <c r="F38" s="121">
        <f>'сельская местность'!E37</f>
        <v>1</v>
      </c>
      <c r="G38" s="121">
        <f>'сельская местность'!F37</f>
        <v>1.0975951368940073</v>
      </c>
      <c r="H38" s="120">
        <f t="shared" si="1"/>
        <v>1.1130136296143804</v>
      </c>
    </row>
    <row r="39" spans="1:8" ht="15.75">
      <c r="A39" s="119" t="s">
        <v>29</v>
      </c>
      <c r="B39" s="120"/>
      <c r="C39" s="120">
        <f>образование!E39</f>
        <v>0.9788315546839355</v>
      </c>
      <c r="D39" s="120">
        <f>образование!H39</f>
        <v>1.1321863232130067</v>
      </c>
      <c r="E39" s="121">
        <f>транспорт!I38</f>
        <v>2.2267528764028017</v>
      </c>
      <c r="F39" s="121">
        <f>'сельская местность'!E38</f>
        <v>1</v>
      </c>
      <c r="G39" s="121">
        <f>'сельская местность'!F38</f>
        <v>1.0938044792221804</v>
      </c>
      <c r="H39" s="120">
        <f t="shared" si="1"/>
        <v>1.10887569938966</v>
      </c>
    </row>
    <row r="40" spans="1:8" ht="15.75">
      <c r="A40" s="119" t="s">
        <v>30</v>
      </c>
      <c r="B40" s="120"/>
      <c r="C40" s="120">
        <f>образование!E40</f>
        <v>1.1679808143868955</v>
      </c>
      <c r="D40" s="120">
        <f>образование!H40</f>
        <v>1.1172130566058591</v>
      </c>
      <c r="E40" s="121">
        <f>транспорт!I39</f>
        <v>2.1174205860688393</v>
      </c>
      <c r="F40" s="121">
        <f>'сельская местность'!E39</f>
        <v>1</v>
      </c>
      <c r="G40" s="121">
        <f>'сельская местность'!F39</f>
        <v>1.0888476119913866</v>
      </c>
      <c r="H40" s="120">
        <f t="shared" si="1"/>
        <v>1.114212286284343</v>
      </c>
    </row>
    <row r="41" spans="1:8" ht="15.75">
      <c r="A41" s="119" t="s">
        <v>31</v>
      </c>
      <c r="B41" s="120"/>
      <c r="C41" s="120">
        <f>образование!E41</f>
        <v>0.9356312210143588</v>
      </c>
      <c r="D41" s="120">
        <f>образование!H41</f>
        <v>1.1096646945878175</v>
      </c>
      <c r="E41" s="121">
        <f>транспорт!I40</f>
        <v>2.4395701386567743</v>
      </c>
      <c r="F41" s="121">
        <f>'сельская местность'!E40</f>
        <v>1</v>
      </c>
      <c r="G41" s="121">
        <f>'сельская местность'!F40</f>
        <v>1.0973727789115204</v>
      </c>
      <c r="H41" s="120">
        <f t="shared" si="1"/>
        <v>1.1080948234528771</v>
      </c>
    </row>
    <row r="42" spans="1:8" ht="15.75">
      <c r="A42" s="119" t="s">
        <v>32</v>
      </c>
      <c r="B42" s="120"/>
      <c r="C42" s="120">
        <f>образование!E42</f>
        <v>0.981179765302481</v>
      </c>
      <c r="D42" s="120">
        <f>образование!H42</f>
        <v>1.0632323856686645</v>
      </c>
      <c r="E42" s="121">
        <f>транспорт!I41</f>
        <v>3.0937260174939816</v>
      </c>
      <c r="F42" s="121">
        <f>'сельская местность'!E41</f>
        <v>1</v>
      </c>
      <c r="G42" s="121">
        <f>'сельская местность'!F41</f>
        <v>1.0988353502398192</v>
      </c>
      <c r="H42" s="120">
        <f t="shared" si="1"/>
        <v>1.109819563845057</v>
      </c>
    </row>
    <row r="43" spans="1:8" ht="15.75">
      <c r="A43" s="119" t="s">
        <v>33</v>
      </c>
      <c r="B43" s="120"/>
      <c r="C43" s="120">
        <f>образование!E43</f>
        <v>0.9927463961539641</v>
      </c>
      <c r="D43" s="120">
        <f>образование!H43</f>
        <v>0.9845225530062668</v>
      </c>
      <c r="E43" s="121">
        <f>транспорт!I42</f>
        <v>2.360105912108914</v>
      </c>
      <c r="F43" s="121">
        <f>'сельская местность'!E42</f>
        <v>1</v>
      </c>
      <c r="G43" s="121">
        <f>'сельская местность'!F42</f>
        <v>1.0990797187162857</v>
      </c>
      <c r="H43" s="120">
        <f t="shared" si="1"/>
        <v>1.1009727809993792</v>
      </c>
    </row>
    <row r="44" spans="1:8" ht="15.75">
      <c r="A44" s="119" t="s">
        <v>34</v>
      </c>
      <c r="B44" s="120"/>
      <c r="C44" s="120">
        <f>образование!E44</f>
        <v>0.9033741643681635</v>
      </c>
      <c r="D44" s="120">
        <f>образование!H44</f>
        <v>1.0192854921375676</v>
      </c>
      <c r="E44" s="121">
        <f>транспорт!I43</f>
        <v>2.6266801109044495</v>
      </c>
      <c r="F44" s="121">
        <f>'сельская местность'!E43</f>
        <v>1</v>
      </c>
      <c r="G44" s="121">
        <f>'сельская местность'!F43</f>
        <v>1.098989077075724</v>
      </c>
      <c r="H44" s="120">
        <f t="shared" si="1"/>
        <v>1.0992792355639245</v>
      </c>
    </row>
    <row r="45" spans="1:8" ht="15.75">
      <c r="A45" s="119" t="s">
        <v>10</v>
      </c>
      <c r="B45" s="120"/>
      <c r="C45" s="120">
        <f>образование!E45</f>
        <v>0.931026867751457</v>
      </c>
      <c r="D45" s="120">
        <f>образование!H45</f>
        <v>0.9737251955363417</v>
      </c>
      <c r="E45" s="121">
        <f>транспорт!I44</f>
        <v>3.073972329351331</v>
      </c>
      <c r="F45" s="121">
        <f>'сельская местность'!E44</f>
        <v>1</v>
      </c>
      <c r="G45" s="121">
        <f>'сельская местность'!F44</f>
        <v>1.0982694899024694</v>
      </c>
      <c r="H45" s="120">
        <f t="shared" si="1"/>
        <v>1.0971446983625</v>
      </c>
    </row>
    <row r="46" spans="1:8" ht="15.75">
      <c r="A46" s="123"/>
      <c r="B46" s="123"/>
      <c r="C46" s="123"/>
      <c r="D46" s="123"/>
      <c r="E46" s="123"/>
      <c r="F46" s="123"/>
      <c r="G46" s="123"/>
      <c r="H46" s="123"/>
    </row>
    <row r="47" spans="1:8" ht="23.25" customHeight="1">
      <c r="A47" s="230" t="s">
        <v>158</v>
      </c>
      <c r="B47" s="230"/>
      <c r="C47" s="230"/>
      <c r="D47" s="230"/>
      <c r="E47" s="230"/>
      <c r="F47" s="230"/>
      <c r="G47" s="230"/>
      <c r="H47" s="230"/>
    </row>
    <row r="48" spans="1:9" ht="16.5" customHeight="1">
      <c r="A48" s="228" t="s">
        <v>108</v>
      </c>
      <c r="B48" s="228"/>
      <c r="C48" s="228"/>
      <c r="D48" s="228"/>
      <c r="E48" s="228"/>
      <c r="F48" s="228"/>
      <c r="G48" s="228"/>
      <c r="H48" s="162">
        <v>2182257.5027</v>
      </c>
      <c r="I48" s="68"/>
    </row>
    <row r="49" spans="1:9" ht="15.75">
      <c r="A49" s="228" t="s">
        <v>112</v>
      </c>
      <c r="B49" s="228"/>
      <c r="C49" s="228"/>
      <c r="D49" s="228"/>
      <c r="E49" s="228"/>
      <c r="F49" s="228"/>
      <c r="G49" s="228"/>
      <c r="H49" s="162">
        <v>3317559.22311</v>
      </c>
      <c r="I49" s="68"/>
    </row>
    <row r="50" spans="1:9" ht="15.75">
      <c r="A50" s="231" t="s">
        <v>111</v>
      </c>
      <c r="B50" s="231"/>
      <c r="C50" s="231"/>
      <c r="D50" s="231"/>
      <c r="E50" s="231"/>
      <c r="F50" s="231"/>
      <c r="G50" s="231"/>
      <c r="H50" s="162">
        <f>87571.88168*1.0667*1.031</f>
        <v>96308.72689988573</v>
      </c>
      <c r="I50" s="68"/>
    </row>
    <row r="51" spans="1:9" ht="39" customHeight="1">
      <c r="A51" s="228" t="s">
        <v>110</v>
      </c>
      <c r="B51" s="228"/>
      <c r="C51" s="228"/>
      <c r="D51" s="228"/>
      <c r="E51" s="228"/>
      <c r="F51" s="228"/>
      <c r="G51" s="228"/>
      <c r="H51" s="162">
        <f>11997355.54476*1.0667*1.031</f>
        <v>13194304.11354295</v>
      </c>
      <c r="I51" s="68"/>
    </row>
    <row r="52" spans="1:9" ht="15.75">
      <c r="A52" s="229" t="s">
        <v>109</v>
      </c>
      <c r="B52" s="229"/>
      <c r="C52" s="229"/>
      <c r="D52" s="229"/>
      <c r="E52" s="229"/>
      <c r="F52" s="229"/>
      <c r="G52" s="229"/>
      <c r="H52" s="162">
        <v>37049025.65086</v>
      </c>
      <c r="I52" s="68"/>
    </row>
  </sheetData>
  <sheetProtection/>
  <mergeCells count="12">
    <mergeCell ref="A2:H2"/>
    <mergeCell ref="H4:H6"/>
    <mergeCell ref="A4:A6"/>
    <mergeCell ref="C3:D3"/>
    <mergeCell ref="B4:F4"/>
    <mergeCell ref="G3:G6"/>
    <mergeCell ref="A49:G49"/>
    <mergeCell ref="A48:G48"/>
    <mergeCell ref="A52:G52"/>
    <mergeCell ref="A47:H47"/>
    <mergeCell ref="A51:G51"/>
    <mergeCell ref="A50:G50"/>
  </mergeCells>
  <printOptions gridLines="1" horizontalCentered="1"/>
  <pageMargins left="0.15748031496062992" right="0.15748031496062992" top="0.5118110236220472" bottom="0.15748031496062992" header="0.31496062992125984" footer="0.15748031496062992"/>
  <pageSetup horizontalDpi="300" verticalDpi="300" orientation="landscape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tabColor theme="5" tint="-0.24997000396251678"/>
    <pageSetUpPr fitToPage="1"/>
  </sheetPr>
  <dimension ref="A1:K46"/>
  <sheetViews>
    <sheetView zoomScale="75" zoomScaleNormal="75" zoomScalePageLayoutView="0" workbookViewId="0" topLeftCell="A1">
      <pane xSplit="1" ySplit="6" topLeftCell="B7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A2" sqref="A2:H2"/>
    </sheetView>
  </sheetViews>
  <sheetFormatPr defaultColWidth="9.00390625" defaultRowHeight="12.75"/>
  <cols>
    <col min="1" max="1" width="23.25390625" style="70" customWidth="1"/>
    <col min="2" max="2" width="15.25390625" style="67" customWidth="1"/>
    <col min="3" max="3" width="15.00390625" style="68" customWidth="1"/>
    <col min="4" max="4" width="7.00390625" style="68" customWidth="1"/>
    <col min="5" max="5" width="9.25390625" style="68" customWidth="1"/>
    <col min="6" max="6" width="14.75390625" style="68" customWidth="1"/>
    <col min="7" max="7" width="7.25390625" style="68" customWidth="1"/>
    <col min="8" max="8" width="11.125" style="68" customWidth="1"/>
    <col min="9" max="9" width="9.125" style="67" customWidth="1"/>
    <col min="10" max="10" width="23.375" style="67" customWidth="1"/>
    <col min="11" max="11" width="10.625" style="67" customWidth="1"/>
    <col min="12" max="16384" width="9.125" style="67" customWidth="1"/>
  </cols>
  <sheetData>
    <row r="1" spans="1:8" ht="15.75">
      <c r="A1" s="88"/>
      <c r="B1" s="86"/>
      <c r="C1" s="86"/>
      <c r="D1" s="86"/>
      <c r="E1" s="86"/>
      <c r="F1" s="86"/>
      <c r="G1" s="86"/>
      <c r="H1" s="87" t="s">
        <v>144</v>
      </c>
    </row>
    <row r="2" spans="1:8" ht="15.75">
      <c r="A2" s="240" t="s">
        <v>128</v>
      </c>
      <c r="B2" s="240"/>
      <c r="C2" s="240"/>
      <c r="D2" s="240"/>
      <c r="E2" s="240"/>
      <c r="F2" s="240"/>
      <c r="G2" s="240"/>
      <c r="H2" s="240"/>
    </row>
    <row r="3" spans="1:8" s="68" customFormat="1" ht="15.75">
      <c r="A3" s="241" t="s">
        <v>156</v>
      </c>
      <c r="B3" s="241"/>
      <c r="C3" s="241"/>
      <c r="D3" s="241"/>
      <c r="E3" s="241"/>
      <c r="F3" s="241"/>
      <c r="G3" s="241"/>
      <c r="H3" s="241"/>
    </row>
    <row r="4" spans="1:8" s="68" customFormat="1" ht="21" customHeight="1">
      <c r="A4" s="152"/>
      <c r="B4" s="151"/>
      <c r="C4" s="153"/>
      <c r="D4" s="153"/>
      <c r="E4" s="153"/>
      <c r="F4" s="153"/>
      <c r="G4" s="153"/>
      <c r="H4" s="153"/>
    </row>
    <row r="5" spans="1:8" s="69" customFormat="1" ht="69" customHeight="1">
      <c r="A5" s="73" t="s">
        <v>50</v>
      </c>
      <c r="B5" s="73" t="s">
        <v>133</v>
      </c>
      <c r="C5" s="73" t="s">
        <v>127</v>
      </c>
      <c r="D5" s="73" t="s">
        <v>125</v>
      </c>
      <c r="E5" s="73" t="str">
        <f>"Индекс (дошк.)
(4)/"&amp;ROUND(D46,1)</f>
        <v>Индекс (дошк.)
(4)/62,1</v>
      </c>
      <c r="F5" s="73" t="s">
        <v>126</v>
      </c>
      <c r="G5" s="73" t="s">
        <v>125</v>
      </c>
      <c r="H5" s="73" t="str">
        <f>"Индекс (школьн.)
(7)/"&amp;ROUND(G46,1)</f>
        <v>Индекс (школьн.)
(7)/108</v>
      </c>
    </row>
    <row r="6" spans="1:8" s="69" customFormat="1" ht="15.75">
      <c r="A6" s="72" t="s">
        <v>38</v>
      </c>
      <c r="B6" s="72" t="s">
        <v>39</v>
      </c>
      <c r="C6" s="72" t="s">
        <v>40</v>
      </c>
      <c r="D6" s="72" t="s">
        <v>41</v>
      </c>
      <c r="E6" s="72" t="s">
        <v>42</v>
      </c>
      <c r="F6" s="72" t="s">
        <v>47</v>
      </c>
      <c r="G6" s="72" t="s">
        <v>43</v>
      </c>
      <c r="H6" s="72" t="s">
        <v>45</v>
      </c>
    </row>
    <row r="7" spans="1:11" s="68" customFormat="1" ht="15.75">
      <c r="A7" s="22" t="s">
        <v>143</v>
      </c>
      <c r="B7" s="123"/>
      <c r="C7" s="124"/>
      <c r="D7" s="124"/>
      <c r="E7" s="124"/>
      <c r="F7" s="124"/>
      <c r="G7" s="124"/>
      <c r="H7" s="124"/>
      <c r="J7" s="69"/>
      <c r="K7" s="69"/>
    </row>
    <row r="8" spans="1:11" ht="15.75">
      <c r="A8" s="119" t="s">
        <v>0</v>
      </c>
      <c r="B8" s="125">
        <v>1169771</v>
      </c>
      <c r="C8" s="20">
        <v>72843</v>
      </c>
      <c r="D8" s="126">
        <f>C8/$B8*1000</f>
        <v>62.27116247539048</v>
      </c>
      <c r="E8" s="127">
        <f>D8/D$46</f>
        <v>1.0027384269974493</v>
      </c>
      <c r="F8" s="154">
        <v>114338</v>
      </c>
      <c r="G8" s="126">
        <f>F8/$B8*1000</f>
        <v>97.74391739921745</v>
      </c>
      <c r="H8" s="127">
        <f>G8/G$46</f>
        <v>0.9050162152269695</v>
      </c>
      <c r="J8" s="69"/>
      <c r="K8" s="69"/>
    </row>
    <row r="9" spans="1:11" ht="15.75">
      <c r="A9" s="119" t="s">
        <v>1</v>
      </c>
      <c r="B9" s="125">
        <v>710567</v>
      </c>
      <c r="C9" s="20">
        <v>44866</v>
      </c>
      <c r="D9" s="126">
        <f aca="true" t="shared" si="0" ref="D9:D44">C9/$B9*1000</f>
        <v>63.141125326675734</v>
      </c>
      <c r="E9" s="127">
        <f aca="true" t="shared" si="1" ref="E9:E16">D9/D$46</f>
        <v>1.0167472417740921</v>
      </c>
      <c r="F9" s="128">
        <v>80562</v>
      </c>
      <c r="G9" s="126">
        <f aca="true" t="shared" si="2" ref="G9:G17">F9/$B9*1000</f>
        <v>113.37706366887289</v>
      </c>
      <c r="H9" s="127">
        <f aca="true" t="shared" si="3" ref="H9:H17">G9/G$46</f>
        <v>1.0497643616642276</v>
      </c>
      <c r="J9" s="69"/>
      <c r="K9" s="69"/>
    </row>
    <row r="10" spans="1:11" ht="15.75">
      <c r="A10" s="119" t="s">
        <v>2</v>
      </c>
      <c r="B10" s="125">
        <v>174023</v>
      </c>
      <c r="C10" s="20">
        <v>10312</v>
      </c>
      <c r="D10" s="126">
        <f t="shared" si="0"/>
        <v>59.256535055711026</v>
      </c>
      <c r="E10" s="127">
        <f t="shared" si="1"/>
        <v>0.9541945643710305</v>
      </c>
      <c r="F10" s="128">
        <v>19223</v>
      </c>
      <c r="G10" s="126">
        <f t="shared" si="2"/>
        <v>110.46241014118824</v>
      </c>
      <c r="H10" s="127">
        <f t="shared" si="3"/>
        <v>1.022777427085481</v>
      </c>
      <c r="J10" s="69"/>
      <c r="K10" s="69"/>
    </row>
    <row r="11" spans="1:11" ht="15.75">
      <c r="A11" s="119" t="s">
        <v>11</v>
      </c>
      <c r="B11" s="125">
        <v>105161</v>
      </c>
      <c r="C11" s="20">
        <v>5879</v>
      </c>
      <c r="D11" s="126">
        <f t="shared" si="0"/>
        <v>55.9047555652761</v>
      </c>
      <c r="E11" s="127">
        <f t="shared" si="1"/>
        <v>0.9002216183029483</v>
      </c>
      <c r="F11" s="128">
        <v>11196</v>
      </c>
      <c r="G11" s="126">
        <f t="shared" si="2"/>
        <v>106.4653245975219</v>
      </c>
      <c r="H11" s="127">
        <f t="shared" si="3"/>
        <v>0.9857681959545798</v>
      </c>
      <c r="J11" s="69"/>
      <c r="K11" s="69"/>
    </row>
    <row r="12" spans="1:11" ht="15.75">
      <c r="A12" s="119" t="s">
        <v>3</v>
      </c>
      <c r="B12" s="125">
        <v>72945</v>
      </c>
      <c r="C12" s="20">
        <v>4499</v>
      </c>
      <c r="D12" s="126">
        <f t="shared" si="0"/>
        <v>61.67660566179998</v>
      </c>
      <c r="E12" s="127">
        <f t="shared" si="1"/>
        <v>0.9931644132755123</v>
      </c>
      <c r="F12" s="128">
        <v>8499</v>
      </c>
      <c r="G12" s="126">
        <f t="shared" si="2"/>
        <v>116.51244088011515</v>
      </c>
      <c r="H12" s="127">
        <f t="shared" si="3"/>
        <v>1.078794988761337</v>
      </c>
      <c r="J12" s="69"/>
      <c r="K12" s="69"/>
    </row>
    <row r="13" spans="1:11" ht="15.75">
      <c r="A13" s="119" t="s">
        <v>4</v>
      </c>
      <c r="B13" s="125">
        <v>47542</v>
      </c>
      <c r="C13" s="20">
        <v>2790</v>
      </c>
      <c r="D13" s="126">
        <f t="shared" si="0"/>
        <v>58.68495225274494</v>
      </c>
      <c r="E13" s="127">
        <f t="shared" si="1"/>
        <v>0.9449904959393305</v>
      </c>
      <c r="F13" s="128">
        <v>5640</v>
      </c>
      <c r="G13" s="126">
        <f t="shared" si="2"/>
        <v>118.63194648941987</v>
      </c>
      <c r="H13" s="127">
        <f t="shared" si="3"/>
        <v>1.0984196057781772</v>
      </c>
      <c r="J13" s="69"/>
      <c r="K13" s="69"/>
    </row>
    <row r="14" spans="1:11" ht="15.75">
      <c r="A14" s="119" t="s">
        <v>12</v>
      </c>
      <c r="B14" s="125">
        <v>58747</v>
      </c>
      <c r="C14" s="20">
        <v>3599</v>
      </c>
      <c r="D14" s="126">
        <f t="shared" si="0"/>
        <v>61.26270277631198</v>
      </c>
      <c r="E14" s="127">
        <f t="shared" si="1"/>
        <v>0.9864994288457135</v>
      </c>
      <c r="F14" s="128">
        <v>6592</v>
      </c>
      <c r="G14" s="126">
        <f t="shared" si="2"/>
        <v>112.20998519073315</v>
      </c>
      <c r="H14" s="127">
        <f t="shared" si="3"/>
        <v>1.0389583189429714</v>
      </c>
      <c r="J14" s="69"/>
      <c r="K14" s="69"/>
    </row>
    <row r="15" spans="1:11" ht="15.75">
      <c r="A15" s="119" t="s">
        <v>5</v>
      </c>
      <c r="B15" s="125">
        <v>26478</v>
      </c>
      <c r="C15" s="20">
        <v>1483</v>
      </c>
      <c r="D15" s="126">
        <f t="shared" si="0"/>
        <v>56.00876199108694</v>
      </c>
      <c r="E15" s="127">
        <f t="shared" si="1"/>
        <v>0.9018964102237899</v>
      </c>
      <c r="F15" s="128">
        <v>3007</v>
      </c>
      <c r="G15" s="126">
        <f t="shared" si="2"/>
        <v>113.56597930357277</v>
      </c>
      <c r="H15" s="127">
        <f t="shared" si="3"/>
        <v>1.0515135417386765</v>
      </c>
      <c r="J15" s="69"/>
      <c r="K15" s="69"/>
    </row>
    <row r="16" spans="1:11" ht="15.75">
      <c r="A16" s="119" t="s">
        <v>6</v>
      </c>
      <c r="B16" s="125">
        <v>57855</v>
      </c>
      <c r="C16" s="20">
        <v>3973</v>
      </c>
      <c r="D16" s="126">
        <f t="shared" si="0"/>
        <v>68.67167919799498</v>
      </c>
      <c r="E16" s="127">
        <f t="shared" si="1"/>
        <v>1.1058044982777422</v>
      </c>
      <c r="F16" s="128">
        <v>6584</v>
      </c>
      <c r="G16" s="126">
        <f t="shared" si="2"/>
        <v>113.80174574366953</v>
      </c>
      <c r="H16" s="127">
        <f t="shared" si="3"/>
        <v>1.0536965159530454</v>
      </c>
      <c r="J16" s="69"/>
      <c r="K16" s="69"/>
    </row>
    <row r="17" spans="1:11" ht="15.75">
      <c r="A17" s="119" t="s">
        <v>13</v>
      </c>
      <c r="B17" s="125">
        <v>29256</v>
      </c>
      <c r="C17" s="20">
        <v>1821</v>
      </c>
      <c r="D17" s="126">
        <f t="shared" si="0"/>
        <v>62.2436423297785</v>
      </c>
      <c r="E17" s="127">
        <f>D17/D$46</f>
        <v>1.0022952763250557</v>
      </c>
      <c r="F17" s="128">
        <v>3507</v>
      </c>
      <c r="G17" s="126">
        <f t="shared" si="2"/>
        <v>119.87284659557014</v>
      </c>
      <c r="H17" s="127">
        <f t="shared" si="3"/>
        <v>1.1099091669439736</v>
      </c>
      <c r="J17" s="69"/>
      <c r="K17" s="69"/>
    </row>
    <row r="18" spans="1:11" ht="15.75">
      <c r="A18" s="119" t="s">
        <v>113</v>
      </c>
      <c r="B18" s="129"/>
      <c r="C18" s="130"/>
      <c r="D18" s="126"/>
      <c r="E18" s="127"/>
      <c r="F18" s="128"/>
      <c r="G18" s="126"/>
      <c r="H18" s="127"/>
      <c r="J18" s="69"/>
      <c r="K18" s="69"/>
    </row>
    <row r="19" spans="1:11" ht="15.75">
      <c r="A19" s="119" t="s">
        <v>14</v>
      </c>
      <c r="B19" s="125">
        <v>11728</v>
      </c>
      <c r="C19" s="20">
        <v>781</v>
      </c>
      <c r="D19" s="126">
        <f t="shared" si="0"/>
        <v>66.59276944065485</v>
      </c>
      <c r="E19" s="127">
        <f aca="true" t="shared" si="4" ref="E19:E44">D19/D$46</f>
        <v>1.072328285259096</v>
      </c>
      <c r="F19" s="128">
        <v>1376</v>
      </c>
      <c r="G19" s="126">
        <f aca="true" t="shared" si="5" ref="G19:G44">F19/$B19*1000</f>
        <v>117.32605729877217</v>
      </c>
      <c r="H19" s="127">
        <f aca="true" t="shared" si="6" ref="H19:H44">G19/G$46</f>
        <v>1.0863283071657148</v>
      </c>
      <c r="J19" s="69"/>
      <c r="K19" s="69"/>
    </row>
    <row r="20" spans="1:11" ht="15.75">
      <c r="A20" s="119" t="s">
        <v>15</v>
      </c>
      <c r="B20" s="125">
        <v>40152</v>
      </c>
      <c r="C20" s="20">
        <v>2382</v>
      </c>
      <c r="D20" s="126">
        <f t="shared" si="0"/>
        <v>59.324566646742376</v>
      </c>
      <c r="E20" s="127">
        <f t="shared" si="4"/>
        <v>0.9552900616745194</v>
      </c>
      <c r="F20" s="128">
        <v>4478</v>
      </c>
      <c r="G20" s="126">
        <f t="shared" si="5"/>
        <v>111.52620043833433</v>
      </c>
      <c r="H20" s="127">
        <f t="shared" si="6"/>
        <v>1.0326271189551668</v>
      </c>
      <c r="J20" s="69"/>
      <c r="K20" s="69"/>
    </row>
    <row r="21" spans="1:11" ht="15.75">
      <c r="A21" s="119" t="s">
        <v>16</v>
      </c>
      <c r="B21" s="125">
        <v>14292</v>
      </c>
      <c r="C21" s="20">
        <v>934</v>
      </c>
      <c r="D21" s="126">
        <f t="shared" si="0"/>
        <v>65.35124545200112</v>
      </c>
      <c r="E21" s="127">
        <f t="shared" si="4"/>
        <v>1.0523363056336277</v>
      </c>
      <c r="F21" s="128">
        <v>1665</v>
      </c>
      <c r="G21" s="126">
        <f t="shared" si="5"/>
        <v>116.49874055415617</v>
      </c>
      <c r="H21" s="127">
        <f t="shared" si="6"/>
        <v>1.0786681367026445</v>
      </c>
      <c r="J21" s="69"/>
      <c r="K21" s="69"/>
    </row>
    <row r="22" spans="1:11" ht="15.75">
      <c r="A22" s="119" t="s">
        <v>36</v>
      </c>
      <c r="B22" s="125">
        <v>18774</v>
      </c>
      <c r="C22" s="20">
        <v>1119</v>
      </c>
      <c r="D22" s="126">
        <f>C22/$B22*1000</f>
        <v>59.60370725471397</v>
      </c>
      <c r="E22" s="127">
        <f t="shared" si="4"/>
        <v>0.9597849996686376</v>
      </c>
      <c r="F22" s="128">
        <v>2140</v>
      </c>
      <c r="G22" s="126">
        <f t="shared" si="5"/>
        <v>113.98742942367103</v>
      </c>
      <c r="H22" s="127">
        <f t="shared" si="6"/>
        <v>1.0554157711842227</v>
      </c>
      <c r="J22" s="69"/>
      <c r="K22" s="69"/>
    </row>
    <row r="23" spans="1:11" ht="15.75">
      <c r="A23" s="119" t="s">
        <v>37</v>
      </c>
      <c r="B23" s="125">
        <v>17790</v>
      </c>
      <c r="C23" s="20">
        <v>1465</v>
      </c>
      <c r="D23" s="126">
        <f t="shared" si="0"/>
        <v>82.34963462619449</v>
      </c>
      <c r="E23" s="127">
        <f t="shared" si="4"/>
        <v>1.3260575169368096</v>
      </c>
      <c r="F23" s="128">
        <v>2362</v>
      </c>
      <c r="G23" s="126">
        <f t="shared" si="5"/>
        <v>132.77121978639687</v>
      </c>
      <c r="H23" s="127">
        <f t="shared" si="6"/>
        <v>1.2293359016027634</v>
      </c>
      <c r="J23" s="69"/>
      <c r="K23" s="69"/>
    </row>
    <row r="24" spans="1:11" ht="15.75">
      <c r="A24" s="119" t="s">
        <v>7</v>
      </c>
      <c r="B24" s="125">
        <v>23942</v>
      </c>
      <c r="C24" s="20">
        <v>1511</v>
      </c>
      <c r="D24" s="126">
        <f t="shared" si="0"/>
        <v>63.11085122379083</v>
      </c>
      <c r="E24" s="127">
        <f t="shared" si="4"/>
        <v>1.0162597447514123</v>
      </c>
      <c r="F24" s="128">
        <v>2757</v>
      </c>
      <c r="G24" s="126">
        <f t="shared" si="5"/>
        <v>115.15328711051708</v>
      </c>
      <c r="H24" s="127">
        <f t="shared" si="6"/>
        <v>1.066210510532895</v>
      </c>
      <c r="J24" s="69"/>
      <c r="K24" s="69"/>
    </row>
    <row r="25" spans="1:11" ht="15.75">
      <c r="A25" s="119" t="s">
        <v>8</v>
      </c>
      <c r="B25" s="125">
        <v>93388</v>
      </c>
      <c r="C25" s="20">
        <v>5637</v>
      </c>
      <c r="D25" s="126">
        <f t="shared" si="0"/>
        <v>60.3610742279522</v>
      </c>
      <c r="E25" s="127">
        <f t="shared" si="4"/>
        <v>0.9719807085203048</v>
      </c>
      <c r="F25" s="128">
        <v>9986</v>
      </c>
      <c r="G25" s="126">
        <f t="shared" si="5"/>
        <v>106.93022658157365</v>
      </c>
      <c r="H25" s="127">
        <f t="shared" si="6"/>
        <v>0.9900727485574755</v>
      </c>
      <c r="J25" s="69"/>
      <c r="K25" s="69"/>
    </row>
    <row r="26" spans="1:11" ht="15.75">
      <c r="A26" s="119" t="s">
        <v>9</v>
      </c>
      <c r="B26" s="125">
        <v>9500</v>
      </c>
      <c r="C26" s="20">
        <v>568</v>
      </c>
      <c r="D26" s="126">
        <f t="shared" si="0"/>
        <v>59.78947368421053</v>
      </c>
      <c r="E26" s="127">
        <f t="shared" si="4"/>
        <v>0.9627763544129132</v>
      </c>
      <c r="F26" s="128">
        <v>1104</v>
      </c>
      <c r="G26" s="126">
        <f t="shared" si="5"/>
        <v>116.21052631578947</v>
      </c>
      <c r="H26" s="127">
        <f t="shared" si="6"/>
        <v>1.0759995454887707</v>
      </c>
      <c r="J26" s="69"/>
      <c r="K26" s="69"/>
    </row>
    <row r="27" spans="1:11" ht="15.75">
      <c r="A27" s="119" t="s">
        <v>17</v>
      </c>
      <c r="B27" s="125">
        <v>12566</v>
      </c>
      <c r="C27" s="20">
        <v>874</v>
      </c>
      <c r="D27" s="126">
        <f t="shared" si="0"/>
        <v>69.55276141970396</v>
      </c>
      <c r="E27" s="127">
        <f t="shared" si="4"/>
        <v>1.1199923657581514</v>
      </c>
      <c r="F27" s="128">
        <v>1566</v>
      </c>
      <c r="G27" s="126">
        <f t="shared" si="5"/>
        <v>124.62199586184944</v>
      </c>
      <c r="H27" s="127">
        <f t="shared" si="6"/>
        <v>1.1538817967390471</v>
      </c>
      <c r="J27" s="69"/>
      <c r="K27" s="69"/>
    </row>
    <row r="28" spans="1:11" ht="15.75">
      <c r="A28" s="119" t="s">
        <v>18</v>
      </c>
      <c r="B28" s="125">
        <v>32689</v>
      </c>
      <c r="C28" s="20">
        <v>1775</v>
      </c>
      <c r="D28" s="126">
        <f t="shared" si="0"/>
        <v>54.29961149010371</v>
      </c>
      <c r="E28" s="127">
        <f t="shared" si="4"/>
        <v>0.8743743467721057</v>
      </c>
      <c r="F28" s="128">
        <v>3512</v>
      </c>
      <c r="G28" s="126">
        <f t="shared" si="5"/>
        <v>107.43675242436294</v>
      </c>
      <c r="H28" s="127">
        <f>G28/G$46</f>
        <v>0.9947626987186042</v>
      </c>
      <c r="J28" s="69"/>
      <c r="K28" s="69"/>
    </row>
    <row r="29" spans="1:11" ht="15.75">
      <c r="A29" s="119" t="s">
        <v>19</v>
      </c>
      <c r="B29" s="125">
        <v>44490</v>
      </c>
      <c r="C29" s="20">
        <v>2928</v>
      </c>
      <c r="D29" s="126">
        <f t="shared" si="0"/>
        <v>65.81254214430209</v>
      </c>
      <c r="E29" s="127">
        <f t="shared" si="4"/>
        <v>1.0597644618014173</v>
      </c>
      <c r="F29" s="128">
        <v>5413</v>
      </c>
      <c r="G29" s="126">
        <f t="shared" si="5"/>
        <v>121.66779051472241</v>
      </c>
      <c r="H29" s="127">
        <f t="shared" si="6"/>
        <v>1.1265286497259155</v>
      </c>
      <c r="J29" s="69"/>
      <c r="K29" s="69"/>
    </row>
    <row r="30" spans="1:11" ht="15.75">
      <c r="A30" s="119" t="s">
        <v>20</v>
      </c>
      <c r="B30" s="125">
        <v>14666</v>
      </c>
      <c r="C30" s="20">
        <v>720</v>
      </c>
      <c r="D30" s="126">
        <f t="shared" si="0"/>
        <v>49.09314059729988</v>
      </c>
      <c r="E30" s="127">
        <f t="shared" si="4"/>
        <v>0.7905357250774915</v>
      </c>
      <c r="F30" s="128">
        <v>1680</v>
      </c>
      <c r="G30" s="126">
        <f t="shared" si="5"/>
        <v>114.55066139369971</v>
      </c>
      <c r="H30" s="127">
        <f t="shared" si="6"/>
        <v>1.0606307664429893</v>
      </c>
      <c r="J30" s="69"/>
      <c r="K30" s="69"/>
    </row>
    <row r="31" spans="1:11" ht="15.75">
      <c r="A31" s="119" t="s">
        <v>21</v>
      </c>
      <c r="B31" s="125">
        <v>22400</v>
      </c>
      <c r="C31" s="20">
        <v>1350</v>
      </c>
      <c r="D31" s="126">
        <f t="shared" si="0"/>
        <v>60.267857142857146</v>
      </c>
      <c r="E31" s="127">
        <f t="shared" si="4"/>
        <v>0.9704796549095834</v>
      </c>
      <c r="F31" s="128">
        <v>2638</v>
      </c>
      <c r="G31" s="126">
        <f t="shared" si="5"/>
        <v>117.76785714285715</v>
      </c>
      <c r="H31" s="127">
        <f t="shared" si="6"/>
        <v>1.0904189558057584</v>
      </c>
      <c r="J31" s="69"/>
      <c r="K31" s="69"/>
    </row>
    <row r="32" spans="1:11" ht="15.75">
      <c r="A32" s="119" t="s">
        <v>22</v>
      </c>
      <c r="B32" s="125">
        <v>17273</v>
      </c>
      <c r="C32" s="20">
        <v>1230</v>
      </c>
      <c r="D32" s="126">
        <f t="shared" si="0"/>
        <v>71.2094019568112</v>
      </c>
      <c r="E32" s="127">
        <f t="shared" si="4"/>
        <v>1.1466688731532981</v>
      </c>
      <c r="F32" s="128">
        <v>2101</v>
      </c>
      <c r="G32" s="126">
        <f t="shared" si="5"/>
        <v>121.6349215538702</v>
      </c>
      <c r="H32" s="127">
        <f t="shared" si="6"/>
        <v>1.1262243142404917</v>
      </c>
      <c r="J32" s="69"/>
      <c r="K32" s="69"/>
    </row>
    <row r="33" spans="1:11" ht="15.75">
      <c r="A33" s="119" t="s">
        <v>23</v>
      </c>
      <c r="B33" s="125">
        <v>56492</v>
      </c>
      <c r="C33" s="20">
        <v>3616</v>
      </c>
      <c r="D33" s="126">
        <f t="shared" si="0"/>
        <v>64.00906323019188</v>
      </c>
      <c r="E33" s="127">
        <f t="shared" si="4"/>
        <v>1.0307234492753927</v>
      </c>
      <c r="F33" s="128">
        <v>6659</v>
      </c>
      <c r="G33" s="126">
        <f t="shared" si="5"/>
        <v>117.87509735891807</v>
      </c>
      <c r="H33" s="127">
        <f t="shared" si="6"/>
        <v>1.0914118987636632</v>
      </c>
      <c r="J33" s="69"/>
      <c r="K33" s="69"/>
    </row>
    <row r="34" spans="1:11" ht="15.75">
      <c r="A34" s="122" t="s">
        <v>24</v>
      </c>
      <c r="B34" s="125">
        <v>10848</v>
      </c>
      <c r="C34" s="20">
        <v>665</v>
      </c>
      <c r="D34" s="126">
        <f>C34/$B34*1000</f>
        <v>61.301622418879056</v>
      </c>
      <c r="E34" s="127">
        <f t="shared" si="4"/>
        <v>0.9871261430359687</v>
      </c>
      <c r="F34" s="128">
        <v>1337</v>
      </c>
      <c r="G34" s="126">
        <f t="shared" si="5"/>
        <v>123.24852507374631</v>
      </c>
      <c r="H34" s="127">
        <f t="shared" si="6"/>
        <v>1.1411647564622895</v>
      </c>
      <c r="J34" s="69"/>
      <c r="K34" s="69"/>
    </row>
    <row r="35" spans="1:11" ht="15.75">
      <c r="A35" s="119" t="s">
        <v>25</v>
      </c>
      <c r="B35" s="125">
        <v>33378</v>
      </c>
      <c r="C35" s="20">
        <v>1845</v>
      </c>
      <c r="D35" s="126">
        <f t="shared" si="0"/>
        <v>55.275930253460366</v>
      </c>
      <c r="E35" s="127">
        <f t="shared" si="4"/>
        <v>0.8900957867147636</v>
      </c>
      <c r="F35" s="128">
        <v>3696</v>
      </c>
      <c r="G35" s="126">
        <f t="shared" si="5"/>
        <v>110.7316196296962</v>
      </c>
      <c r="H35" s="127">
        <f t="shared" si="6"/>
        <v>1.0252700522930174</v>
      </c>
      <c r="J35" s="69"/>
      <c r="K35" s="69"/>
    </row>
    <row r="36" spans="1:11" ht="15.75">
      <c r="A36" s="119" t="s">
        <v>26</v>
      </c>
      <c r="B36" s="125">
        <v>16801</v>
      </c>
      <c r="C36" s="20">
        <v>1018</v>
      </c>
      <c r="D36" s="126">
        <f t="shared" si="0"/>
        <v>60.5916314505089</v>
      </c>
      <c r="E36" s="127">
        <f t="shared" si="4"/>
        <v>0.9756933192616053</v>
      </c>
      <c r="F36" s="128">
        <v>1833</v>
      </c>
      <c r="G36" s="126">
        <f t="shared" si="5"/>
        <v>109.1006487709065</v>
      </c>
      <c r="H36" s="127">
        <f>G36/G$46</f>
        <v>1.0101688049413418</v>
      </c>
      <c r="J36" s="69"/>
      <c r="K36" s="69"/>
    </row>
    <row r="37" spans="1:11" ht="15.75">
      <c r="A37" s="119" t="s">
        <v>27</v>
      </c>
      <c r="B37" s="125">
        <v>27693</v>
      </c>
      <c r="C37" s="20">
        <v>1718</v>
      </c>
      <c r="D37" s="126">
        <f t="shared" si="0"/>
        <v>62.03733795544</v>
      </c>
      <c r="E37" s="127">
        <f t="shared" si="4"/>
        <v>0.9989732037061506</v>
      </c>
      <c r="F37" s="128">
        <v>3116</v>
      </c>
      <c r="G37" s="126">
        <f t="shared" si="5"/>
        <v>112.51940923699131</v>
      </c>
      <c r="H37" s="127">
        <f t="shared" si="6"/>
        <v>1.0418232929147124</v>
      </c>
      <c r="J37" s="69"/>
      <c r="K37" s="69"/>
    </row>
    <row r="38" spans="1:11" ht="15.75">
      <c r="A38" s="119" t="s">
        <v>28</v>
      </c>
      <c r="B38" s="125">
        <v>23489</v>
      </c>
      <c r="C38" s="20">
        <v>1384</v>
      </c>
      <c r="D38" s="126">
        <f t="shared" si="0"/>
        <v>58.92119715611563</v>
      </c>
      <c r="E38" s="127">
        <f t="shared" si="4"/>
        <v>0.9487946941167085</v>
      </c>
      <c r="F38" s="128">
        <v>2950</v>
      </c>
      <c r="G38" s="126">
        <f t="shared" si="5"/>
        <v>125.5907020307378</v>
      </c>
      <c r="H38" s="127">
        <f t="shared" si="6"/>
        <v>1.162851099524955</v>
      </c>
      <c r="J38" s="69"/>
      <c r="K38" s="69"/>
    </row>
    <row r="39" spans="1:11" ht="15.75">
      <c r="A39" s="119" t="s">
        <v>29</v>
      </c>
      <c r="B39" s="125">
        <v>45339</v>
      </c>
      <c r="C39" s="20">
        <v>2756</v>
      </c>
      <c r="D39" s="126">
        <f t="shared" si="0"/>
        <v>60.786519332142305</v>
      </c>
      <c r="E39" s="127">
        <f t="shared" si="4"/>
        <v>0.9788315546839355</v>
      </c>
      <c r="F39" s="128">
        <v>5544</v>
      </c>
      <c r="G39" s="126">
        <f t="shared" si="5"/>
        <v>122.2788327929597</v>
      </c>
      <c r="H39" s="127">
        <f t="shared" si="6"/>
        <v>1.1321863232130067</v>
      </c>
      <c r="J39" s="69"/>
      <c r="K39" s="69"/>
    </row>
    <row r="40" spans="1:11" ht="15.75">
      <c r="A40" s="119" t="s">
        <v>30</v>
      </c>
      <c r="B40" s="125">
        <v>72119</v>
      </c>
      <c r="C40" s="20">
        <v>5231</v>
      </c>
      <c r="D40" s="126">
        <f t="shared" si="0"/>
        <v>72.53289701742953</v>
      </c>
      <c r="E40" s="127">
        <f t="shared" si="4"/>
        <v>1.1679808143868955</v>
      </c>
      <c r="F40" s="128">
        <v>8702</v>
      </c>
      <c r="G40" s="126">
        <f t="shared" si="5"/>
        <v>120.66168416090073</v>
      </c>
      <c r="H40" s="127">
        <f t="shared" si="6"/>
        <v>1.1172130566058591</v>
      </c>
      <c r="J40" s="69"/>
      <c r="K40" s="69"/>
    </row>
    <row r="41" spans="1:11" ht="15.75">
      <c r="A41" s="119" t="s">
        <v>31</v>
      </c>
      <c r="B41" s="125">
        <v>25007</v>
      </c>
      <c r="C41" s="20">
        <v>1453</v>
      </c>
      <c r="D41" s="126">
        <f t="shared" si="0"/>
        <v>58.10373095533251</v>
      </c>
      <c r="E41" s="127">
        <f t="shared" si="4"/>
        <v>0.9356312210143588</v>
      </c>
      <c r="F41" s="128">
        <v>2997</v>
      </c>
      <c r="G41" s="126">
        <f t="shared" si="5"/>
        <v>119.84644299596113</v>
      </c>
      <c r="H41" s="127">
        <f>G41/G$46</f>
        <v>1.1096646945878175</v>
      </c>
      <c r="J41" s="69"/>
      <c r="K41" s="69"/>
    </row>
    <row r="42" spans="1:11" ht="15.75">
      <c r="A42" s="119" t="s">
        <v>32</v>
      </c>
      <c r="B42" s="125">
        <v>16067</v>
      </c>
      <c r="C42" s="20">
        <v>979</v>
      </c>
      <c r="D42" s="126">
        <f t="shared" si="0"/>
        <v>60.93234580195431</v>
      </c>
      <c r="E42" s="127">
        <f t="shared" si="4"/>
        <v>0.981179765302481</v>
      </c>
      <c r="F42" s="128">
        <v>1845</v>
      </c>
      <c r="G42" s="126">
        <f>F42/$B42*1000</f>
        <v>114.83164249704363</v>
      </c>
      <c r="H42" s="127">
        <f t="shared" si="6"/>
        <v>1.0632323856686645</v>
      </c>
      <c r="J42" s="69"/>
      <c r="K42" s="69"/>
    </row>
    <row r="43" spans="1:11" ht="15.75">
      <c r="A43" s="119" t="s">
        <v>33</v>
      </c>
      <c r="B43" s="125">
        <v>15085</v>
      </c>
      <c r="C43" s="20">
        <v>930</v>
      </c>
      <c r="D43" s="126">
        <f t="shared" si="0"/>
        <v>61.65064633742128</v>
      </c>
      <c r="E43" s="127">
        <f t="shared" si="4"/>
        <v>0.9927463961539641</v>
      </c>
      <c r="F43" s="128">
        <v>1604</v>
      </c>
      <c r="G43" s="126">
        <f t="shared" si="5"/>
        <v>106.33079217765992</v>
      </c>
      <c r="H43" s="127">
        <f t="shared" si="6"/>
        <v>0.9845225530062668</v>
      </c>
      <c r="J43" s="69"/>
      <c r="K43" s="69"/>
    </row>
    <row r="44" spans="1:11" ht="15.75">
      <c r="A44" s="119" t="s">
        <v>34</v>
      </c>
      <c r="B44" s="125">
        <v>15597</v>
      </c>
      <c r="C44" s="20">
        <v>875</v>
      </c>
      <c r="D44" s="126">
        <f t="shared" si="0"/>
        <v>56.100532153619284</v>
      </c>
      <c r="E44" s="127">
        <f t="shared" si="4"/>
        <v>0.9033741643681635</v>
      </c>
      <c r="F44" s="128">
        <v>1717</v>
      </c>
      <c r="G44" s="126">
        <f t="shared" si="5"/>
        <v>110.08527280887351</v>
      </c>
      <c r="H44" s="127">
        <f t="shared" si="6"/>
        <v>1.0192854921375676</v>
      </c>
      <c r="J44" s="69"/>
      <c r="K44" s="69"/>
    </row>
    <row r="45" spans="1:11" ht="15.75">
      <c r="A45" s="119" t="s">
        <v>10</v>
      </c>
      <c r="B45" s="125">
        <v>19769</v>
      </c>
      <c r="C45" s="20">
        <v>1143</v>
      </c>
      <c r="D45" s="126">
        <f>C45/$B45*1000</f>
        <v>57.817795538469326</v>
      </c>
      <c r="E45" s="127">
        <f>D45/D$46</f>
        <v>0.931026867751457</v>
      </c>
      <c r="F45" s="128">
        <v>2079</v>
      </c>
      <c r="G45" s="126">
        <f>F45/$B45*1000</f>
        <v>105.16465172745207</v>
      </c>
      <c r="H45" s="127">
        <f>G45/G$46</f>
        <v>0.9737251955363417</v>
      </c>
      <c r="J45" s="69"/>
      <c r="K45" s="69"/>
    </row>
    <row r="46" spans="1:8" s="71" customFormat="1" ht="18.75" customHeight="1">
      <c r="A46" s="131" t="s">
        <v>35</v>
      </c>
      <c r="B46" s="132">
        <f>SUM(B8:B45)</f>
        <v>3203679</v>
      </c>
      <c r="C46" s="132">
        <f>SUM(C8:C45)</f>
        <v>198952</v>
      </c>
      <c r="D46" s="133">
        <f>C46/$B46*1000</f>
        <v>62.101103137986044</v>
      </c>
      <c r="E46" s="134">
        <f>SUM(E8:E45)</f>
        <v>36.80935915843387</v>
      </c>
      <c r="F46" s="132">
        <f>SUM(F8:F45)</f>
        <v>346005</v>
      </c>
      <c r="G46" s="133">
        <f>F46/$B46*1000</f>
        <v>108.002393498225</v>
      </c>
      <c r="H46" s="134">
        <f>SUM(H8:H45)</f>
        <v>39.4342431655674</v>
      </c>
    </row>
  </sheetData>
  <sheetProtection/>
  <mergeCells count="2">
    <mergeCell ref="A2:H2"/>
    <mergeCell ref="A3:H3"/>
  </mergeCells>
  <printOptions gridLines="1" horizontalCentered="1"/>
  <pageMargins left="0.5511811023622047" right="0.4724409448818898" top="0.2362204724409449" bottom="0.2362204724409449" header="0.1968503937007874" footer="0.1968503937007874"/>
  <pageSetup fitToHeight="1" fitToWidth="1" horizontalDpi="300" verticalDpi="3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tabColor theme="5" tint="-0.24997000396251678"/>
    <pageSetUpPr fitToPage="1"/>
  </sheetPr>
  <dimension ref="A1:P48"/>
  <sheetViews>
    <sheetView zoomScale="75" zoomScaleNormal="75" zoomScalePageLayoutView="0" workbookViewId="0" topLeftCell="A1">
      <pane xSplit="1" ySplit="5" topLeftCell="B6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A2" sqref="A2:I2"/>
    </sheetView>
  </sheetViews>
  <sheetFormatPr defaultColWidth="9.00390625" defaultRowHeight="12.75"/>
  <cols>
    <col min="1" max="1" width="22.875" style="67" customWidth="1"/>
    <col min="2" max="2" width="18.75390625" style="67" customWidth="1"/>
    <col min="3" max="3" width="11.375" style="67" customWidth="1"/>
    <col min="4" max="4" width="14.75390625" style="67" customWidth="1"/>
    <col min="5" max="5" width="12.625" style="67" customWidth="1"/>
    <col min="6" max="6" width="11.875" style="67" customWidth="1"/>
    <col min="7" max="7" width="13.75390625" style="67" customWidth="1"/>
    <col min="8" max="8" width="14.375" style="67" customWidth="1"/>
    <col min="9" max="9" width="15.875" style="67" customWidth="1"/>
    <col min="10" max="10" width="9.125" style="67" customWidth="1"/>
    <col min="11" max="11" width="40.75390625" style="67" customWidth="1"/>
    <col min="12" max="12" width="11.75390625" style="67" customWidth="1"/>
    <col min="13" max="16384" width="9.125" style="67" customWidth="1"/>
  </cols>
  <sheetData>
    <row r="1" spans="1:9" ht="15.75">
      <c r="A1" s="86"/>
      <c r="B1" s="86"/>
      <c r="C1" s="86"/>
      <c r="D1" s="86"/>
      <c r="E1" s="86"/>
      <c r="F1" s="86"/>
      <c r="G1" s="86"/>
      <c r="H1" s="86"/>
      <c r="I1" s="87" t="s">
        <v>145</v>
      </c>
    </row>
    <row r="2" spans="1:9" ht="18.75">
      <c r="A2" s="242" t="s">
        <v>134</v>
      </c>
      <c r="B2" s="242"/>
      <c r="C2" s="242"/>
      <c r="D2" s="242"/>
      <c r="E2" s="242"/>
      <c r="F2" s="242"/>
      <c r="G2" s="242"/>
      <c r="H2" s="242"/>
      <c r="I2" s="242"/>
    </row>
    <row r="3" spans="1:9" ht="15.75">
      <c r="A3" s="68"/>
      <c r="B3" s="68"/>
      <c r="C3" s="68"/>
      <c r="D3" s="68"/>
      <c r="E3" s="68"/>
      <c r="F3" s="68"/>
      <c r="G3" s="68"/>
      <c r="H3" s="68"/>
      <c r="I3" s="68"/>
    </row>
    <row r="4" spans="1:16" s="69" customFormat="1" ht="96" customHeight="1">
      <c r="A4" s="81" t="s">
        <v>50</v>
      </c>
      <c r="B4" s="81" t="s">
        <v>159</v>
      </c>
      <c r="C4" s="81" t="str">
        <f>"Коэфф-т площади
(2)/"&amp;ROUND(B46,0)</f>
        <v>Коэфф-т площади
(2)/1447</v>
      </c>
      <c r="D4" s="81" t="s">
        <v>157</v>
      </c>
      <c r="E4" s="81" t="s">
        <v>132</v>
      </c>
      <c r="F4" s="81" t="str">
        <f>"Коэфф-т плотности населения
"&amp;ROUND(E46,1)&amp;"/(5)"</f>
        <v>Коэфф-т плотности населения
59,6/(5)</v>
      </c>
      <c r="G4" s="81" t="s">
        <v>131</v>
      </c>
      <c r="H4" s="81" t="str">
        <f>"Показатель удалённости
(7)/"&amp;ROUND(G46,1)</f>
        <v>Показатель удалённости
(7)/117,2</v>
      </c>
      <c r="I4" s="81" t="s">
        <v>130</v>
      </c>
      <c r="K4" s="67"/>
      <c r="L4" s="67"/>
      <c r="M4" s="67"/>
      <c r="N4" s="67"/>
      <c r="O4" s="67"/>
      <c r="P4" s="67"/>
    </row>
    <row r="5" spans="1:16" s="69" customFormat="1" ht="15.75">
      <c r="A5" s="72" t="s">
        <v>38</v>
      </c>
      <c r="B5" s="72" t="s">
        <v>39</v>
      </c>
      <c r="C5" s="72" t="s">
        <v>40</v>
      </c>
      <c r="D5" s="72" t="s">
        <v>41</v>
      </c>
      <c r="E5" s="72" t="s">
        <v>42</v>
      </c>
      <c r="F5" s="72" t="s">
        <v>47</v>
      </c>
      <c r="G5" s="72" t="s">
        <v>43</v>
      </c>
      <c r="H5" s="72" t="s">
        <v>45</v>
      </c>
      <c r="I5" s="72" t="s">
        <v>52</v>
      </c>
      <c r="K5" s="67"/>
      <c r="L5" s="67"/>
      <c r="M5" s="67"/>
      <c r="N5" s="67"/>
      <c r="O5" s="67"/>
      <c r="P5" s="67"/>
    </row>
    <row r="6" spans="1:9" ht="15.75">
      <c r="A6" s="22" t="s">
        <v>143</v>
      </c>
      <c r="B6" s="123"/>
      <c r="C6" s="123"/>
      <c r="D6" s="123"/>
      <c r="E6" s="123"/>
      <c r="F6" s="123"/>
      <c r="G6" s="123"/>
      <c r="H6" s="123"/>
      <c r="I6" s="123"/>
    </row>
    <row r="7" spans="1:9" ht="15.75">
      <c r="A7" s="123" t="s">
        <v>0</v>
      </c>
      <c r="B7" s="135">
        <v>541.94</v>
      </c>
      <c r="C7" s="127">
        <f>B7/B$46</f>
        <v>0.37451669455618924</v>
      </c>
      <c r="D7" s="136">
        <v>1163440</v>
      </c>
      <c r="E7" s="137">
        <f>D7/B7</f>
        <v>2146.8059194744806</v>
      </c>
      <c r="F7" s="138">
        <f>E$46/E7</f>
        <v>0.027783969330905788</v>
      </c>
      <c r="G7" s="139">
        <v>0</v>
      </c>
      <c r="H7" s="138">
        <f>G7/G$46</f>
        <v>0</v>
      </c>
      <c r="I7" s="127">
        <f>(C7+F7+H7)/3</f>
        <v>0.13410022129569835</v>
      </c>
    </row>
    <row r="8" spans="1:9" ht="15.75">
      <c r="A8" s="123" t="s">
        <v>1</v>
      </c>
      <c r="B8" s="135">
        <v>284.33</v>
      </c>
      <c r="C8" s="127">
        <f aca="true" t="shared" si="0" ref="C8:C16">B8/B$46</f>
        <v>0.19649099856655952</v>
      </c>
      <c r="D8" s="136">
        <v>707408</v>
      </c>
      <c r="E8" s="137">
        <f aca="true" t="shared" si="1" ref="E8:E16">D8/B8</f>
        <v>2487.9822741181024</v>
      </c>
      <c r="F8" s="138">
        <f aca="true" t="shared" si="2" ref="F8:F16">E$46/E8</f>
        <v>0.023973960926722656</v>
      </c>
      <c r="G8" s="139">
        <v>101</v>
      </c>
      <c r="H8" s="138">
        <f>G8/G$46</f>
        <v>0.8616555222504035</v>
      </c>
      <c r="I8" s="127">
        <f aca="true" t="shared" si="3" ref="I8:I44">(C8+F8+H8)/3</f>
        <v>0.36070682724789527</v>
      </c>
    </row>
    <row r="9" spans="1:9" ht="15.75">
      <c r="A9" s="123" t="s">
        <v>2</v>
      </c>
      <c r="B9" s="135">
        <v>136.188</v>
      </c>
      <c r="C9" s="127">
        <f t="shared" si="0"/>
        <v>0.09411499353843283</v>
      </c>
      <c r="D9" s="136">
        <v>172070</v>
      </c>
      <c r="E9" s="137">
        <f t="shared" si="1"/>
        <v>1263.47402120598</v>
      </c>
      <c r="F9" s="138">
        <f t="shared" si="2"/>
        <v>0.04720856054416804</v>
      </c>
      <c r="G9" s="139">
        <v>173</v>
      </c>
      <c r="H9" s="138">
        <f aca="true" t="shared" si="4" ref="H9:H16">G9/G$46</f>
        <v>1.475905003458612</v>
      </c>
      <c r="I9" s="127">
        <f t="shared" si="3"/>
        <v>0.5390761858470711</v>
      </c>
    </row>
    <row r="10" spans="1:9" ht="15.75">
      <c r="A10" s="123" t="s">
        <v>11</v>
      </c>
      <c r="B10" s="135">
        <v>263.25</v>
      </c>
      <c r="C10" s="127">
        <f t="shared" si="0"/>
        <v>0.18192331225212535</v>
      </c>
      <c r="D10" s="136">
        <v>104279</v>
      </c>
      <c r="E10" s="137">
        <f t="shared" si="1"/>
        <v>396.12155745489076</v>
      </c>
      <c r="F10" s="138">
        <f t="shared" si="2"/>
        <v>0.15057698502783046</v>
      </c>
      <c r="G10" s="139">
        <v>25</v>
      </c>
      <c r="H10" s="138">
        <f t="shared" si="4"/>
        <v>0.21328106986396128</v>
      </c>
      <c r="I10" s="127">
        <f t="shared" si="3"/>
        <v>0.1819271223813057</v>
      </c>
    </row>
    <row r="11" spans="1:9" ht="15.75">
      <c r="A11" s="123" t="s">
        <v>3</v>
      </c>
      <c r="B11" s="135">
        <v>200.5</v>
      </c>
      <c r="C11" s="127">
        <f t="shared" si="0"/>
        <v>0.1385588759982949</v>
      </c>
      <c r="D11" s="136">
        <v>72778</v>
      </c>
      <c r="E11" s="137">
        <f t="shared" si="1"/>
        <v>362.98254364089775</v>
      </c>
      <c r="F11" s="138">
        <f t="shared" si="2"/>
        <v>0.16432412762277387</v>
      </c>
      <c r="G11" s="139">
        <v>45</v>
      </c>
      <c r="H11" s="138">
        <f t="shared" si="4"/>
        <v>0.3839059257551303</v>
      </c>
      <c r="I11" s="127">
        <f t="shared" si="3"/>
        <v>0.22892964312539968</v>
      </c>
    </row>
    <row r="12" spans="1:9" ht="15.75">
      <c r="A12" s="123" t="s">
        <v>4</v>
      </c>
      <c r="B12" s="135">
        <v>53.51</v>
      </c>
      <c r="C12" s="127">
        <f t="shared" si="0"/>
        <v>0.036978979823784335</v>
      </c>
      <c r="D12" s="136">
        <v>47180</v>
      </c>
      <c r="E12" s="137">
        <f t="shared" si="1"/>
        <v>881.7043543262942</v>
      </c>
      <c r="F12" s="138">
        <f t="shared" si="2"/>
        <v>0.06764942186506698</v>
      </c>
      <c r="G12" s="139">
        <v>101</v>
      </c>
      <c r="H12" s="138">
        <f t="shared" si="4"/>
        <v>0.8616555222504035</v>
      </c>
      <c r="I12" s="127">
        <f t="shared" si="3"/>
        <v>0.32209464131308496</v>
      </c>
    </row>
    <row r="13" spans="1:9" ht="15.75">
      <c r="A13" s="123" t="s">
        <v>12</v>
      </c>
      <c r="B13" s="135">
        <v>94.15</v>
      </c>
      <c r="C13" s="127">
        <f t="shared" si="0"/>
        <v>0.06506393104857588</v>
      </c>
      <c r="D13" s="136">
        <v>57687</v>
      </c>
      <c r="E13" s="137">
        <f t="shared" si="1"/>
        <v>612.7137546468401</v>
      </c>
      <c r="F13" s="138">
        <f t="shared" si="2"/>
        <v>0.09734854060925327</v>
      </c>
      <c r="G13" s="139">
        <v>99</v>
      </c>
      <c r="H13" s="138">
        <f t="shared" si="4"/>
        <v>0.8445930366612866</v>
      </c>
      <c r="I13" s="127">
        <f t="shared" si="3"/>
        <v>0.3356685027730386</v>
      </c>
    </row>
    <row r="14" spans="1:9" ht="15.75">
      <c r="A14" s="123" t="s">
        <v>5</v>
      </c>
      <c r="B14" s="135">
        <v>22.92</v>
      </c>
      <c r="C14" s="127">
        <f t="shared" si="0"/>
        <v>0.01583924906673775</v>
      </c>
      <c r="D14" s="136">
        <v>26438</v>
      </c>
      <c r="E14" s="137">
        <f t="shared" si="1"/>
        <v>1153.4904013961605</v>
      </c>
      <c r="F14" s="138">
        <f t="shared" si="2"/>
        <v>0.05170982762742607</v>
      </c>
      <c r="G14" s="139">
        <v>170</v>
      </c>
      <c r="H14" s="138">
        <f t="shared" si="4"/>
        <v>1.4503112750749367</v>
      </c>
      <c r="I14" s="127">
        <f t="shared" si="3"/>
        <v>0.5059534505897002</v>
      </c>
    </row>
    <row r="15" spans="1:9" ht="15.75">
      <c r="A15" s="123" t="s">
        <v>6</v>
      </c>
      <c r="B15" s="135">
        <v>108.76</v>
      </c>
      <c r="C15" s="127">
        <f t="shared" si="0"/>
        <v>0.0751604157285514</v>
      </c>
      <c r="D15" s="136">
        <v>58239</v>
      </c>
      <c r="E15" s="137">
        <f t="shared" si="1"/>
        <v>535.4817947774917</v>
      </c>
      <c r="F15" s="138">
        <f t="shared" si="2"/>
        <v>0.11138901529018544</v>
      </c>
      <c r="G15" s="139">
        <v>41</v>
      </c>
      <c r="H15" s="138">
        <f t="shared" si="4"/>
        <v>0.3497809545768965</v>
      </c>
      <c r="I15" s="127">
        <f t="shared" si="3"/>
        <v>0.17877679519854447</v>
      </c>
    </row>
    <row r="16" spans="1:9" ht="15.75">
      <c r="A16" s="123" t="s">
        <v>13</v>
      </c>
      <c r="B16" s="135">
        <v>64.77</v>
      </c>
      <c r="C16" s="127">
        <f t="shared" si="0"/>
        <v>0.04476039101451152</v>
      </c>
      <c r="D16" s="136">
        <v>29203</v>
      </c>
      <c r="E16" s="137">
        <f t="shared" si="1"/>
        <v>450.8723174309094</v>
      </c>
      <c r="F16" s="138">
        <f t="shared" si="2"/>
        <v>0.13229197606532164</v>
      </c>
      <c r="G16" s="139">
        <v>159</v>
      </c>
      <c r="H16" s="138">
        <f t="shared" si="4"/>
        <v>1.3564676043347936</v>
      </c>
      <c r="I16" s="127">
        <f t="shared" si="3"/>
        <v>0.5111733238048756</v>
      </c>
    </row>
    <row r="17" spans="1:9" ht="15.75">
      <c r="A17" s="123" t="s">
        <v>113</v>
      </c>
      <c r="B17" s="140"/>
      <c r="C17" s="127"/>
      <c r="D17" s="20"/>
      <c r="E17" s="137"/>
      <c r="F17" s="138"/>
      <c r="G17" s="139"/>
      <c r="H17" s="138"/>
      <c r="I17" s="127"/>
    </row>
    <row r="18" spans="1:9" ht="15.75">
      <c r="A18" s="123" t="s">
        <v>14</v>
      </c>
      <c r="B18" s="135">
        <v>1890.87</v>
      </c>
      <c r="C18" s="127">
        <f aca="true" t="shared" si="5" ref="C18:C44">B18/B$46</f>
        <v>1.306717316004468</v>
      </c>
      <c r="D18" s="136">
        <v>11799</v>
      </c>
      <c r="E18" s="137">
        <f aca="true" t="shared" si="6" ref="E18:E43">D18/B18</f>
        <v>6.239984768915896</v>
      </c>
      <c r="F18" s="138">
        <f aca="true" t="shared" si="7" ref="F18:F42">E$46/E18</f>
        <v>9.558803752729144</v>
      </c>
      <c r="G18" s="139">
        <v>147</v>
      </c>
      <c r="H18" s="138">
        <f>G18/G$46</f>
        <v>1.2540926908000922</v>
      </c>
      <c r="I18" s="127">
        <f t="shared" si="3"/>
        <v>4.0398712531779015</v>
      </c>
    </row>
    <row r="19" spans="1:9" ht="15.75">
      <c r="A19" s="123" t="s">
        <v>15</v>
      </c>
      <c r="B19" s="135">
        <v>1988.8</v>
      </c>
      <c r="C19" s="127">
        <f t="shared" si="5"/>
        <v>1.374393479228972</v>
      </c>
      <c r="D19" s="136">
        <v>39774</v>
      </c>
      <c r="E19" s="137">
        <f t="shared" si="6"/>
        <v>19.998994368463396</v>
      </c>
      <c r="F19" s="138">
        <f t="shared" si="7"/>
        <v>2.982489455577004</v>
      </c>
      <c r="G19" s="139">
        <v>80</v>
      </c>
      <c r="H19" s="138">
        <f aca="true" t="shared" si="8" ref="H19:H44">G19/G$46</f>
        <v>0.6824994235646761</v>
      </c>
      <c r="I19" s="127">
        <f t="shared" si="3"/>
        <v>1.6797941194568837</v>
      </c>
    </row>
    <row r="20" spans="1:9" ht="15.75">
      <c r="A20" s="123" t="s">
        <v>16</v>
      </c>
      <c r="B20" s="135">
        <v>824</v>
      </c>
      <c r="C20" s="127">
        <f t="shared" si="5"/>
        <v>0.5694389716837656</v>
      </c>
      <c r="D20" s="136">
        <v>14355</v>
      </c>
      <c r="E20" s="137">
        <f>D20/B20</f>
        <v>17.421116504854368</v>
      </c>
      <c r="F20" s="138">
        <f t="shared" si="7"/>
        <v>3.4238213038449903</v>
      </c>
      <c r="G20" s="139">
        <v>92</v>
      </c>
      <c r="H20" s="138">
        <f t="shared" si="8"/>
        <v>0.7848743370993775</v>
      </c>
      <c r="I20" s="127">
        <f t="shared" si="3"/>
        <v>1.592711537542711</v>
      </c>
    </row>
    <row r="21" spans="1:9" ht="15.75">
      <c r="A21" s="123" t="s">
        <v>36</v>
      </c>
      <c r="B21" s="135">
        <v>2534.02</v>
      </c>
      <c r="C21" s="127">
        <f t="shared" si="5"/>
        <v>1.751176872604485</v>
      </c>
      <c r="D21" s="136">
        <v>18503</v>
      </c>
      <c r="E21" s="137">
        <f t="shared" si="6"/>
        <v>7.3018366074458765</v>
      </c>
      <c r="F21" s="138">
        <f t="shared" si="7"/>
        <v>8.168737953580411</v>
      </c>
      <c r="G21" s="139">
        <v>96</v>
      </c>
      <c r="H21" s="138">
        <f t="shared" si="8"/>
        <v>0.8189993082776112</v>
      </c>
      <c r="I21" s="127">
        <f t="shared" si="3"/>
        <v>3.579638044820836</v>
      </c>
    </row>
    <row r="22" spans="1:9" ht="15.75">
      <c r="A22" s="123" t="s">
        <v>37</v>
      </c>
      <c r="B22" s="135">
        <v>2808.56</v>
      </c>
      <c r="C22" s="127">
        <f t="shared" si="5"/>
        <v>1.9409023280487336</v>
      </c>
      <c r="D22" s="136">
        <v>17499</v>
      </c>
      <c r="E22" s="137">
        <f t="shared" si="6"/>
        <v>6.230595038026604</v>
      </c>
      <c r="F22" s="138">
        <f t="shared" si="7"/>
        <v>9.573209213895193</v>
      </c>
      <c r="G22" s="139">
        <v>145</v>
      </c>
      <c r="H22" s="138">
        <f t="shared" si="8"/>
        <v>1.2370302052109754</v>
      </c>
      <c r="I22" s="127">
        <f t="shared" si="3"/>
        <v>4.250380582384968</v>
      </c>
    </row>
    <row r="23" spans="1:9" ht="15.75">
      <c r="A23" s="123" t="s">
        <v>7</v>
      </c>
      <c r="B23" s="135">
        <v>2102.92</v>
      </c>
      <c r="C23" s="127">
        <f t="shared" si="5"/>
        <v>1.4532580125403207</v>
      </c>
      <c r="D23" s="136">
        <v>23717</v>
      </c>
      <c r="E23" s="137">
        <f t="shared" si="6"/>
        <v>11.278127555969794</v>
      </c>
      <c r="F23" s="138">
        <f t="shared" si="7"/>
        <v>5.288713887130442</v>
      </c>
      <c r="G23" s="139">
        <v>160</v>
      </c>
      <c r="H23" s="138">
        <f t="shared" si="8"/>
        <v>1.3649988471293522</v>
      </c>
      <c r="I23" s="127">
        <f t="shared" si="3"/>
        <v>2.7023235822667053</v>
      </c>
    </row>
    <row r="24" spans="1:9" ht="15.75">
      <c r="A24" s="123" t="s">
        <v>8</v>
      </c>
      <c r="B24" s="135">
        <v>2481.15</v>
      </c>
      <c r="C24" s="127">
        <f t="shared" si="5"/>
        <v>1.714640175477154</v>
      </c>
      <c r="D24" s="136">
        <v>99500</v>
      </c>
      <c r="E24" s="137">
        <f t="shared" si="6"/>
        <v>40.1023718840054</v>
      </c>
      <c r="F24" s="138">
        <f t="shared" si="7"/>
        <v>1.4873631414773185</v>
      </c>
      <c r="G24" s="139">
        <v>0</v>
      </c>
      <c r="H24" s="138">
        <f t="shared" si="8"/>
        <v>0</v>
      </c>
      <c r="I24" s="127">
        <f t="shared" si="3"/>
        <v>1.0673344389848243</v>
      </c>
    </row>
    <row r="25" spans="1:9" ht="15.75">
      <c r="A25" s="123" t="s">
        <v>9</v>
      </c>
      <c r="B25" s="135">
        <v>1201.192</v>
      </c>
      <c r="C25" s="127">
        <f>B25/B$46</f>
        <v>0.8301038073722885</v>
      </c>
      <c r="D25" s="136">
        <v>9445</v>
      </c>
      <c r="E25" s="137">
        <f t="shared" si="6"/>
        <v>7.863022730754118</v>
      </c>
      <c r="F25" s="138">
        <f t="shared" si="7"/>
        <v>7.585732849632171</v>
      </c>
      <c r="G25" s="139">
        <v>95</v>
      </c>
      <c r="H25" s="138">
        <f t="shared" si="8"/>
        <v>0.8104680654830528</v>
      </c>
      <c r="I25" s="127">
        <f t="shared" si="3"/>
        <v>3.0754349074958376</v>
      </c>
    </row>
    <row r="26" spans="1:9" ht="15.75">
      <c r="A26" s="123" t="s">
        <v>17</v>
      </c>
      <c r="B26" s="135">
        <v>1587.35</v>
      </c>
      <c r="C26" s="127">
        <f t="shared" si="5"/>
        <v>1.0969647472114383</v>
      </c>
      <c r="D26" s="136">
        <v>12363</v>
      </c>
      <c r="E26" s="137">
        <f t="shared" si="6"/>
        <v>7.788452452200208</v>
      </c>
      <c r="F26" s="138">
        <f>E$46/E26</f>
        <v>7.658362196104307</v>
      </c>
      <c r="G26" s="139">
        <v>155</v>
      </c>
      <c r="H26" s="138">
        <f t="shared" si="8"/>
        <v>1.32234263315656</v>
      </c>
      <c r="I26" s="127">
        <f t="shared" si="3"/>
        <v>3.3592231921574354</v>
      </c>
    </row>
    <row r="27" spans="1:9" ht="15.75">
      <c r="A27" s="123" t="s">
        <v>18</v>
      </c>
      <c r="B27" s="135">
        <v>2026.902</v>
      </c>
      <c r="C27" s="127">
        <f t="shared" si="5"/>
        <v>1.4007245031356406</v>
      </c>
      <c r="D27" s="136">
        <v>32552</v>
      </c>
      <c r="E27" s="137">
        <f t="shared" si="6"/>
        <v>16.0599772460632</v>
      </c>
      <c r="F27" s="138">
        <f t="shared" si="7"/>
        <v>3.714002137873965</v>
      </c>
      <c r="G27" s="139">
        <v>41</v>
      </c>
      <c r="H27" s="138">
        <f t="shared" si="8"/>
        <v>0.3497809545768965</v>
      </c>
      <c r="I27" s="127">
        <f t="shared" si="3"/>
        <v>1.8215025318621674</v>
      </c>
    </row>
    <row r="28" spans="1:9" ht="15.75">
      <c r="A28" s="123" t="s">
        <v>19</v>
      </c>
      <c r="B28" s="135">
        <v>2487.01</v>
      </c>
      <c r="C28" s="127">
        <f t="shared" si="5"/>
        <v>1.7186898264165558</v>
      </c>
      <c r="D28" s="136">
        <v>44266</v>
      </c>
      <c r="E28" s="137">
        <f t="shared" si="6"/>
        <v>17.79888299604746</v>
      </c>
      <c r="F28" s="138">
        <f t="shared" si="7"/>
        <v>3.3511535436988678</v>
      </c>
      <c r="G28" s="139">
        <v>110</v>
      </c>
      <c r="H28" s="138">
        <f t="shared" si="8"/>
        <v>0.9384367074014296</v>
      </c>
      <c r="I28" s="127">
        <f t="shared" si="3"/>
        <v>2.002760025838951</v>
      </c>
    </row>
    <row r="29" spans="1:9" ht="15.75">
      <c r="A29" s="123" t="s">
        <v>20</v>
      </c>
      <c r="B29" s="135">
        <v>1255.55</v>
      </c>
      <c r="C29" s="127">
        <f t="shared" si="5"/>
        <v>0.8676688117688736</v>
      </c>
      <c r="D29" s="136">
        <v>14452</v>
      </c>
      <c r="E29" s="137">
        <f t="shared" si="6"/>
        <v>11.510493409262873</v>
      </c>
      <c r="F29" s="138">
        <f t="shared" si="7"/>
        <v>5.181949001255344</v>
      </c>
      <c r="G29" s="139">
        <v>215</v>
      </c>
      <c r="H29" s="138">
        <f t="shared" si="8"/>
        <v>1.834217200830067</v>
      </c>
      <c r="I29" s="127">
        <f t="shared" si="3"/>
        <v>2.6279450046180948</v>
      </c>
    </row>
    <row r="30" spans="1:9" ht="15.75">
      <c r="A30" s="123" t="s">
        <v>21</v>
      </c>
      <c r="B30" s="135">
        <v>1647.63</v>
      </c>
      <c r="C30" s="127">
        <f t="shared" si="5"/>
        <v>1.1386222486836441</v>
      </c>
      <c r="D30" s="136">
        <v>22081</v>
      </c>
      <c r="E30" s="137">
        <f t="shared" si="6"/>
        <v>13.401673919508626</v>
      </c>
      <c r="F30" s="138">
        <f t="shared" si="7"/>
        <v>4.450696993847834</v>
      </c>
      <c r="G30" s="139">
        <v>140</v>
      </c>
      <c r="H30" s="138">
        <f t="shared" si="8"/>
        <v>1.1943739912381832</v>
      </c>
      <c r="I30" s="127">
        <f t="shared" si="3"/>
        <v>2.2612310779232203</v>
      </c>
    </row>
    <row r="31" spans="1:9" ht="15.75">
      <c r="A31" s="123" t="s">
        <v>22</v>
      </c>
      <c r="B31" s="135">
        <v>2130.224</v>
      </c>
      <c r="C31" s="127">
        <f t="shared" si="5"/>
        <v>1.4721268980777644</v>
      </c>
      <c r="D31" s="136">
        <v>17052</v>
      </c>
      <c r="E31" s="137">
        <f>D31/B31</f>
        <v>8.004791984317142</v>
      </c>
      <c r="F31" s="138">
        <f t="shared" si="7"/>
        <v>7.451385363035664</v>
      </c>
      <c r="G31" s="139">
        <v>78</v>
      </c>
      <c r="H31" s="138">
        <f t="shared" si="8"/>
        <v>0.6654369379755591</v>
      </c>
      <c r="I31" s="127">
        <f t="shared" si="3"/>
        <v>3.196316399696329</v>
      </c>
    </row>
    <row r="32" spans="1:9" ht="15.75">
      <c r="A32" s="123" t="s">
        <v>23</v>
      </c>
      <c r="B32" s="135">
        <v>2433</v>
      </c>
      <c r="C32" s="127">
        <f t="shared" si="5"/>
        <v>1.681365313236167</v>
      </c>
      <c r="D32" s="136">
        <v>57226</v>
      </c>
      <c r="E32" s="137">
        <f t="shared" si="6"/>
        <v>23.520756267981916</v>
      </c>
      <c r="F32" s="138">
        <f t="shared" si="7"/>
        <v>2.535921428142228</v>
      </c>
      <c r="G32" s="139">
        <v>40</v>
      </c>
      <c r="H32" s="138">
        <f t="shared" si="8"/>
        <v>0.34124971178233804</v>
      </c>
      <c r="I32" s="127">
        <f t="shared" si="3"/>
        <v>1.5195121510535776</v>
      </c>
    </row>
    <row r="33" spans="1:9" ht="15.75">
      <c r="A33" s="140" t="s">
        <v>24</v>
      </c>
      <c r="B33" s="135">
        <v>823.48</v>
      </c>
      <c r="C33" s="127">
        <f t="shared" si="5"/>
        <v>0.5690796169928972</v>
      </c>
      <c r="D33" s="136">
        <v>10638</v>
      </c>
      <c r="E33" s="137">
        <f t="shared" si="6"/>
        <v>12.91834652936319</v>
      </c>
      <c r="F33" s="138">
        <f t="shared" si="7"/>
        <v>4.6172154997166075</v>
      </c>
      <c r="G33" s="139">
        <v>185</v>
      </c>
      <c r="H33" s="138">
        <f t="shared" si="8"/>
        <v>1.5782799169933135</v>
      </c>
      <c r="I33" s="127">
        <f t="shared" si="3"/>
        <v>2.254858344567606</v>
      </c>
    </row>
    <row r="34" spans="1:9" ht="15.75">
      <c r="A34" s="123" t="s">
        <v>25</v>
      </c>
      <c r="B34" s="135">
        <v>1406.58</v>
      </c>
      <c r="C34" s="127">
        <f t="shared" si="5"/>
        <v>0.9720406174647462</v>
      </c>
      <c r="D34" s="136">
        <v>33138</v>
      </c>
      <c r="E34" s="137">
        <f t="shared" si="6"/>
        <v>23.559271424305763</v>
      </c>
      <c r="F34" s="138">
        <f t="shared" si="7"/>
        <v>2.5317756543417222</v>
      </c>
      <c r="G34" s="139">
        <v>103</v>
      </c>
      <c r="H34" s="138">
        <f t="shared" si="8"/>
        <v>0.8787180078395205</v>
      </c>
      <c r="I34" s="127">
        <f t="shared" si="3"/>
        <v>1.4608447598819962</v>
      </c>
    </row>
    <row r="35" spans="1:9" ht="15.75">
      <c r="A35" s="123" t="s">
        <v>26</v>
      </c>
      <c r="B35" s="135">
        <v>1960.12</v>
      </c>
      <c r="C35" s="127">
        <f t="shared" si="5"/>
        <v>1.3545736858941535</v>
      </c>
      <c r="D35" s="136">
        <v>16575</v>
      </c>
      <c r="E35" s="137">
        <f t="shared" si="6"/>
        <v>8.456114931738874</v>
      </c>
      <c r="F35" s="138">
        <f>E$46/E35</f>
        <v>7.053687220145256</v>
      </c>
      <c r="G35" s="139">
        <v>110</v>
      </c>
      <c r="H35" s="138">
        <f t="shared" si="8"/>
        <v>0.9384367074014296</v>
      </c>
      <c r="I35" s="127">
        <f t="shared" si="3"/>
        <v>3.1155658711469463</v>
      </c>
    </row>
    <row r="36" spans="1:9" ht="15.75">
      <c r="A36" s="123" t="s">
        <v>27</v>
      </c>
      <c r="B36" s="135">
        <v>2105.43</v>
      </c>
      <c r="C36" s="127">
        <f t="shared" si="5"/>
        <v>1.4549925899904739</v>
      </c>
      <c r="D36" s="136">
        <v>27317</v>
      </c>
      <c r="E36" s="137">
        <f t="shared" si="6"/>
        <v>12.974546767168702</v>
      </c>
      <c r="F36" s="138">
        <f t="shared" si="7"/>
        <v>4.597215679010732</v>
      </c>
      <c r="G36" s="139">
        <v>159</v>
      </c>
      <c r="H36" s="138">
        <f t="shared" si="8"/>
        <v>1.3564676043347936</v>
      </c>
      <c r="I36" s="127">
        <f t="shared" si="3"/>
        <v>2.4695586244453334</v>
      </c>
    </row>
    <row r="37" spans="1:9" ht="15.75">
      <c r="A37" s="123" t="s">
        <v>28</v>
      </c>
      <c r="B37" s="135">
        <v>1424.05</v>
      </c>
      <c r="C37" s="127">
        <f t="shared" si="5"/>
        <v>0.984113552944498</v>
      </c>
      <c r="D37" s="136">
        <v>23321</v>
      </c>
      <c r="E37" s="137">
        <f>D37/B37</f>
        <v>16.37653172290299</v>
      </c>
      <c r="F37" s="138">
        <f t="shared" si="7"/>
        <v>3.6422113567959227</v>
      </c>
      <c r="G37" s="139">
        <v>145</v>
      </c>
      <c r="H37" s="138">
        <f t="shared" si="8"/>
        <v>1.2370302052109754</v>
      </c>
      <c r="I37" s="127">
        <f t="shared" si="3"/>
        <v>1.9544517049837984</v>
      </c>
    </row>
    <row r="38" spans="1:9" ht="15.75">
      <c r="A38" s="123" t="s">
        <v>29</v>
      </c>
      <c r="B38" s="135">
        <v>2749.3</v>
      </c>
      <c r="C38" s="127">
        <f t="shared" si="5"/>
        <v>1.899949714624001</v>
      </c>
      <c r="D38" s="136">
        <v>45193</v>
      </c>
      <c r="E38" s="137">
        <f t="shared" si="6"/>
        <v>16.438002400611065</v>
      </c>
      <c r="F38" s="138">
        <f t="shared" si="7"/>
        <v>3.6285911373190127</v>
      </c>
      <c r="G38" s="139">
        <v>135</v>
      </c>
      <c r="H38" s="138">
        <f t="shared" si="8"/>
        <v>1.1517177772653908</v>
      </c>
      <c r="I38" s="127">
        <f t="shared" si="3"/>
        <v>2.2267528764028017</v>
      </c>
    </row>
    <row r="39" spans="1:9" ht="15.75">
      <c r="A39" s="123" t="s">
        <v>30</v>
      </c>
      <c r="B39" s="135">
        <v>3661.98</v>
      </c>
      <c r="C39" s="127">
        <f t="shared" si="5"/>
        <v>2.530672482435092</v>
      </c>
      <c r="D39" s="136">
        <v>73794</v>
      </c>
      <c r="E39" s="137">
        <f t="shared" si="6"/>
        <v>20.151393508429866</v>
      </c>
      <c r="F39" s="138">
        <f>E$46/E39</f>
        <v>2.959933753521022</v>
      </c>
      <c r="G39" s="139">
        <v>101</v>
      </c>
      <c r="H39" s="138">
        <f t="shared" si="8"/>
        <v>0.8616555222504035</v>
      </c>
      <c r="I39" s="127">
        <f t="shared" si="3"/>
        <v>2.1174205860688393</v>
      </c>
    </row>
    <row r="40" spans="1:9" ht="15.75">
      <c r="A40" s="123" t="s">
        <v>31</v>
      </c>
      <c r="B40" s="135">
        <v>1875.496</v>
      </c>
      <c r="C40" s="127">
        <f t="shared" si="5"/>
        <v>1.2960928563556016</v>
      </c>
      <c r="D40" s="136">
        <v>24604</v>
      </c>
      <c r="E40" s="137">
        <f t="shared" si="6"/>
        <v>13.118663009678505</v>
      </c>
      <c r="F40" s="138">
        <f t="shared" si="7"/>
        <v>4.54671255615611</v>
      </c>
      <c r="G40" s="139">
        <v>173</v>
      </c>
      <c r="H40" s="138">
        <f t="shared" si="8"/>
        <v>1.475905003458612</v>
      </c>
      <c r="I40" s="127">
        <f t="shared" si="3"/>
        <v>2.4395701386567743</v>
      </c>
    </row>
    <row r="41" spans="1:9" ht="15.75">
      <c r="A41" s="123" t="s">
        <v>32</v>
      </c>
      <c r="B41" s="135">
        <v>1865.38</v>
      </c>
      <c r="C41" s="127">
        <f>B41/B$46</f>
        <v>1.2891020254847847</v>
      </c>
      <c r="D41" s="136">
        <v>16165</v>
      </c>
      <c r="E41" s="137">
        <f t="shared" si="6"/>
        <v>8.665794637017658</v>
      </c>
      <c r="F41" s="138">
        <f t="shared" si="7"/>
        <v>6.883014463704562</v>
      </c>
      <c r="G41" s="139">
        <v>130</v>
      </c>
      <c r="H41" s="138">
        <f t="shared" si="8"/>
        <v>1.1090615632925986</v>
      </c>
      <c r="I41" s="127">
        <f t="shared" si="3"/>
        <v>3.0937260174939816</v>
      </c>
    </row>
    <row r="42" spans="1:9" ht="15.75">
      <c r="A42" s="123" t="s">
        <v>33</v>
      </c>
      <c r="B42" s="135">
        <v>1162.35</v>
      </c>
      <c r="C42" s="127">
        <f t="shared" si="5"/>
        <v>0.8032613940978457</v>
      </c>
      <c r="D42" s="136">
        <v>14755</v>
      </c>
      <c r="E42" s="137">
        <f>D42/B42</f>
        <v>12.69411106809481</v>
      </c>
      <c r="F42" s="138">
        <f t="shared" si="7"/>
        <v>4.698776425235582</v>
      </c>
      <c r="G42" s="139">
        <v>185</v>
      </c>
      <c r="H42" s="138">
        <f t="shared" si="8"/>
        <v>1.5782799169933135</v>
      </c>
      <c r="I42" s="127">
        <f t="shared" si="3"/>
        <v>2.360105912108914</v>
      </c>
    </row>
    <row r="43" spans="1:9" ht="15.75">
      <c r="A43" s="123" t="s">
        <v>34</v>
      </c>
      <c r="B43" s="135">
        <v>1336.115</v>
      </c>
      <c r="C43" s="127">
        <f t="shared" si="5"/>
        <v>0.9233446015185126</v>
      </c>
      <c r="D43" s="136">
        <v>15278</v>
      </c>
      <c r="E43" s="137">
        <f t="shared" si="6"/>
        <v>11.43464447296827</v>
      </c>
      <c r="F43" s="138">
        <f>E$46/E43</f>
        <v>5.216322201104912</v>
      </c>
      <c r="G43" s="139">
        <v>204</v>
      </c>
      <c r="H43" s="138">
        <f t="shared" si="8"/>
        <v>1.740373530089924</v>
      </c>
      <c r="I43" s="127">
        <f t="shared" si="3"/>
        <v>2.6266801109044495</v>
      </c>
    </row>
    <row r="44" spans="1:9" ht="15.75">
      <c r="A44" s="123" t="s">
        <v>10</v>
      </c>
      <c r="B44" s="135">
        <v>2000.64</v>
      </c>
      <c r="C44" s="127">
        <f t="shared" si="5"/>
        <v>1.3825757091133601</v>
      </c>
      <c r="D44" s="136">
        <v>19430</v>
      </c>
      <c r="E44" s="137">
        <f>D44/B44</f>
        <v>9.71189219449776</v>
      </c>
      <c r="F44" s="138">
        <f>E$46/E44</f>
        <v>6.141623962823501</v>
      </c>
      <c r="G44" s="139">
        <v>199</v>
      </c>
      <c r="H44" s="138">
        <f t="shared" si="8"/>
        <v>1.6977173161171317</v>
      </c>
      <c r="I44" s="127">
        <f t="shared" si="3"/>
        <v>3.073972329351331</v>
      </c>
    </row>
    <row r="45" spans="1:9" ht="15.75">
      <c r="A45" s="123"/>
      <c r="B45" s="141"/>
      <c r="C45" s="124"/>
      <c r="D45" s="139"/>
      <c r="E45" s="137"/>
      <c r="F45" s="20"/>
      <c r="G45" s="136"/>
      <c r="H45" s="138"/>
      <c r="I45" s="127"/>
    </row>
    <row r="46" spans="1:9" ht="15.75">
      <c r="A46" s="123" t="s">
        <v>129</v>
      </c>
      <c r="B46" s="141">
        <f>B48/37</f>
        <v>1447.0382972972973</v>
      </c>
      <c r="C46" s="127">
        <f>B46/$B$46</f>
        <v>1</v>
      </c>
      <c r="D46" s="141">
        <f>D48/37</f>
        <v>86311.18918918919</v>
      </c>
      <c r="E46" s="137">
        <f>D46/B46</f>
        <v>59.646789826085964</v>
      </c>
      <c r="F46" s="138">
        <f>E$46/E46</f>
        <v>1</v>
      </c>
      <c r="G46" s="141">
        <f>G48/37</f>
        <v>117.21621621621621</v>
      </c>
      <c r="H46" s="138">
        <f>G46/$G$46</f>
        <v>1</v>
      </c>
      <c r="I46" s="127">
        <f>(C46+F46+H46)/3</f>
        <v>1</v>
      </c>
    </row>
    <row r="47" spans="1:9" ht="15.75">
      <c r="A47" s="123"/>
      <c r="B47" s="142"/>
      <c r="C47" s="140"/>
      <c r="D47" s="139"/>
      <c r="E47" s="139"/>
      <c r="F47" s="143"/>
      <c r="G47" s="136"/>
      <c r="H47" s="144"/>
      <c r="I47" s="145"/>
    </row>
    <row r="48" spans="1:9" s="74" customFormat="1" ht="15.75">
      <c r="A48" s="80" t="s">
        <v>35</v>
      </c>
      <c r="B48" s="79">
        <f>SUM(B7:B44)</f>
        <v>53540.417</v>
      </c>
      <c r="C48" s="75"/>
      <c r="D48" s="77">
        <f>SUM(D7:D44)</f>
        <v>3193514</v>
      </c>
      <c r="E48" s="78">
        <f>D48/B48*1000</f>
        <v>59646.789826085966</v>
      </c>
      <c r="F48" s="76"/>
      <c r="G48" s="77">
        <f>SUM(G7:G44)</f>
        <v>4337</v>
      </c>
      <c r="H48" s="76"/>
      <c r="I48" s="75"/>
    </row>
  </sheetData>
  <sheetProtection/>
  <mergeCells count="1">
    <mergeCell ref="A2:I2"/>
  </mergeCells>
  <printOptions gridLines="1" horizontalCentered="1"/>
  <pageMargins left="0.3937007874015748" right="0.3937007874015748" top="0.2362204724409449" bottom="0.2362204724409449" header="0.1968503937007874" footer="0.2362204724409449"/>
  <pageSetup fitToWidth="0" fitToHeight="1" horizontalDpi="300" verticalDpi="300" orientation="landscape" paperSize="9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tabColor theme="5" tint="-0.24997000396251678"/>
  </sheetPr>
  <dimension ref="A1:J46"/>
  <sheetViews>
    <sheetView zoomScale="75" zoomScaleNormal="75" zoomScalePageLayoutView="0" workbookViewId="0" topLeftCell="A1">
      <pane xSplit="1" ySplit="5" topLeftCell="B6" activePane="bottomRight" state="frozen"/>
      <selection pane="topLeft" activeCell="G14" sqref="G14"/>
      <selection pane="topRight" activeCell="G14" sqref="G14"/>
      <selection pane="bottomLeft" activeCell="G14" sqref="G14"/>
      <selection pane="bottomRight" activeCell="A2" sqref="A2:F2"/>
    </sheetView>
  </sheetViews>
  <sheetFormatPr defaultColWidth="9.00390625" defaultRowHeight="12.75"/>
  <cols>
    <col min="1" max="1" width="22.875" style="67" customWidth="1"/>
    <col min="2" max="2" width="14.25390625" style="67" customWidth="1"/>
    <col min="3" max="3" width="14.625" style="67" customWidth="1"/>
    <col min="4" max="4" width="11.875" style="67" customWidth="1"/>
    <col min="5" max="5" width="19.625" style="67" customWidth="1"/>
    <col min="6" max="6" width="17.00390625" style="67" customWidth="1"/>
    <col min="7" max="7" width="11.25390625" style="67" customWidth="1"/>
    <col min="8" max="8" width="33.875" style="67" bestFit="1" customWidth="1"/>
    <col min="9" max="9" width="12.125" style="67" bestFit="1" customWidth="1"/>
    <col min="10" max="16384" width="9.125" style="67" customWidth="1"/>
  </cols>
  <sheetData>
    <row r="1" spans="1:6" ht="15.75">
      <c r="A1" s="86"/>
      <c r="B1" s="86"/>
      <c r="C1" s="86"/>
      <c r="D1" s="86"/>
      <c r="E1" s="86"/>
      <c r="F1" s="87" t="s">
        <v>146</v>
      </c>
    </row>
    <row r="2" spans="1:6" ht="49.5" customHeight="1">
      <c r="A2" s="242" t="s">
        <v>138</v>
      </c>
      <c r="B2" s="242"/>
      <c r="C2" s="242"/>
      <c r="D2" s="242"/>
      <c r="E2" s="242"/>
      <c r="F2" s="242"/>
    </row>
    <row r="3" spans="1:6" ht="15.75">
      <c r="A3" s="68"/>
      <c r="B3" s="68"/>
      <c r="C3" s="68"/>
      <c r="D3" s="68"/>
      <c r="E3" s="68"/>
      <c r="F3" s="68"/>
    </row>
    <row r="4" spans="1:6" s="69" customFormat="1" ht="83.25" customHeight="1">
      <c r="A4" s="73" t="s">
        <v>50</v>
      </c>
      <c r="B4" s="73" t="s">
        <v>157</v>
      </c>
      <c r="C4" s="73" t="s">
        <v>168</v>
      </c>
      <c r="D4" s="73" t="s">
        <v>137</v>
      </c>
      <c r="E4" s="73" t="s">
        <v>136</v>
      </c>
      <c r="F4" s="73" t="s">
        <v>135</v>
      </c>
    </row>
    <row r="5" spans="1:6" s="69" customFormat="1" ht="15.75">
      <c r="A5" s="72" t="s">
        <v>38</v>
      </c>
      <c r="B5" s="72" t="s">
        <v>39</v>
      </c>
      <c r="C5" s="72" t="s">
        <v>40</v>
      </c>
      <c r="D5" s="72" t="s">
        <v>41</v>
      </c>
      <c r="E5" s="72" t="s">
        <v>42</v>
      </c>
      <c r="F5" s="72" t="s">
        <v>47</v>
      </c>
    </row>
    <row r="6" spans="1:10" ht="15.75">
      <c r="A6" s="22" t="s">
        <v>143</v>
      </c>
      <c r="B6" s="123"/>
      <c r="C6" s="123"/>
      <c r="D6" s="123"/>
      <c r="E6" s="123"/>
      <c r="F6" s="123"/>
      <c r="H6" s="69"/>
      <c r="I6" s="69"/>
      <c r="J6" s="69"/>
    </row>
    <row r="7" spans="1:10" ht="15.75">
      <c r="A7" s="123" t="s">
        <v>0</v>
      </c>
      <c r="B7" s="136">
        <v>1163440</v>
      </c>
      <c r="C7" s="136">
        <v>41</v>
      </c>
      <c r="D7" s="138">
        <f aca="true" t="shared" si="0" ref="D7:D14">C7/B7*100</f>
        <v>0.003524032180430448</v>
      </c>
      <c r="E7" s="127">
        <f>D7/D$46</f>
        <v>0.00014748244416559747</v>
      </c>
      <c r="F7" s="138">
        <f>1.1-((B7-$B$25)/($B$7-$B$25)*0.2)</f>
        <v>0.9000000000000001</v>
      </c>
      <c r="H7" s="123"/>
      <c r="I7" s="136"/>
      <c r="J7" s="69"/>
    </row>
    <row r="8" spans="1:10" ht="15.75">
      <c r="A8" s="123" t="s">
        <v>1</v>
      </c>
      <c r="B8" s="136">
        <v>707408</v>
      </c>
      <c r="C8" s="136"/>
      <c r="D8" s="138">
        <f>C8/B8*100</f>
        <v>0</v>
      </c>
      <c r="E8" s="127">
        <f aca="true" t="shared" si="1" ref="E8:E15">D8/D$46</f>
        <v>0</v>
      </c>
      <c r="F8" s="138">
        <f aca="true" t="shared" si="2" ref="F8:F16">1.1-((B8-$B$25)/($B$7-$B$25)*0.2)</f>
        <v>0.9790353511063741</v>
      </c>
      <c r="H8" s="123"/>
      <c r="I8" s="136"/>
      <c r="J8" s="69"/>
    </row>
    <row r="9" spans="1:10" ht="15.75">
      <c r="A9" s="123" t="s">
        <v>2</v>
      </c>
      <c r="B9" s="136">
        <v>172070</v>
      </c>
      <c r="C9" s="136">
        <v>734</v>
      </c>
      <c r="D9" s="138">
        <f>C9/B9*100</f>
        <v>0.4265705817399895</v>
      </c>
      <c r="E9" s="127">
        <f t="shared" si="1"/>
        <v>0.01785218431134474</v>
      </c>
      <c r="F9" s="138">
        <f t="shared" si="2"/>
        <v>1.0718153024926451</v>
      </c>
      <c r="H9" s="123"/>
      <c r="I9" s="136"/>
      <c r="J9" s="69"/>
    </row>
    <row r="10" spans="1:10" ht="15.75">
      <c r="A10" s="123" t="s">
        <v>11</v>
      </c>
      <c r="B10" s="136">
        <v>104279</v>
      </c>
      <c r="C10" s="136">
        <v>2204</v>
      </c>
      <c r="D10" s="138">
        <f>C10/B10*100</f>
        <v>2.1135607361021873</v>
      </c>
      <c r="E10" s="127">
        <f t="shared" si="1"/>
        <v>0.08845353484107948</v>
      </c>
      <c r="F10" s="138">
        <f t="shared" si="2"/>
        <v>1.083564226881399</v>
      </c>
      <c r="H10" s="123"/>
      <c r="I10" s="136"/>
      <c r="J10" s="69"/>
    </row>
    <row r="11" spans="1:10" ht="15.75">
      <c r="A11" s="123" t="s">
        <v>3</v>
      </c>
      <c r="B11" s="136">
        <v>72778</v>
      </c>
      <c r="C11" s="136"/>
      <c r="D11" s="138">
        <f t="shared" si="0"/>
        <v>0</v>
      </c>
      <c r="E11" s="127">
        <f t="shared" si="1"/>
        <v>0</v>
      </c>
      <c r="F11" s="138">
        <f t="shared" si="2"/>
        <v>1.0890236959432233</v>
      </c>
      <c r="H11" s="123"/>
      <c r="I11" s="136"/>
      <c r="J11" s="69"/>
    </row>
    <row r="12" spans="1:10" ht="15.75">
      <c r="A12" s="123" t="s">
        <v>4</v>
      </c>
      <c r="B12" s="136">
        <v>47180</v>
      </c>
      <c r="C12" s="136"/>
      <c r="D12" s="138">
        <f>C12/B12*100</f>
        <v>0</v>
      </c>
      <c r="E12" s="127">
        <f t="shared" si="1"/>
        <v>0</v>
      </c>
      <c r="F12" s="138">
        <f t="shared" si="2"/>
        <v>1.0934601103124364</v>
      </c>
      <c r="H12" s="123"/>
      <c r="I12" s="136"/>
      <c r="J12" s="69"/>
    </row>
    <row r="13" spans="1:10" ht="15.75">
      <c r="A13" s="123" t="s">
        <v>12</v>
      </c>
      <c r="B13" s="136">
        <v>57687</v>
      </c>
      <c r="C13" s="136">
        <v>4280</v>
      </c>
      <c r="D13" s="138">
        <f t="shared" si="0"/>
        <v>7.419349246797371</v>
      </c>
      <c r="E13" s="127">
        <f>D13/D$46</f>
        <v>0.3105033396437956</v>
      </c>
      <c r="F13" s="138">
        <f t="shared" si="2"/>
        <v>1.0916391318853202</v>
      </c>
      <c r="H13" s="123"/>
      <c r="I13" s="136"/>
      <c r="J13" s="69"/>
    </row>
    <row r="14" spans="1:10" ht="15.75">
      <c r="A14" s="123" t="s">
        <v>5</v>
      </c>
      <c r="B14" s="136">
        <v>26438</v>
      </c>
      <c r="C14" s="136"/>
      <c r="D14" s="138">
        <f t="shared" si="0"/>
        <v>0</v>
      </c>
      <c r="E14" s="127">
        <f t="shared" si="1"/>
        <v>0</v>
      </c>
      <c r="F14" s="138">
        <f t="shared" si="2"/>
        <v>1.0970549265811378</v>
      </c>
      <c r="H14" s="123"/>
      <c r="I14" s="136"/>
      <c r="J14" s="69"/>
    </row>
    <row r="15" spans="1:10" ht="15.75">
      <c r="A15" s="123" t="s">
        <v>6</v>
      </c>
      <c r="B15" s="136">
        <v>58239</v>
      </c>
      <c r="C15" s="136"/>
      <c r="D15" s="138">
        <f>C15/B15*100</f>
        <v>0</v>
      </c>
      <c r="E15" s="127">
        <f t="shared" si="1"/>
        <v>0</v>
      </c>
      <c r="F15" s="138">
        <f t="shared" si="2"/>
        <v>1.091543464226448</v>
      </c>
      <c r="H15" s="123"/>
      <c r="I15" s="136"/>
      <c r="J15" s="69"/>
    </row>
    <row r="16" spans="1:10" ht="15.75">
      <c r="A16" s="123" t="s">
        <v>13</v>
      </c>
      <c r="B16" s="136">
        <v>29203</v>
      </c>
      <c r="C16" s="136">
        <v>1026</v>
      </c>
      <c r="D16" s="138">
        <f>C16/B16*100</f>
        <v>3.513337670787248</v>
      </c>
      <c r="E16" s="127">
        <f>D16/D$46</f>
        <v>0.14703487378582328</v>
      </c>
      <c r="F16" s="138">
        <f t="shared" si="2"/>
        <v>1.0965757217318968</v>
      </c>
      <c r="H16" s="123"/>
      <c r="I16" s="136"/>
      <c r="J16" s="69"/>
    </row>
    <row r="17" spans="1:10" ht="15.75">
      <c r="A17" s="123" t="s">
        <v>113</v>
      </c>
      <c r="B17" s="20"/>
      <c r="C17" s="137"/>
      <c r="D17" s="138"/>
      <c r="E17" s="127"/>
      <c r="F17" s="138"/>
      <c r="H17" s="123"/>
      <c r="I17" s="20"/>
      <c r="J17" s="69"/>
    </row>
    <row r="18" spans="1:10" ht="15.75">
      <c r="A18" s="123" t="s">
        <v>14</v>
      </c>
      <c r="B18" s="136">
        <v>11799</v>
      </c>
      <c r="C18" s="136">
        <v>11799</v>
      </c>
      <c r="D18" s="138">
        <f aca="true" t="shared" si="3" ref="D18:D43">C18/B18*100</f>
        <v>100</v>
      </c>
      <c r="E18" s="127">
        <v>1</v>
      </c>
      <c r="F18" s="138">
        <f aca="true" t="shared" si="4" ref="F18:F43">1.1-((B18-$B$25)/($B$7-$B$25)*0.2)</f>
        <v>1.0995920259619842</v>
      </c>
      <c r="H18" s="123"/>
      <c r="I18" s="136"/>
      <c r="J18" s="69"/>
    </row>
    <row r="19" spans="1:10" ht="15.75">
      <c r="A19" s="123" t="s">
        <v>15</v>
      </c>
      <c r="B19" s="136">
        <v>39774</v>
      </c>
      <c r="C19" s="136">
        <v>39774</v>
      </c>
      <c r="D19" s="138">
        <f t="shared" si="3"/>
        <v>100</v>
      </c>
      <c r="E19" s="127">
        <v>1</v>
      </c>
      <c r="F19" s="138">
        <f t="shared" si="4"/>
        <v>1.0947436514023026</v>
      </c>
      <c r="H19" s="123"/>
      <c r="I19" s="136"/>
      <c r="J19" s="69"/>
    </row>
    <row r="20" spans="1:10" ht="15.75">
      <c r="A20" s="123" t="s">
        <v>16</v>
      </c>
      <c r="B20" s="136">
        <v>14355</v>
      </c>
      <c r="C20" s="136">
        <v>14355</v>
      </c>
      <c r="D20" s="138">
        <f t="shared" si="3"/>
        <v>100</v>
      </c>
      <c r="E20" s="127">
        <v>1</v>
      </c>
      <c r="F20" s="138">
        <f>1.1-((B20-$B$25)/($B$7-$B$25)*0.2)</f>
        <v>1.0991490431067727</v>
      </c>
      <c r="H20" s="123"/>
      <c r="I20" s="136"/>
      <c r="J20" s="69"/>
    </row>
    <row r="21" spans="1:10" ht="15.75">
      <c r="A21" s="123" t="s">
        <v>36</v>
      </c>
      <c r="B21" s="136">
        <v>18503</v>
      </c>
      <c r="C21" s="136">
        <v>18503</v>
      </c>
      <c r="D21" s="138">
        <f t="shared" si="3"/>
        <v>100</v>
      </c>
      <c r="E21" s="127">
        <v>1</v>
      </c>
      <c r="F21" s="138">
        <f t="shared" si="4"/>
        <v>1.0984301491774229</v>
      </c>
      <c r="H21" s="123"/>
      <c r="I21" s="136"/>
      <c r="J21" s="69"/>
    </row>
    <row r="22" spans="1:10" ht="15.75">
      <c r="A22" s="123" t="s">
        <v>37</v>
      </c>
      <c r="B22" s="136">
        <v>17499</v>
      </c>
      <c r="C22" s="136">
        <v>17499</v>
      </c>
      <c r="D22" s="138">
        <f t="shared" si="3"/>
        <v>100</v>
      </c>
      <c r="E22" s="127">
        <v>1</v>
      </c>
      <c r="F22" s="138">
        <f t="shared" si="4"/>
        <v>1.0986041533975452</v>
      </c>
      <c r="H22" s="123"/>
      <c r="I22" s="136"/>
      <c r="J22" s="69"/>
    </row>
    <row r="23" spans="1:10" ht="15.75">
      <c r="A23" s="123" t="s">
        <v>7</v>
      </c>
      <c r="B23" s="136">
        <v>23717</v>
      </c>
      <c r="C23" s="136">
        <v>23717</v>
      </c>
      <c r="D23" s="138">
        <f t="shared" si="3"/>
        <v>100</v>
      </c>
      <c r="E23" s="127">
        <v>1</v>
      </c>
      <c r="F23" s="138">
        <f t="shared" si="4"/>
        <v>1.0975265057474253</v>
      </c>
      <c r="H23" s="123"/>
      <c r="I23" s="136"/>
      <c r="J23" s="69"/>
    </row>
    <row r="24" spans="1:10" ht="15.75">
      <c r="A24" s="123" t="s">
        <v>8</v>
      </c>
      <c r="B24" s="136">
        <v>99500</v>
      </c>
      <c r="C24" s="136">
        <v>99500</v>
      </c>
      <c r="D24" s="138">
        <f t="shared" si="3"/>
        <v>100</v>
      </c>
      <c r="E24" s="127">
        <v>1</v>
      </c>
      <c r="F24" s="138">
        <f t="shared" si="4"/>
        <v>1.084392480036742</v>
      </c>
      <c r="H24" s="123"/>
      <c r="I24" s="136"/>
      <c r="J24" s="69"/>
    </row>
    <row r="25" spans="1:10" ht="15.75">
      <c r="A25" s="123" t="s">
        <v>9</v>
      </c>
      <c r="B25" s="136">
        <v>9445</v>
      </c>
      <c r="C25" s="136">
        <v>9445</v>
      </c>
      <c r="D25" s="138">
        <f t="shared" si="3"/>
        <v>100</v>
      </c>
      <c r="E25" s="127">
        <v>1</v>
      </c>
      <c r="F25" s="138">
        <f t="shared" si="4"/>
        <v>1.1</v>
      </c>
      <c r="H25" s="123"/>
      <c r="I25" s="136"/>
      <c r="J25" s="69"/>
    </row>
    <row r="26" spans="1:10" ht="15.75">
      <c r="A26" s="123" t="s">
        <v>17</v>
      </c>
      <c r="B26" s="136">
        <v>12363</v>
      </c>
      <c r="C26" s="136">
        <v>12363</v>
      </c>
      <c r="D26" s="138">
        <f t="shared" si="3"/>
        <v>100</v>
      </c>
      <c r="E26" s="127">
        <v>1</v>
      </c>
      <c r="F26" s="138">
        <f t="shared" si="4"/>
        <v>1.0994942785713977</v>
      </c>
      <c r="H26" s="123"/>
      <c r="I26" s="136"/>
      <c r="J26" s="69"/>
    </row>
    <row r="27" spans="1:10" ht="15.75">
      <c r="A27" s="123" t="s">
        <v>18</v>
      </c>
      <c r="B27" s="136">
        <v>32552</v>
      </c>
      <c r="C27" s="136">
        <v>32552</v>
      </c>
      <c r="D27" s="138">
        <f t="shared" si="3"/>
        <v>100</v>
      </c>
      <c r="E27" s="127">
        <v>1</v>
      </c>
      <c r="F27" s="138">
        <f t="shared" si="4"/>
        <v>1.0959953032725447</v>
      </c>
      <c r="H27" s="123"/>
      <c r="I27" s="136"/>
      <c r="J27" s="69"/>
    </row>
    <row r="28" spans="1:10" ht="15.75">
      <c r="A28" s="123" t="s">
        <v>19</v>
      </c>
      <c r="B28" s="136">
        <v>44266</v>
      </c>
      <c r="C28" s="136">
        <v>44266</v>
      </c>
      <c r="D28" s="138">
        <f t="shared" si="3"/>
        <v>100</v>
      </c>
      <c r="E28" s="127">
        <v>1</v>
      </c>
      <c r="F28" s="138">
        <f t="shared" si="4"/>
        <v>1.093965138497134</v>
      </c>
      <c r="H28" s="123"/>
      <c r="I28" s="136"/>
      <c r="J28" s="69"/>
    </row>
    <row r="29" spans="1:10" ht="15.75">
      <c r="A29" s="123" t="s">
        <v>20</v>
      </c>
      <c r="B29" s="136">
        <v>14452</v>
      </c>
      <c r="C29" s="136">
        <v>14452</v>
      </c>
      <c r="D29" s="138">
        <f t="shared" si="3"/>
        <v>100</v>
      </c>
      <c r="E29" s="127">
        <v>1</v>
      </c>
      <c r="F29" s="138">
        <f t="shared" si="4"/>
        <v>1.0991322319420795</v>
      </c>
      <c r="H29" s="123"/>
      <c r="I29" s="136"/>
      <c r="J29" s="69"/>
    </row>
    <row r="30" spans="1:10" ht="15.75">
      <c r="A30" s="123" t="s">
        <v>21</v>
      </c>
      <c r="B30" s="136">
        <v>22081</v>
      </c>
      <c r="C30" s="136">
        <v>22081</v>
      </c>
      <c r="D30" s="138">
        <f t="shared" si="3"/>
        <v>100</v>
      </c>
      <c r="E30" s="127">
        <v>1</v>
      </c>
      <c r="F30" s="138">
        <f t="shared" si="4"/>
        <v>1.097810042504517</v>
      </c>
      <c r="H30" s="123"/>
      <c r="I30" s="136"/>
      <c r="J30" s="69"/>
    </row>
    <row r="31" spans="1:10" ht="15.75">
      <c r="A31" s="123" t="s">
        <v>22</v>
      </c>
      <c r="B31" s="136">
        <v>17052</v>
      </c>
      <c r="C31" s="136">
        <v>17052</v>
      </c>
      <c r="D31" s="138">
        <f t="shared" si="3"/>
        <v>100</v>
      </c>
      <c r="E31" s="127">
        <v>1</v>
      </c>
      <c r="F31" s="138">
        <f t="shared" si="4"/>
        <v>1.0986816234039143</v>
      </c>
      <c r="H31" s="123"/>
      <c r="I31" s="136"/>
      <c r="J31" s="69"/>
    </row>
    <row r="32" spans="1:10" ht="15.75">
      <c r="A32" s="123" t="s">
        <v>23</v>
      </c>
      <c r="B32" s="136">
        <v>57226</v>
      </c>
      <c r="C32" s="136">
        <v>57226</v>
      </c>
      <c r="D32" s="138">
        <f t="shared" si="3"/>
        <v>100</v>
      </c>
      <c r="E32" s="127">
        <v>1</v>
      </c>
      <c r="F32" s="138">
        <f t="shared" si="4"/>
        <v>1.0917190282453564</v>
      </c>
      <c r="H32" s="123"/>
      <c r="I32" s="136"/>
      <c r="J32" s="69"/>
    </row>
    <row r="33" spans="1:10" ht="15.75">
      <c r="A33" s="140" t="s">
        <v>24</v>
      </c>
      <c r="B33" s="136">
        <v>10638</v>
      </c>
      <c r="C33" s="136">
        <v>10638</v>
      </c>
      <c r="D33" s="138">
        <f t="shared" si="3"/>
        <v>100</v>
      </c>
      <c r="E33" s="127">
        <v>1</v>
      </c>
      <c r="F33" s="138">
        <f>1.1-((B33-$B$25)/($B$7-$B$25)*0.2)</f>
        <v>1.0997932400053727</v>
      </c>
      <c r="H33" s="140"/>
      <c r="I33" s="136"/>
      <c r="J33" s="69"/>
    </row>
    <row r="34" spans="1:10" ht="15.75">
      <c r="A34" s="123" t="s">
        <v>25</v>
      </c>
      <c r="B34" s="136">
        <v>33138</v>
      </c>
      <c r="C34" s="136">
        <v>33138</v>
      </c>
      <c r="D34" s="138">
        <f t="shared" si="3"/>
        <v>100</v>
      </c>
      <c r="E34" s="127">
        <v>1</v>
      </c>
      <c r="F34" s="138">
        <f t="shared" si="4"/>
        <v>1.0958937430404811</v>
      </c>
      <c r="H34" s="123"/>
      <c r="I34" s="136"/>
      <c r="J34" s="69"/>
    </row>
    <row r="35" spans="1:10" ht="15.75">
      <c r="A35" s="123" t="s">
        <v>26</v>
      </c>
      <c r="B35" s="136">
        <v>16575</v>
      </c>
      <c r="C35" s="136">
        <v>16575</v>
      </c>
      <c r="D35" s="138">
        <f t="shared" si="3"/>
        <v>100</v>
      </c>
      <c r="E35" s="127">
        <v>1</v>
      </c>
      <c r="F35" s="138">
        <f t="shared" si="4"/>
        <v>1.09876429273957</v>
      </c>
      <c r="H35" s="123"/>
      <c r="I35" s="136"/>
      <c r="J35" s="69"/>
    </row>
    <row r="36" spans="1:10" ht="15.75">
      <c r="A36" s="123" t="s">
        <v>27</v>
      </c>
      <c r="B36" s="136">
        <v>27317</v>
      </c>
      <c r="C36" s="136">
        <v>27317</v>
      </c>
      <c r="D36" s="138">
        <f t="shared" si="3"/>
        <v>100</v>
      </c>
      <c r="E36" s="127">
        <v>1</v>
      </c>
      <c r="F36" s="138">
        <f t="shared" si="4"/>
        <v>1.0969025862330426</v>
      </c>
      <c r="H36" s="123"/>
      <c r="I36" s="136"/>
      <c r="J36" s="69"/>
    </row>
    <row r="37" spans="1:10" ht="15.75">
      <c r="A37" s="123" t="s">
        <v>28</v>
      </c>
      <c r="B37" s="136">
        <v>23321</v>
      </c>
      <c r="C37" s="136">
        <v>23321</v>
      </c>
      <c r="D37" s="138">
        <f t="shared" si="3"/>
        <v>100</v>
      </c>
      <c r="E37" s="127">
        <v>1</v>
      </c>
      <c r="F37" s="138">
        <f t="shared" si="4"/>
        <v>1.0975951368940073</v>
      </c>
      <c r="H37" s="123"/>
      <c r="I37" s="136"/>
      <c r="J37" s="69"/>
    </row>
    <row r="38" spans="1:10" ht="15.75">
      <c r="A38" s="123" t="s">
        <v>29</v>
      </c>
      <c r="B38" s="136">
        <v>45193</v>
      </c>
      <c r="C38" s="136">
        <v>45193</v>
      </c>
      <c r="D38" s="138">
        <f t="shared" si="3"/>
        <v>100</v>
      </c>
      <c r="E38" s="127">
        <v>1</v>
      </c>
      <c r="F38" s="138">
        <f t="shared" si="4"/>
        <v>1.0938044792221804</v>
      </c>
      <c r="H38" s="123"/>
      <c r="I38" s="136"/>
      <c r="J38" s="69"/>
    </row>
    <row r="39" spans="1:10" ht="15.75">
      <c r="A39" s="123" t="s">
        <v>30</v>
      </c>
      <c r="B39" s="136">
        <v>73794</v>
      </c>
      <c r="C39" s="136">
        <v>73794</v>
      </c>
      <c r="D39" s="138">
        <f t="shared" si="3"/>
        <v>100</v>
      </c>
      <c r="E39" s="127">
        <v>1</v>
      </c>
      <c r="F39" s="138">
        <f t="shared" si="4"/>
        <v>1.0888476119913866</v>
      </c>
      <c r="H39" s="123"/>
      <c r="I39" s="136"/>
      <c r="J39" s="69"/>
    </row>
    <row r="40" spans="1:10" ht="15.75">
      <c r="A40" s="123" t="s">
        <v>31</v>
      </c>
      <c r="B40" s="136">
        <v>24604</v>
      </c>
      <c r="C40" s="136">
        <v>24604</v>
      </c>
      <c r="D40" s="138">
        <f t="shared" si="3"/>
        <v>100</v>
      </c>
      <c r="E40" s="127">
        <v>1</v>
      </c>
      <c r="F40" s="138">
        <f t="shared" si="4"/>
        <v>1.0973727789115204</v>
      </c>
      <c r="H40" s="123"/>
      <c r="I40" s="136"/>
      <c r="J40" s="69"/>
    </row>
    <row r="41" spans="1:10" ht="15.75">
      <c r="A41" s="123" t="s">
        <v>32</v>
      </c>
      <c r="B41" s="136">
        <v>16165</v>
      </c>
      <c r="C41" s="136">
        <v>16165</v>
      </c>
      <c r="D41" s="138">
        <f t="shared" si="3"/>
        <v>100</v>
      </c>
      <c r="E41" s="127">
        <v>1</v>
      </c>
      <c r="F41" s="138">
        <f t="shared" si="4"/>
        <v>1.0988353502398192</v>
      </c>
      <c r="H41" s="123"/>
      <c r="I41" s="136"/>
      <c r="J41" s="69"/>
    </row>
    <row r="42" spans="1:10" ht="15.75">
      <c r="A42" s="123" t="s">
        <v>33</v>
      </c>
      <c r="B42" s="136">
        <v>14755</v>
      </c>
      <c r="C42" s="136">
        <v>14755</v>
      </c>
      <c r="D42" s="138">
        <f>C42/B42*100</f>
        <v>100</v>
      </c>
      <c r="E42" s="127">
        <v>1</v>
      </c>
      <c r="F42" s="138">
        <f t="shared" si="4"/>
        <v>1.0990797187162857</v>
      </c>
      <c r="H42" s="123"/>
      <c r="I42" s="136"/>
      <c r="J42" s="69"/>
    </row>
    <row r="43" spans="1:10" ht="15.75">
      <c r="A43" s="123" t="s">
        <v>34</v>
      </c>
      <c r="B43" s="136">
        <v>15278</v>
      </c>
      <c r="C43" s="136">
        <v>15278</v>
      </c>
      <c r="D43" s="138">
        <f t="shared" si="3"/>
        <v>100</v>
      </c>
      <c r="E43" s="127">
        <v>1</v>
      </c>
      <c r="F43" s="138">
        <f t="shared" si="4"/>
        <v>1.098989077075724</v>
      </c>
      <c r="H43" s="123"/>
      <c r="I43" s="136"/>
      <c r="J43" s="69"/>
    </row>
    <row r="44" spans="1:10" ht="15.75">
      <c r="A44" s="123" t="s">
        <v>10</v>
      </c>
      <c r="B44" s="136">
        <v>19430</v>
      </c>
      <c r="C44" s="136">
        <v>19430</v>
      </c>
      <c r="D44" s="138">
        <f>C44/B44*100</f>
        <v>100</v>
      </c>
      <c r="E44" s="127">
        <v>1</v>
      </c>
      <c r="F44" s="138">
        <f>1.1-((B44-$B$25)/($B$7-$B$25)*0.2)</f>
        <v>1.0982694899024694</v>
      </c>
      <c r="H44" s="123"/>
      <c r="I44" s="136"/>
      <c r="J44" s="69"/>
    </row>
    <row r="45" spans="1:10" ht="15.75">
      <c r="A45" s="123"/>
      <c r="B45" s="139"/>
      <c r="C45" s="139"/>
      <c r="D45" s="143"/>
      <c r="E45" s="145"/>
      <c r="F45" s="143"/>
      <c r="H45" s="69"/>
      <c r="I45" s="69"/>
      <c r="J45" s="69"/>
    </row>
    <row r="46" spans="1:10" s="74" customFormat="1" ht="15.75">
      <c r="A46" s="85" t="s">
        <v>35</v>
      </c>
      <c r="B46" s="84">
        <f>SUM(B7:B44)</f>
        <v>3193514</v>
      </c>
      <c r="C46" s="84">
        <f>SUM(C7:C44)</f>
        <v>763077</v>
      </c>
      <c r="D46" s="82">
        <f>C46/B46*100</f>
        <v>23.894587592225992</v>
      </c>
      <c r="E46" s="83"/>
      <c r="F46" s="82"/>
      <c r="H46" s="69"/>
      <c r="I46" s="69"/>
      <c r="J46" s="69"/>
    </row>
  </sheetData>
  <sheetProtection/>
  <mergeCells count="1">
    <mergeCell ref="A2:F2"/>
  </mergeCells>
  <printOptions gridLines="1" horizontalCentered="1"/>
  <pageMargins left="0.3937007874015748" right="0.3937007874015748" top="0.31496062992125984" bottom="0.5511811023622047" header="0.1968503937007874" footer="0.2362204724409449"/>
  <pageSetup fitToWidth="0" horizontalDpi="300" verticalDpi="300" orientation="landscape" paperSize="9" scale="65" r:id="rId1"/>
  <headerFooter alignWithMargins="0">
    <oddFooter>&amp;R&amp;D 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Закон о бюджете на 1997 год</dc:title>
  <dc:subject/>
  <dc:creator>Tenjaew Dmitrj Alexandrowitch</dc:creator>
  <cp:keywords/>
  <dc:description/>
  <cp:lastModifiedBy>RadchenkoAA</cp:lastModifiedBy>
  <cp:lastPrinted>2018-10-15T12:49:58Z</cp:lastPrinted>
  <dcterms:created xsi:type="dcterms:W3CDTF">1998-09-07T09:31:30Z</dcterms:created>
  <dcterms:modified xsi:type="dcterms:W3CDTF">2019-03-22T07:32:44Z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Path">
    <vt:lpwstr>N:\КОЗЛОВА\Дотации\Расчёт дотаций 2010.xls</vt:lpwstr>
  </property>
</Properties>
</file>