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3020" windowHeight="8016" activeTab="17"/>
  </bookViews>
  <sheets>
    <sheet name="Критерии" sheetId="1" r:id="rId1"/>
    <sheet name="ст.92.1" sheetId="2" r:id="rId2"/>
    <sheet name="ст.107" sheetId="3" r:id="rId3"/>
    <sheet name="ст.111" sheetId="4" r:id="rId4"/>
    <sheet name="1.1" sheetId="5" r:id="rId5"/>
    <sheet name="2" sheetId="6" r:id="rId6"/>
    <sheet name="4.1" sheetId="7" r:id="rId7"/>
    <sheet name="5.1" sheetId="8" r:id="rId8"/>
    <sheet name="7" sheetId="9" r:id="rId9"/>
    <sheet name="7.1" sheetId="10" r:id="rId10"/>
    <sheet name="9" sheetId="11" r:id="rId11"/>
    <sheet name="10" sheetId="12" r:id="rId12"/>
    <sheet name="12" sheetId="13" r:id="rId13"/>
    <sheet name="13" sheetId="14" r:id="rId14"/>
    <sheet name="14" sheetId="15" r:id="rId15"/>
    <sheet name="15" sheetId="16" r:id="rId16"/>
    <sheet name="рейтинг" sheetId="17" r:id="rId17"/>
    <sheet name="дотации" sheetId="18" r:id="rId18"/>
  </sheets>
  <definedNames>
    <definedName name="_xlnm.Print_Area" localSheetId="4">'1.1'!$A$1:$F$23</definedName>
    <definedName name="_xlnm.Print_Area" localSheetId="11">'10'!$A$1:$F$23</definedName>
    <definedName name="_xlnm.Print_Area" localSheetId="12">'12'!$A$1:$F$23</definedName>
    <definedName name="_xlnm.Print_Area" localSheetId="13">'13'!$A$1:$L$23</definedName>
    <definedName name="_xlnm.Print_Area" localSheetId="14">'14'!$A$1:$J$23</definedName>
    <definedName name="_xlnm.Print_Area" localSheetId="15">'15'!$A$1:$M$24</definedName>
    <definedName name="_xlnm.Print_Area" localSheetId="5">'2'!$A$1:$K$25</definedName>
    <definedName name="_xlnm.Print_Area" localSheetId="6">'4.1'!$A$1:$G$24</definedName>
    <definedName name="_xlnm.Print_Area" localSheetId="7">'5.1'!$A$1:$F$22</definedName>
    <definedName name="_xlnm.Print_Area" localSheetId="8">'7'!$A$1:$F$23</definedName>
    <definedName name="_xlnm.Print_Area" localSheetId="9">'7.1'!$A$1:$F$23</definedName>
    <definedName name="_xlnm.Print_Area" localSheetId="17">'дотации'!$A$1:$D$12</definedName>
    <definedName name="_xlnm.Print_Area" localSheetId="16">'рейтинг'!$A$1:$O$19</definedName>
    <definedName name="_xlnm.Print_Area" localSheetId="2">'ст.107'!$A$1:$H$43</definedName>
    <definedName name="_xlnm.Print_Area" localSheetId="3">'ст.111'!$A$1:$F$41</definedName>
    <definedName name="_xlnm.Print_Area" localSheetId="1">'ст.92.1'!$A$1:$I$43</definedName>
  </definedNames>
  <calcPr fullCalcOnLoad="1"/>
</workbook>
</file>

<file path=xl/sharedStrings.xml><?xml version="1.0" encoding="utf-8"?>
<sst xmlns="http://schemas.openxmlformats.org/spreadsheetml/2006/main" count="882" uniqueCount="274">
  <si>
    <t>1.Самара</t>
  </si>
  <si>
    <t>2.Тольятти</t>
  </si>
  <si>
    <t>3.Сызрань</t>
  </si>
  <si>
    <t>4.Новокуйбышевск</t>
  </si>
  <si>
    <t xml:space="preserve">5.Чапаевск </t>
  </si>
  <si>
    <t>6.Отрадный</t>
  </si>
  <si>
    <t>7.Жигулевск</t>
  </si>
  <si>
    <t>8.Октябрьск</t>
  </si>
  <si>
    <t>9.Кинель</t>
  </si>
  <si>
    <t>10.Похвистнево</t>
  </si>
  <si>
    <t>11.Алексеевский</t>
  </si>
  <si>
    <t>12.Безенчукский</t>
  </si>
  <si>
    <t>13.Богатовский</t>
  </si>
  <si>
    <t>14.Большеглушицкий</t>
  </si>
  <si>
    <t>15.Большечерниговский</t>
  </si>
  <si>
    <t>16.Борский</t>
  </si>
  <si>
    <t>17.Волжский</t>
  </si>
  <si>
    <t>18.Елховский</t>
  </si>
  <si>
    <t>19.Исаклинский</t>
  </si>
  <si>
    <t>20.Кинельский</t>
  </si>
  <si>
    <t>21.Кинель-Черкасский</t>
  </si>
  <si>
    <t>22.Клявлинский</t>
  </si>
  <si>
    <t>23.Кошкинский</t>
  </si>
  <si>
    <t>24.Красноармейский</t>
  </si>
  <si>
    <t>25.Красноярский</t>
  </si>
  <si>
    <t>26.Камышлинский</t>
  </si>
  <si>
    <t>27.Нефтегорский</t>
  </si>
  <si>
    <t>28.Пестравский</t>
  </si>
  <si>
    <t>29.Похвистневский</t>
  </si>
  <si>
    <t>30.Приволжский</t>
  </si>
  <si>
    <t>31.Сергиевский</t>
  </si>
  <si>
    <t>32.Ставропольский</t>
  </si>
  <si>
    <t>33.Сызранский</t>
  </si>
  <si>
    <t>34.Хворостянский</t>
  </si>
  <si>
    <t>35.Челно-Вершинский</t>
  </si>
  <si>
    <t>36.Шенталинский</t>
  </si>
  <si>
    <t>37.Шигонский</t>
  </si>
  <si>
    <t>"+" - муниципальное образование удовлетворяет критериям отбора</t>
  </si>
  <si>
    <t>+</t>
  </si>
  <si>
    <t>Наименование муниципального образования</t>
  </si>
  <si>
    <t>* для муниципального района - консолидированный бюджет</t>
  </si>
  <si>
    <t>+2</t>
  </si>
  <si>
    <t>-1</t>
  </si>
  <si>
    <t>-2</t>
  </si>
  <si>
    <t>Всего</t>
  </si>
  <si>
    <t>Рейтинг муниципального образования</t>
  </si>
  <si>
    <t>+1</t>
  </si>
  <si>
    <t>Размер дотации из фонда стимулирования</t>
  </si>
  <si>
    <t>4=3/2</t>
  </si>
  <si>
    <t>4=2/3</t>
  </si>
  <si>
    <t>Рейтинг муниципального образования, 
баллов</t>
  </si>
  <si>
    <t>всего</t>
  </si>
  <si>
    <t>Дотации</t>
  </si>
  <si>
    <t>среднее значение</t>
  </si>
  <si>
    <t>Налоговые и неналоговые доходы</t>
  </si>
  <si>
    <t>в т.ч. обслуживаемых в централизованной бухгалтерии</t>
  </si>
  <si>
    <t>П2 макс</t>
  </si>
  <si>
    <t>П2 мин</t>
  </si>
  <si>
    <t>В2</t>
  </si>
  <si>
    <t>П2</t>
  </si>
  <si>
    <t>О2</t>
  </si>
  <si>
    <t>О2 х В2</t>
  </si>
  <si>
    <t>Доходы от продажи имущества</t>
  </si>
  <si>
    <t>4=3/2*100%</t>
  </si>
  <si>
    <t>П7 макс</t>
  </si>
  <si>
    <t>П7 мин</t>
  </si>
  <si>
    <t>В7</t>
  </si>
  <si>
    <t>П7</t>
  </si>
  <si>
    <t>О7</t>
  </si>
  <si>
    <t>О7 х В7</t>
  </si>
  <si>
    <t>П9 макс</t>
  </si>
  <si>
    <t>П9 мин</t>
  </si>
  <si>
    <t>В9</t>
  </si>
  <si>
    <t>П9</t>
  </si>
  <si>
    <t>О9</t>
  </si>
  <si>
    <t>О9 х В9</t>
  </si>
  <si>
    <t>П10 макс</t>
  </si>
  <si>
    <t>П10 мин</t>
  </si>
  <si>
    <t>В10</t>
  </si>
  <si>
    <t>П10</t>
  </si>
  <si>
    <t>О10</t>
  </si>
  <si>
    <t>О10 х В10</t>
  </si>
  <si>
    <t>П12 макс</t>
  </si>
  <si>
    <t>П12 мин</t>
  </si>
  <si>
    <t>В12</t>
  </si>
  <si>
    <t>П13 макс</t>
  </si>
  <si>
    <t>П13 мин</t>
  </si>
  <si>
    <t>В13</t>
  </si>
  <si>
    <t>П13</t>
  </si>
  <si>
    <t>О13</t>
  </si>
  <si>
    <t>О13 х В13</t>
  </si>
  <si>
    <t>Дефицит бюджета, всего</t>
  </si>
  <si>
    <t>Доходы бюджета, всего</t>
  </si>
  <si>
    <t>Доходы бюджета без учета безвозмездных поступлений</t>
  </si>
  <si>
    <t>П14 макс</t>
  </si>
  <si>
    <t>П14 мин</t>
  </si>
  <si>
    <t>В14</t>
  </si>
  <si>
    <t>Снижение остатков средств на счетах по учету средств бюджета</t>
  </si>
  <si>
    <t>Средства от продажи акций и иных форм участия в капитале, находящихся в муниципальной собственности</t>
  </si>
  <si>
    <t>Безвозмездные поступления</t>
  </si>
  <si>
    <t>П14</t>
  </si>
  <si>
    <t>О14</t>
  </si>
  <si>
    <t>О14 х В14</t>
  </si>
  <si>
    <t>П15 макс</t>
  </si>
  <si>
    <t>П15 мин</t>
  </si>
  <si>
    <t>В15</t>
  </si>
  <si>
    <t>П15</t>
  </si>
  <si>
    <t>О15</t>
  </si>
  <si>
    <t>О15 х В15</t>
  </si>
  <si>
    <t>I. Показатели, характеризующие качество работы с доходами бюджета</t>
  </si>
  <si>
    <t>II. Показатели эффективности расходования средств</t>
  </si>
  <si>
    <t>III. Показатели, характеризующие качество работы с источниками финансирования дефицита бюджета</t>
  </si>
  <si>
    <t>П12</t>
  </si>
  <si>
    <t>О12</t>
  </si>
  <si>
    <t>О12 х В12</t>
  </si>
  <si>
    <t>Скорректи-рованный дефицит бюджета</t>
  </si>
  <si>
    <t>Положительное значение остатков средств бюджета, не имеющих целевого назначения</t>
  </si>
  <si>
    <t>в баллах</t>
  </si>
  <si>
    <t>ранг</t>
  </si>
  <si>
    <t>Критерии отбора муниципальных образований</t>
  </si>
  <si>
    <t>Бюджет муниципального образования отчетного и текущего финансового годов утверждён на 3 года</t>
  </si>
  <si>
    <t>Годовой план</t>
  </si>
  <si>
    <t>Исполнение</t>
  </si>
  <si>
    <t>7=6/5*100%</t>
  </si>
  <si>
    <t>Среднее ежеквартальное значение исполнения годового плана</t>
  </si>
  <si>
    <t>%
 испол-нения</t>
  </si>
  <si>
    <t>7. Доля неэффективных расходов на содержание органов местного самоуправления в общем объеме расходов местного бюджета*</t>
  </si>
  <si>
    <t>9. Размер кредиторской задолженности на одного жителя муниципального образования*</t>
  </si>
  <si>
    <t>12. Доля муниципальных учреждений, обслуживаемых в централизованной бухгалтерии</t>
  </si>
  <si>
    <t>Количество муниципальных учреждений (с учетом поселений)</t>
  </si>
  <si>
    <t>13. Дефицит местного бюджета</t>
  </si>
  <si>
    <t>14. Уровень долговой нагрузки местного бюджета</t>
  </si>
  <si>
    <t>в т.ч. по бюджетным кредитам инвестиционного характера</t>
  </si>
  <si>
    <t>15. Соотношение остатков собственных средств и доходов бюджета*</t>
  </si>
  <si>
    <t>тыс.рублей</t>
  </si>
  <si>
    <t>Доходы бюджета</t>
  </si>
  <si>
    <t>Дефицит бюджета</t>
  </si>
  <si>
    <t>Документы надлежащим образом оформлены, представлены 
в полном объеме и в установленный срок</t>
  </si>
  <si>
    <t>7.1. Превышение штатной численности работников органов местного самоуправления над оптимальным (расчетным) значением*</t>
  </si>
  <si>
    <t>П7.1 макс</t>
  </si>
  <si>
    <t>П7.1 мин</t>
  </si>
  <si>
    <t>В7.1</t>
  </si>
  <si>
    <t>4=2-3</t>
  </si>
  <si>
    <t>П7.1</t>
  </si>
  <si>
    <t>О7.1</t>
  </si>
  <si>
    <t>О7.1 х В7.1</t>
  </si>
  <si>
    <t>7.1</t>
  </si>
  <si>
    <t>10. Доля расходов местного бюджета, осуществляемых в рамках программ</t>
  </si>
  <si>
    <t xml:space="preserve">Объем основного долга по бюджетным кредитам, привлеченным в местный бюджет </t>
  </si>
  <si>
    <t>7=5-6</t>
  </si>
  <si>
    <t>5=3-4</t>
  </si>
  <si>
    <t>красным выделены МО, относящиеся к 3 группе</t>
  </si>
  <si>
    <t xml:space="preserve">Средства от продажи акций и иных форм участия в капитале, находящихся в муниципальной собственности </t>
  </si>
  <si>
    <t>Скорректирован-ный дефицит бюджета</t>
  </si>
  <si>
    <t>Соблюдение ограничения размера дефицита бюджета муниципального образования, установленного п. 3 ст. 92.1 Бюджетного кодекса РФ</t>
  </si>
  <si>
    <t>8=4/7*100%</t>
  </si>
  <si>
    <r>
      <t xml:space="preserve">Скорректирован-ный дефицит в % к доходам бюджета без учета безвозмездных поступлений </t>
    </r>
    <r>
      <rPr>
        <sz val="12"/>
        <color indexed="8"/>
        <rFont val="Times New Roman"/>
        <family val="1"/>
      </rPr>
      <t>(ограничение - 10%, для 3 группы - 5%)</t>
    </r>
  </si>
  <si>
    <r>
      <t xml:space="preserve">Скорректированный объем муниципаль-ного долга в % 
к доходам бюджета без учета безвозмездных поступлений </t>
    </r>
    <r>
      <rPr>
        <sz val="12"/>
        <color indexed="8"/>
        <rFont val="Times New Roman"/>
        <family val="1"/>
      </rPr>
      <t>(ограничение - 100%, для 3 группы - 50%)</t>
    </r>
  </si>
  <si>
    <t>Соблюдение ограничения предельного объема муниципального долга, установленного п. 3 ст. 107 Бюджетного кодекса РФ</t>
  </si>
  <si>
    <t>6=2/5*100%</t>
  </si>
  <si>
    <t>Соблюдение ограничения предельного объема расходов на обслуживание муниципального долга,
установленного ст. 111 Бюджетного кодекса РФ</t>
  </si>
  <si>
    <r>
      <t xml:space="preserve">Доля расходов на обслуживание муниципального долга в общем объеме расходов  бюджета без учета субвенций, % </t>
    </r>
    <r>
      <rPr>
        <sz val="12"/>
        <color indexed="8"/>
        <rFont val="Times New Roman"/>
        <family val="1"/>
      </rPr>
      <t>(ограничение - 15%)</t>
    </r>
  </si>
  <si>
    <r>
      <t xml:space="preserve">На сайте МО работает раздел "Бюджет для граждан" </t>
    </r>
    <r>
      <rPr>
        <sz val="12"/>
        <color indexed="8"/>
        <rFont val="Times New Roman"/>
        <family val="1"/>
      </rPr>
      <t>(по тем МО, которые представили документы для участия)</t>
    </r>
  </si>
  <si>
    <t>2. Степень исполнения годового плана по доходам от продажи имущества*</t>
  </si>
  <si>
    <t>П4.1 макс</t>
  </si>
  <si>
    <t>П4.1 мин</t>
  </si>
  <si>
    <t>В4.1</t>
  </si>
  <si>
    <t>в том числе суммы, заявленные путем декларирования</t>
  </si>
  <si>
    <t>Фонд оплаты труда</t>
  </si>
  <si>
    <t>Фактическое поступление
налога на доходы физических лиц</t>
  </si>
  <si>
    <t>5=(2-3)/4</t>
  </si>
  <si>
    <t>П4.1</t>
  </si>
  <si>
    <t>О4.1</t>
  </si>
  <si>
    <t>О4.1 х В4.1</t>
  </si>
  <si>
    <t>П5.1 макс</t>
  </si>
  <si>
    <t>П5.1 мин</t>
  </si>
  <si>
    <t>В5.1</t>
  </si>
  <si>
    <t>Количество "ненулевых" деклараций
по ЕНВД</t>
  </si>
  <si>
    <t>П5.1</t>
  </si>
  <si>
    <t>О5.1</t>
  </si>
  <si>
    <t>О5.1 х В5.1</t>
  </si>
  <si>
    <t>4=2/3*1000</t>
  </si>
  <si>
    <t>5.1. Количество «ненулевых» деклараций по единому налогу на вмененный доход
в расчете на 1000 жителей</t>
  </si>
  <si>
    <t>в т.ч. в рамках программ</t>
  </si>
  <si>
    <t>Муниципальный долг, всего</t>
  </si>
  <si>
    <t>Скорректи-рованный размер долга</t>
  </si>
  <si>
    <t>8=4/7*100</t>
  </si>
  <si>
    <t>Доходы бюджета, не имеющие целевого назначения</t>
  </si>
  <si>
    <t>Степень исполнения годового плана по доходам от продажи имущества</t>
  </si>
  <si>
    <t>4.1</t>
  </si>
  <si>
    <t>5.1</t>
  </si>
  <si>
    <t>Соотношение поступлений НДФЛ и ФОТ</t>
  </si>
  <si>
    <t>Количество "ненулевых" деклараций по ЕНВД в расчете на 1000 жителей</t>
  </si>
  <si>
    <t>Доля неэффективных расходов на содержание ОМСУ</t>
  </si>
  <si>
    <t>Превышение штатной численности работников ОМСУ над оптимальным (расчетным) значением</t>
  </si>
  <si>
    <t>Размер кредиторской задолженности на 1 жителя</t>
  </si>
  <si>
    <t>Доля расходов местного бюджета, осуществляемых
в рамках программ</t>
  </si>
  <si>
    <t>Доля муниц. учреждений, обслуживаемых в централиз. бухгалтерии</t>
  </si>
  <si>
    <t>Дефицит местного бюджета</t>
  </si>
  <si>
    <t>Уровень долговой нагрузки местного бюджета</t>
  </si>
  <si>
    <t>Соотношение остатков собственных средств и доходов бюджета</t>
  </si>
  <si>
    <t>4.1. Соотношение поступлений налога на доходы физических лиц и фонда оплаты труда*</t>
  </si>
  <si>
    <t>17=14/(15+16)</t>
  </si>
  <si>
    <t>Муниципальный долг, скорректиро-ванный на величину бюджетных кредитов</t>
  </si>
  <si>
    <t>1.1. Задолженность по имущественным налогам перед местным бюджетом в расчете на 1 жителя муниципального образования</t>
  </si>
  <si>
    <t>П1.1 макс</t>
  </si>
  <si>
    <t>П1.1 мин</t>
  </si>
  <si>
    <t>В1.1</t>
  </si>
  <si>
    <t>Задолженность по имущественным налогам (земельному налогу и налогу на имущество физических лиц) перед местным бюджетом</t>
  </si>
  <si>
    <t>П1.1</t>
  </si>
  <si>
    <t>О1.1</t>
  </si>
  <si>
    <t>О1.1 х В1.1</t>
  </si>
  <si>
    <t>Задолженность по имущественным налогам перед местным бюджетом
на 1 жителя</t>
  </si>
  <si>
    <t>1.1</t>
  </si>
  <si>
    <t>3.Похвистнево</t>
  </si>
  <si>
    <t xml:space="preserve">4.Алексеевский </t>
  </si>
  <si>
    <t xml:space="preserve">5.Безенчукский </t>
  </si>
  <si>
    <t xml:space="preserve">6.Богатовский </t>
  </si>
  <si>
    <t>7.Большеглушицкий</t>
  </si>
  <si>
    <t xml:space="preserve">8.Борский </t>
  </si>
  <si>
    <t>1.Кинель-Черкасский</t>
  </si>
  <si>
    <t>В течение 
I полугодия 2017 года отсутствовала просроченная кредиторская задолженность бюджета</t>
  </si>
  <si>
    <t>В I полугодии 2017 года соблюдены сроки возврата бюджетного кредита и уплаты процентов по кредиту, предоставленному из областного бюджета</t>
  </si>
  <si>
    <t>По итогам 
за I полугодие 2017 года соблюден норматив формирования расходов на содержание ОМСУ</t>
  </si>
  <si>
    <t>В 1 полугодии 2017 года муниципальное образование не обращалось в МУФ СО с просьбой о досрочном перечислении дотаций на выравнивание бюджетной обеспеченности</t>
  </si>
  <si>
    <t>По состоянию на 01.07.2017 задолженность по налогам не превышала 1000 рублей (по данным УФНС России по Самарской области)</t>
  </si>
  <si>
    <t>По состоянию на 01.07.2017 соблюдены ограничения, установленные пп. 3 и 4 ст.92.1, пп. 3 и 4 ст.107 и ст. 111 БК РФ</t>
  </si>
  <si>
    <t>Муниципальное образование допущено 
к участию 
в распределении 
дотаций на стимулирование по итогам 
за 1 полугодие 2017 года</t>
  </si>
  <si>
    <t>Численность населения
на 01.01.2017</t>
  </si>
  <si>
    <t>на 01.04.2017</t>
  </si>
  <si>
    <t>на 01.07.2017</t>
  </si>
  <si>
    <t>1. Жигулёвск</t>
  </si>
  <si>
    <t>2.Новокуйбышевск</t>
  </si>
  <si>
    <t>-</t>
  </si>
  <si>
    <t>Дефицит бюджета (утверждено на 2017 год)</t>
  </si>
  <si>
    <t>Доходы бюджета (утверждено на 2017 год)</t>
  </si>
  <si>
    <t>5=2+3+4</t>
  </si>
  <si>
    <t>8=6-7</t>
  </si>
  <si>
    <t>9=(-5)/8*100%</t>
  </si>
  <si>
    <t>Муниципальный долг (на 01.07.2017)</t>
  </si>
  <si>
    <t>Расходы бюджета на обслуживание муниципаль-ного долга 
(утверждено 
на 2017 год)</t>
  </si>
  <si>
    <t>Общий объем расходов бюджета муниципального образования (утверждено 
на 2017 год)</t>
  </si>
  <si>
    <t>Расходы за счет субвенций
(утверждено 
на 2017 год)</t>
  </si>
  <si>
    <t>Общий объем расходов бюджета муниципального образования без учета субвенций (утверждено 
на 2017 год)</t>
  </si>
  <si>
    <t>9.Кинельский</t>
  </si>
  <si>
    <t>10.Кинель-Черкасский</t>
  </si>
  <si>
    <t xml:space="preserve">11.Похвистневский </t>
  </si>
  <si>
    <t xml:space="preserve">12.Сергиевский </t>
  </si>
  <si>
    <t>13.Челно-Вершинский</t>
  </si>
  <si>
    <t xml:space="preserve">14.Шенталинский </t>
  </si>
  <si>
    <t>Расходы бюджета 
на 2017 год</t>
  </si>
  <si>
    <t>Неэффективные расходы 
на управление 
на 01.07.2017</t>
  </si>
  <si>
    <t>Штатная численность работников ОМСУ на 01.07.2017</t>
  </si>
  <si>
    <t>Нормированная штатная численность работников ОМСУ на 01.07.2017</t>
  </si>
  <si>
    <t>Кредиторская задолженность по бюджетной деятельности 
на 01.07.2017</t>
  </si>
  <si>
    <t>Расходы бюджета на 2017 год</t>
  </si>
  <si>
    <t>Муниципальный долг на 01.07.2017</t>
  </si>
  <si>
    <t>на 01.02.2017</t>
  </si>
  <si>
    <t>на 01.03.2017</t>
  </si>
  <si>
    <t>на 01.05.2017</t>
  </si>
  <si>
    <t>на 01.06.2017</t>
  </si>
  <si>
    <t>Расчет рейтинга муниципальных образований Самарской области за 1 полугодие 2017 года</t>
  </si>
  <si>
    <t>Распределение дотаций на стимулирование повышения качества управления муниципальными финансами в части дотаций на стимулирование организации лучшей практики управления муниципальными финансами за 1 полугодие 2017 года</t>
  </si>
  <si>
    <t>Численность населения на 01.01.2017, человек</t>
  </si>
  <si>
    <t>Бюджетные кредиты инвестицион-ного характера</t>
  </si>
  <si>
    <t>6=2-3-4-5</t>
  </si>
  <si>
    <t>9=7-8</t>
  </si>
  <si>
    <t>10=6/9*100</t>
  </si>
  <si>
    <t>2.Похвистневский</t>
  </si>
  <si>
    <t xml:space="preserve">3.Большеглушицкий </t>
  </si>
  <si>
    <t>4.Богатовский</t>
  </si>
  <si>
    <t xml:space="preserve">5.Борский </t>
  </si>
  <si>
    <t>6.Шенталинский</t>
  </si>
  <si>
    <t>7.Челно-Вершинский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</si>
</sst>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.0"/>
    <numFmt numFmtId="182" formatCode="#,##0.00_ ;[Red]\-#,##0.00\ "/>
    <numFmt numFmtId="183" formatCode="#,##0.000"/>
    <numFmt numFmtId="184" formatCode="#,##0.0000"/>
    <numFmt numFmtId="185" formatCode="0.0"/>
    <numFmt numFmtId="186" formatCode="0.00000"/>
    <numFmt numFmtId="187" formatCode="0.0000"/>
    <numFmt numFmtId="188" formatCode="0.000"/>
    <numFmt numFmtId="189" formatCode="#,##0.00000"/>
    <numFmt numFmtId="190" formatCode="#,##0.000000"/>
    <numFmt numFmtId="191" formatCode="#,##0.0000000"/>
    <numFmt numFmtId="192" formatCode="0.00000000"/>
    <numFmt numFmtId="193" formatCode="0.0000000"/>
    <numFmt numFmtId="194" formatCode="0.000000"/>
    <numFmt numFmtId="195" formatCode="#,##0_ ;[Red]\-#,##0\ "/>
    <numFmt numFmtId="196" formatCode="#,##0.0_ ;[Red]\-#,##0.0\ "/>
    <numFmt numFmtId="197" formatCode="#,##0.00_ ;\-#,##0.00\ "/>
    <numFmt numFmtId="198" formatCode="#,##0.000_ ;[Red]\-#,##0.000\ "/>
    <numFmt numFmtId="199" formatCode="#,##0.0000_ ;[Red]\-#,##0.0000\ "/>
    <numFmt numFmtId="200" formatCode="#,##0.00000_ ;[Red]\-#,##0.00000\ "/>
    <numFmt numFmtId="201" formatCode="#,##0.000000_ ;[Red]\-#,##0.000000\ "/>
    <numFmt numFmtId="202" formatCode="#,##0.0000000_ ;[Red]\-#,##0.0000000\ "/>
    <numFmt numFmtId="203" formatCode="#,##0.00000000_ ;[Red]\-#,##0.00000000\ "/>
    <numFmt numFmtId="204" formatCode="#,##0.0_ ;\-#,##0.0\ "/>
    <numFmt numFmtId="205" formatCode="#,##0_ ;\-#,##0\ "/>
    <numFmt numFmtId="206" formatCode="#,##0.000_ ;\-#,##0.000\ "/>
    <numFmt numFmtId="207" formatCode="_(* #,##0_);_(* \(#,##0\);_(* &quot;-&quot;_);_(@_)"/>
    <numFmt numFmtId="208" formatCode="_(&quot;$&quot;* #,##0_);_(&quot;$&quot;* \(#,##0\);_(&quot;$&quot;* &quot;-&quot;_);_(@_)"/>
    <numFmt numFmtId="209" formatCode="_(* #,##0.00_);_(* \(#,##0.00\);_(* &quot;-&quot;??_);_(@_)"/>
    <numFmt numFmtId="210" formatCode="_(&quot;$&quot;* #,##0.00_);_(&quot;$&quot;* \(#,##0.00\);_(&quot;$&quot;* &quot;-&quot;??_);_(@_)"/>
    <numFmt numFmtId="211" formatCode="[$-10419]###\ ###\ ###\ ###\ ##0.00"/>
    <numFmt numFmtId="212" formatCode="_-* #,##0_р_._-;\-* #,##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2"/>
      <color indexed="36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3" tint="0.39998000860214233"/>
      <name val="Times New Roman"/>
      <family val="1"/>
    </font>
    <font>
      <sz val="12"/>
      <color rgb="FF00B050"/>
      <name val="Times New Roman"/>
      <family val="1"/>
    </font>
    <font>
      <i/>
      <sz val="11"/>
      <color theme="1"/>
      <name val="Times New Roman"/>
      <family val="1"/>
    </font>
    <font>
      <sz val="12"/>
      <color rgb="FF7030A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10" fillId="0" borderId="0">
      <alignment vertical="center" wrapText="1"/>
      <protection/>
    </xf>
    <xf numFmtId="0" fontId="11" fillId="0" borderId="0">
      <alignment vertical="top" wrapText="1"/>
      <protection/>
    </xf>
    <xf numFmtId="0" fontId="10" fillId="0" borderId="0">
      <alignment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56" fillId="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55" fillId="0" borderId="10" xfId="0" applyNumberFormat="1" applyFont="1" applyBorder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4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 quotePrefix="1">
      <alignment horizontal="right"/>
    </xf>
    <xf numFmtId="0" fontId="4" fillId="0" borderId="10" xfId="0" applyFont="1" applyBorder="1" applyAlignment="1">
      <alignment/>
    </xf>
    <xf numFmtId="0" fontId="55" fillId="0" borderId="0" xfId="0" applyFont="1" applyAlignment="1">
      <alignment wrapText="1"/>
    </xf>
    <xf numFmtId="0" fontId="2" fillId="0" borderId="10" xfId="0" applyFont="1" applyFill="1" applyBorder="1" applyAlignment="1">
      <alignment vertical="center"/>
    </xf>
    <xf numFmtId="3" fontId="56" fillId="0" borderId="10" xfId="0" applyNumberFormat="1" applyFont="1" applyBorder="1" applyAlignment="1">
      <alignment/>
    </xf>
    <xf numFmtId="0" fontId="55" fillId="0" borderId="10" xfId="0" applyFont="1" applyFill="1" applyBorder="1" applyAlignment="1">
      <alignment horizontal="center" vertical="center"/>
    </xf>
    <xf numFmtId="4" fontId="57" fillId="0" borderId="10" xfId="0" applyNumberFormat="1" applyFont="1" applyFill="1" applyBorder="1" applyAlignment="1">
      <alignment horizontal="right"/>
    </xf>
    <xf numFmtId="0" fontId="60" fillId="0" borderId="0" xfId="0" applyFont="1" applyAlignment="1">
      <alignment horizontal="right" wrapText="1"/>
    </xf>
    <xf numFmtId="4" fontId="2" fillId="0" borderId="10" xfId="0" applyNumberFormat="1" applyFont="1" applyFill="1" applyBorder="1" applyAlignment="1">
      <alignment/>
    </xf>
    <xf numFmtId="0" fontId="55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right"/>
    </xf>
    <xf numFmtId="0" fontId="9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183" fontId="8" fillId="0" borderId="0" xfId="0" applyNumberFormat="1" applyFont="1" applyFill="1" applyBorder="1" applyAlignment="1">
      <alignment horizontal="right"/>
    </xf>
    <xf numFmtId="182" fontId="3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4" fontId="8" fillId="0" borderId="0" xfId="0" applyNumberFormat="1" applyFont="1" applyFill="1" applyBorder="1" applyAlignment="1">
      <alignment horizontal="right"/>
    </xf>
    <xf numFmtId="197" fontId="3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55" fillId="0" borderId="10" xfId="0" applyNumberFormat="1" applyFont="1" applyBorder="1" applyAlignment="1">
      <alignment horizontal="center"/>
    </xf>
    <xf numFmtId="183" fontId="61" fillId="0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3" fontId="55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183" fontId="6" fillId="0" borderId="10" xfId="0" applyNumberFormat="1" applyFont="1" applyFill="1" applyBorder="1" applyAlignment="1">
      <alignment horizontal="right"/>
    </xf>
    <xf numFmtId="183" fontId="3" fillId="0" borderId="10" xfId="0" applyNumberFormat="1" applyFont="1" applyBorder="1" applyAlignment="1">
      <alignment/>
    </xf>
    <xf numFmtId="183" fontId="3" fillId="0" borderId="10" xfId="0" applyNumberFormat="1" applyFont="1" applyBorder="1" applyAlignment="1">
      <alignment horizontal="right"/>
    </xf>
    <xf numFmtId="16" fontId="56" fillId="34" borderId="10" xfId="0" applyNumberFormat="1" applyFont="1" applyFill="1" applyBorder="1" applyAlignment="1" quotePrefix="1">
      <alignment horizontal="center" vertical="center" wrapText="1"/>
    </xf>
    <xf numFmtId="182" fontId="3" fillId="0" borderId="10" xfId="0" applyNumberFormat="1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textRotation="90" wrapText="1"/>
    </xf>
    <xf numFmtId="16" fontId="62" fillId="34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/>
    </xf>
    <xf numFmtId="182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10" xfId="0" applyNumberFormat="1" applyFont="1" applyBorder="1" applyAlignment="1">
      <alignment/>
    </xf>
    <xf numFmtId="16" fontId="56" fillId="34" borderId="10" xfId="0" applyNumberFormat="1" applyFont="1" applyFill="1" applyBorder="1" applyAlignment="1" quotePrefix="1">
      <alignment horizontal="center" vertical="center"/>
    </xf>
    <xf numFmtId="3" fontId="8" fillId="0" borderId="10" xfId="0" applyNumberFormat="1" applyFont="1" applyFill="1" applyBorder="1" applyAlignment="1">
      <alignment/>
    </xf>
    <xf numFmtId="181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4" fontId="55" fillId="0" borderId="0" xfId="0" applyNumberFormat="1" applyFont="1" applyAlignment="1">
      <alignment/>
    </xf>
    <xf numFmtId="3" fontId="58" fillId="0" borderId="10" xfId="0" applyNumberFormat="1" applyFont="1" applyFill="1" applyBorder="1" applyAlignment="1">
      <alignment horizontal="right"/>
    </xf>
    <xf numFmtId="182" fontId="3" fillId="0" borderId="10" xfId="0" applyNumberFormat="1" applyFont="1" applyFill="1" applyBorder="1" applyAlignment="1">
      <alignment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82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center"/>
    </xf>
    <xf numFmtId="181" fontId="3" fillId="0" borderId="0" xfId="0" applyNumberFormat="1" applyFont="1" applyAlignment="1">
      <alignment/>
    </xf>
    <xf numFmtId="4" fontId="55" fillId="0" borderId="10" xfId="0" applyNumberFormat="1" applyFont="1" applyBorder="1" applyAlignment="1">
      <alignment horizontal="center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3" fillId="0" borderId="11" xfId="0" applyNumberFormat="1" applyFont="1" applyBorder="1" applyAlignment="1">
      <alignment/>
    </xf>
    <xf numFmtId="183" fontId="8" fillId="0" borderId="10" xfId="0" applyNumberFormat="1" applyFont="1" applyFill="1" applyBorder="1" applyAlignment="1">
      <alignment horizontal="right"/>
    </xf>
    <xf numFmtId="0" fontId="56" fillId="34" borderId="10" xfId="0" applyFont="1" applyFill="1" applyBorder="1" applyAlignment="1">
      <alignment horizontal="center" vertical="center"/>
    </xf>
    <xf numFmtId="181" fontId="2" fillId="0" borderId="0" xfId="68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0" fontId="5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6" fillId="0" borderId="13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6" fillId="3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56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56" fillId="0" borderId="0" xfId="0" applyFont="1" applyBorder="1" applyAlignment="1">
      <alignment horizontal="center" wrapText="1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2 2" xfId="54"/>
    <cellStyle name="Обычный 2 3" xfId="55"/>
    <cellStyle name="Обычный 2 4" xfId="56"/>
    <cellStyle name="Обычный 3" xfId="57"/>
    <cellStyle name="Обычный 4" xfId="58"/>
    <cellStyle name="Обычный 5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="80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9.140625" defaultRowHeight="15"/>
  <cols>
    <col min="1" max="1" width="24.140625" style="1" customWidth="1"/>
    <col min="2" max="2" width="18.57421875" style="1" customWidth="1"/>
    <col min="3" max="3" width="16.28125" style="1" customWidth="1"/>
    <col min="4" max="4" width="19.8515625" style="1" customWidth="1"/>
    <col min="5" max="5" width="16.140625" style="1" customWidth="1"/>
    <col min="6" max="6" width="22.421875" style="1" customWidth="1"/>
    <col min="7" max="7" width="16.57421875" style="1" customWidth="1"/>
    <col min="8" max="8" width="17.57421875" style="1" customWidth="1"/>
    <col min="9" max="9" width="17.140625" style="1" customWidth="1"/>
    <col min="10" max="10" width="14.421875" style="1" customWidth="1"/>
    <col min="11" max="11" width="18.8515625" style="1" customWidth="1"/>
    <col min="12" max="16384" width="9.140625" style="1" customWidth="1"/>
  </cols>
  <sheetData>
    <row r="1" spans="1:11" ht="15" customHeight="1">
      <c r="A1" s="102" t="s">
        <v>119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3" ht="15">
      <c r="A3" s="1" t="s">
        <v>37</v>
      </c>
    </row>
    <row r="4" spans="1:11" s="15" customFormat="1" ht="172.5" customHeight="1">
      <c r="A4" s="81" t="s">
        <v>39</v>
      </c>
      <c r="B4" s="81" t="s">
        <v>120</v>
      </c>
      <c r="C4" s="97" t="s">
        <v>221</v>
      </c>
      <c r="D4" s="97" t="s">
        <v>222</v>
      </c>
      <c r="E4" s="97" t="s">
        <v>223</v>
      </c>
      <c r="F4" s="97" t="s">
        <v>224</v>
      </c>
      <c r="G4" s="97" t="s">
        <v>225</v>
      </c>
      <c r="H4" s="97" t="s">
        <v>226</v>
      </c>
      <c r="I4" s="81" t="s">
        <v>137</v>
      </c>
      <c r="J4" s="81" t="s">
        <v>162</v>
      </c>
      <c r="K4" s="97" t="s">
        <v>227</v>
      </c>
    </row>
    <row r="5" spans="1:11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</row>
    <row r="6" spans="1:11" ht="15">
      <c r="A6" s="3" t="s">
        <v>0</v>
      </c>
      <c r="B6" s="18" t="s">
        <v>38</v>
      </c>
      <c r="C6" s="18" t="s">
        <v>38</v>
      </c>
      <c r="D6" s="18" t="s">
        <v>38</v>
      </c>
      <c r="E6" s="18" t="s">
        <v>233</v>
      </c>
      <c r="F6" s="18" t="s">
        <v>38</v>
      </c>
      <c r="G6" s="18"/>
      <c r="H6" s="18" t="s">
        <v>38</v>
      </c>
      <c r="I6" s="18"/>
      <c r="J6" s="18"/>
      <c r="K6" s="18" t="str">
        <f>IF(AND($B6="+",$C6="+",$D6="+",$E6="+",$F6="+",$G6="+",$J6="+",$H6="+",$I6="+"),"+"," ")</f>
        <v> </v>
      </c>
    </row>
    <row r="7" spans="1:11" ht="15">
      <c r="A7" s="3" t="s">
        <v>1</v>
      </c>
      <c r="B7" s="18" t="s">
        <v>38</v>
      </c>
      <c r="C7" s="18" t="s">
        <v>38</v>
      </c>
      <c r="D7" s="18" t="s">
        <v>38</v>
      </c>
      <c r="E7" s="18" t="s">
        <v>38</v>
      </c>
      <c r="F7" s="18" t="s">
        <v>38</v>
      </c>
      <c r="G7" s="18"/>
      <c r="H7" s="18" t="s">
        <v>38</v>
      </c>
      <c r="I7" s="18"/>
      <c r="J7" s="18"/>
      <c r="K7" s="18" t="str">
        <f aca="true" t="shared" si="0" ref="K7:K42">IF(AND($B7="+",$C7="+",$D7="+",$E7="+",$F7="+",$G7="+",$J7="+",$H7="+",$I7="+"),"+"," ")</f>
        <v> </v>
      </c>
    </row>
    <row r="8" spans="1:11" ht="15">
      <c r="A8" s="3" t="s">
        <v>2</v>
      </c>
      <c r="B8" s="18" t="s">
        <v>38</v>
      </c>
      <c r="C8" s="18" t="s">
        <v>38</v>
      </c>
      <c r="D8" s="18" t="s">
        <v>38</v>
      </c>
      <c r="E8" s="18" t="s">
        <v>38</v>
      </c>
      <c r="F8" s="18" t="s">
        <v>38</v>
      </c>
      <c r="G8" s="18"/>
      <c r="H8" s="18" t="s">
        <v>38</v>
      </c>
      <c r="I8" s="18"/>
      <c r="J8" s="18"/>
      <c r="K8" s="18" t="str">
        <f t="shared" si="0"/>
        <v> </v>
      </c>
    </row>
    <row r="9" spans="1:11" ht="15">
      <c r="A9" s="3" t="s">
        <v>3</v>
      </c>
      <c r="B9" s="18" t="s">
        <v>38</v>
      </c>
      <c r="C9" s="18" t="s">
        <v>38</v>
      </c>
      <c r="D9" s="18" t="s">
        <v>38</v>
      </c>
      <c r="E9" s="18" t="s">
        <v>38</v>
      </c>
      <c r="F9" s="18" t="s">
        <v>38</v>
      </c>
      <c r="G9" s="18" t="s">
        <v>38</v>
      </c>
      <c r="H9" s="18" t="s">
        <v>38</v>
      </c>
      <c r="I9" s="18" t="s">
        <v>38</v>
      </c>
      <c r="J9" s="18" t="s">
        <v>38</v>
      </c>
      <c r="K9" s="18" t="str">
        <f t="shared" si="0"/>
        <v>+</v>
      </c>
    </row>
    <row r="10" spans="1:11" ht="15">
      <c r="A10" s="3" t="s">
        <v>4</v>
      </c>
      <c r="B10" s="18" t="s">
        <v>38</v>
      </c>
      <c r="C10" s="18" t="s">
        <v>38</v>
      </c>
      <c r="D10" s="18" t="s">
        <v>38</v>
      </c>
      <c r="E10" s="18" t="s">
        <v>38</v>
      </c>
      <c r="F10" s="18" t="s">
        <v>38</v>
      </c>
      <c r="G10" s="18"/>
      <c r="H10" s="18" t="s">
        <v>38</v>
      </c>
      <c r="I10" s="18"/>
      <c r="J10" s="18"/>
      <c r="K10" s="18" t="str">
        <f t="shared" si="0"/>
        <v> </v>
      </c>
    </row>
    <row r="11" spans="1:11" ht="15">
      <c r="A11" s="3" t="s">
        <v>5</v>
      </c>
      <c r="B11" s="18" t="s">
        <v>38</v>
      </c>
      <c r="C11" s="18" t="s">
        <v>38</v>
      </c>
      <c r="D11" s="18" t="s">
        <v>38</v>
      </c>
      <c r="E11" s="18" t="s">
        <v>38</v>
      </c>
      <c r="F11" s="18" t="s">
        <v>38</v>
      </c>
      <c r="G11" s="18"/>
      <c r="H11" s="18" t="s">
        <v>38</v>
      </c>
      <c r="I11" s="18"/>
      <c r="J11" s="18"/>
      <c r="K11" s="18" t="str">
        <f t="shared" si="0"/>
        <v> </v>
      </c>
    </row>
    <row r="12" spans="1:11" ht="15">
      <c r="A12" s="3" t="s">
        <v>6</v>
      </c>
      <c r="B12" s="18" t="s">
        <v>38</v>
      </c>
      <c r="C12" s="18" t="s">
        <v>38</v>
      </c>
      <c r="D12" s="18" t="s">
        <v>38</v>
      </c>
      <c r="E12" s="18" t="s">
        <v>38</v>
      </c>
      <c r="F12" s="18" t="s">
        <v>38</v>
      </c>
      <c r="G12" s="18" t="s">
        <v>38</v>
      </c>
      <c r="H12" s="18" t="s">
        <v>38</v>
      </c>
      <c r="I12" s="18" t="s">
        <v>38</v>
      </c>
      <c r="J12" s="18" t="s">
        <v>38</v>
      </c>
      <c r="K12" s="18" t="str">
        <f t="shared" si="0"/>
        <v>+</v>
      </c>
    </row>
    <row r="13" spans="1:11" ht="15">
      <c r="A13" s="3" t="s">
        <v>7</v>
      </c>
      <c r="B13" s="18" t="s">
        <v>38</v>
      </c>
      <c r="C13" s="18" t="s">
        <v>38</v>
      </c>
      <c r="D13" s="18" t="s">
        <v>38</v>
      </c>
      <c r="E13" s="18" t="s">
        <v>38</v>
      </c>
      <c r="F13" s="18" t="s">
        <v>38</v>
      </c>
      <c r="G13" s="18"/>
      <c r="H13" s="18" t="s">
        <v>38</v>
      </c>
      <c r="I13" s="18"/>
      <c r="J13" s="18"/>
      <c r="K13" s="18" t="str">
        <f t="shared" si="0"/>
        <v> </v>
      </c>
    </row>
    <row r="14" spans="1:11" ht="15">
      <c r="A14" s="3" t="s">
        <v>8</v>
      </c>
      <c r="B14" s="18" t="s">
        <v>38</v>
      </c>
      <c r="C14" s="18" t="s">
        <v>38</v>
      </c>
      <c r="D14" s="18" t="s">
        <v>38</v>
      </c>
      <c r="E14" s="18" t="s">
        <v>38</v>
      </c>
      <c r="F14" s="18" t="s">
        <v>38</v>
      </c>
      <c r="G14" s="18"/>
      <c r="H14" s="18" t="s">
        <v>38</v>
      </c>
      <c r="I14" s="18"/>
      <c r="J14" s="18"/>
      <c r="K14" s="18" t="str">
        <f t="shared" si="0"/>
        <v> </v>
      </c>
    </row>
    <row r="15" spans="1:11" ht="15">
      <c r="A15" s="3" t="s">
        <v>9</v>
      </c>
      <c r="B15" s="18" t="s">
        <v>38</v>
      </c>
      <c r="C15" s="18" t="s">
        <v>38</v>
      </c>
      <c r="D15" s="18" t="s">
        <v>38</v>
      </c>
      <c r="E15" s="18" t="s">
        <v>38</v>
      </c>
      <c r="F15" s="18" t="s">
        <v>38</v>
      </c>
      <c r="G15" s="18" t="s">
        <v>38</v>
      </c>
      <c r="H15" s="18" t="s">
        <v>38</v>
      </c>
      <c r="I15" s="18" t="s">
        <v>38</v>
      </c>
      <c r="J15" s="18" t="s">
        <v>38</v>
      </c>
      <c r="K15" s="18" t="str">
        <f t="shared" si="0"/>
        <v>+</v>
      </c>
    </row>
    <row r="16" spans="1:11" ht="15">
      <c r="A16" s="3" t="s">
        <v>10</v>
      </c>
      <c r="B16" s="18" t="s">
        <v>38</v>
      </c>
      <c r="C16" s="18" t="s">
        <v>38</v>
      </c>
      <c r="D16" s="18" t="s">
        <v>38</v>
      </c>
      <c r="E16" s="18" t="s">
        <v>38</v>
      </c>
      <c r="F16" s="18" t="s">
        <v>38</v>
      </c>
      <c r="G16" s="18" t="s">
        <v>38</v>
      </c>
      <c r="H16" s="18" t="s">
        <v>38</v>
      </c>
      <c r="I16" s="18" t="s">
        <v>38</v>
      </c>
      <c r="J16" s="18" t="s">
        <v>38</v>
      </c>
      <c r="K16" s="18" t="str">
        <f t="shared" si="0"/>
        <v>+</v>
      </c>
    </row>
    <row r="17" spans="1:11" ht="15">
      <c r="A17" s="3" t="s">
        <v>11</v>
      </c>
      <c r="B17" s="18" t="s">
        <v>38</v>
      </c>
      <c r="C17" s="18" t="s">
        <v>38</v>
      </c>
      <c r="D17" s="18" t="s">
        <v>38</v>
      </c>
      <c r="E17" s="18" t="s">
        <v>38</v>
      </c>
      <c r="F17" s="18" t="s">
        <v>38</v>
      </c>
      <c r="G17" s="18" t="s">
        <v>38</v>
      </c>
      <c r="H17" s="18" t="s">
        <v>38</v>
      </c>
      <c r="I17" s="18" t="s">
        <v>38</v>
      </c>
      <c r="J17" s="18" t="s">
        <v>38</v>
      </c>
      <c r="K17" s="18" t="str">
        <f t="shared" si="0"/>
        <v>+</v>
      </c>
    </row>
    <row r="18" spans="1:11" ht="15">
      <c r="A18" s="3" t="s">
        <v>12</v>
      </c>
      <c r="B18" s="18" t="s">
        <v>38</v>
      </c>
      <c r="C18" s="18" t="s">
        <v>38</v>
      </c>
      <c r="D18" s="18" t="s">
        <v>38</v>
      </c>
      <c r="E18" s="18" t="s">
        <v>38</v>
      </c>
      <c r="F18" s="18" t="s">
        <v>38</v>
      </c>
      <c r="G18" s="18" t="s">
        <v>38</v>
      </c>
      <c r="H18" s="18" t="s">
        <v>38</v>
      </c>
      <c r="I18" s="18" t="s">
        <v>38</v>
      </c>
      <c r="J18" s="18" t="s">
        <v>38</v>
      </c>
      <c r="K18" s="18" t="str">
        <f t="shared" si="0"/>
        <v>+</v>
      </c>
    </row>
    <row r="19" spans="1:11" ht="15">
      <c r="A19" s="3" t="s">
        <v>13</v>
      </c>
      <c r="B19" s="18" t="s">
        <v>38</v>
      </c>
      <c r="C19" s="18" t="s">
        <v>38</v>
      </c>
      <c r="D19" s="18" t="s">
        <v>38</v>
      </c>
      <c r="E19" s="18" t="s">
        <v>38</v>
      </c>
      <c r="F19" s="18" t="s">
        <v>38</v>
      </c>
      <c r="G19" s="18" t="s">
        <v>38</v>
      </c>
      <c r="H19" s="18" t="s">
        <v>38</v>
      </c>
      <c r="I19" s="18" t="s">
        <v>38</v>
      </c>
      <c r="J19" s="18" t="s">
        <v>38</v>
      </c>
      <c r="K19" s="18" t="str">
        <f t="shared" si="0"/>
        <v>+</v>
      </c>
    </row>
    <row r="20" spans="1:11" ht="15">
      <c r="A20" s="3" t="s">
        <v>14</v>
      </c>
      <c r="B20" s="18" t="s">
        <v>38</v>
      </c>
      <c r="C20" s="18" t="s">
        <v>38</v>
      </c>
      <c r="D20" s="18" t="s">
        <v>38</v>
      </c>
      <c r="E20" s="18" t="s">
        <v>38</v>
      </c>
      <c r="F20" s="18" t="s">
        <v>38</v>
      </c>
      <c r="G20" s="18"/>
      <c r="H20" s="18" t="s">
        <v>38</v>
      </c>
      <c r="I20" s="18"/>
      <c r="J20" s="18"/>
      <c r="K20" s="18" t="str">
        <f t="shared" si="0"/>
        <v> </v>
      </c>
    </row>
    <row r="21" spans="1:11" ht="15">
      <c r="A21" s="3" t="s">
        <v>15</v>
      </c>
      <c r="B21" s="18" t="s">
        <v>38</v>
      </c>
      <c r="C21" s="18" t="s">
        <v>38</v>
      </c>
      <c r="D21" s="18" t="s">
        <v>38</v>
      </c>
      <c r="E21" s="18" t="s">
        <v>38</v>
      </c>
      <c r="F21" s="18" t="s">
        <v>38</v>
      </c>
      <c r="G21" s="18" t="s">
        <v>38</v>
      </c>
      <c r="H21" s="18" t="s">
        <v>38</v>
      </c>
      <c r="I21" s="18" t="s">
        <v>38</v>
      </c>
      <c r="J21" s="18" t="s">
        <v>38</v>
      </c>
      <c r="K21" s="18" t="str">
        <f t="shared" si="0"/>
        <v>+</v>
      </c>
    </row>
    <row r="22" spans="1:11" ht="15">
      <c r="A22" s="3" t="s">
        <v>16</v>
      </c>
      <c r="B22" s="18" t="s">
        <v>38</v>
      </c>
      <c r="C22" s="18" t="s">
        <v>38</v>
      </c>
      <c r="D22" s="18" t="s">
        <v>38</v>
      </c>
      <c r="E22" s="18" t="s">
        <v>38</v>
      </c>
      <c r="F22" s="18" t="s">
        <v>38</v>
      </c>
      <c r="G22" s="18"/>
      <c r="H22" s="18" t="s">
        <v>38</v>
      </c>
      <c r="I22" s="18"/>
      <c r="J22" s="18"/>
      <c r="K22" s="18" t="str">
        <f t="shared" si="0"/>
        <v> </v>
      </c>
    </row>
    <row r="23" spans="1:11" ht="15">
      <c r="A23" s="3" t="s">
        <v>17</v>
      </c>
      <c r="B23" s="18" t="s">
        <v>38</v>
      </c>
      <c r="C23" s="18" t="s">
        <v>38</v>
      </c>
      <c r="D23" s="18" t="s">
        <v>38</v>
      </c>
      <c r="E23" s="18" t="s">
        <v>38</v>
      </c>
      <c r="F23" s="18" t="s">
        <v>38</v>
      </c>
      <c r="G23" s="18"/>
      <c r="H23" s="18" t="s">
        <v>38</v>
      </c>
      <c r="I23" s="18"/>
      <c r="J23" s="18"/>
      <c r="K23" s="18" t="str">
        <f t="shared" si="0"/>
        <v> </v>
      </c>
    </row>
    <row r="24" spans="1:11" ht="15">
      <c r="A24" s="3" t="s">
        <v>18</v>
      </c>
      <c r="B24" s="18" t="s">
        <v>38</v>
      </c>
      <c r="C24" s="18" t="s">
        <v>38</v>
      </c>
      <c r="D24" s="18" t="s">
        <v>38</v>
      </c>
      <c r="E24" s="18" t="s">
        <v>38</v>
      </c>
      <c r="F24" s="18" t="s">
        <v>38</v>
      </c>
      <c r="G24" s="18"/>
      <c r="H24" s="18" t="s">
        <v>38</v>
      </c>
      <c r="I24" s="18"/>
      <c r="J24" s="18"/>
      <c r="K24" s="18" t="str">
        <f t="shared" si="0"/>
        <v> </v>
      </c>
    </row>
    <row r="25" spans="1:11" ht="15">
      <c r="A25" s="3" t="s">
        <v>19</v>
      </c>
      <c r="B25" s="18" t="s">
        <v>38</v>
      </c>
      <c r="C25" s="18" t="s">
        <v>38</v>
      </c>
      <c r="D25" s="18" t="s">
        <v>38</v>
      </c>
      <c r="E25" s="18" t="s">
        <v>38</v>
      </c>
      <c r="F25" s="18" t="s">
        <v>38</v>
      </c>
      <c r="G25" s="18" t="s">
        <v>38</v>
      </c>
      <c r="H25" s="18" t="s">
        <v>38</v>
      </c>
      <c r="I25" s="18" t="s">
        <v>38</v>
      </c>
      <c r="J25" s="18" t="s">
        <v>38</v>
      </c>
      <c r="K25" s="18" t="str">
        <f t="shared" si="0"/>
        <v>+</v>
      </c>
    </row>
    <row r="26" spans="1:11" ht="15">
      <c r="A26" s="3" t="s">
        <v>20</v>
      </c>
      <c r="B26" s="18" t="s">
        <v>38</v>
      </c>
      <c r="C26" s="18" t="s">
        <v>38</v>
      </c>
      <c r="D26" s="18" t="s">
        <v>38</v>
      </c>
      <c r="E26" s="18" t="s">
        <v>38</v>
      </c>
      <c r="F26" s="18" t="s">
        <v>38</v>
      </c>
      <c r="G26" s="18" t="s">
        <v>38</v>
      </c>
      <c r="H26" s="18" t="s">
        <v>38</v>
      </c>
      <c r="I26" s="18" t="s">
        <v>38</v>
      </c>
      <c r="J26" s="18" t="s">
        <v>38</v>
      </c>
      <c r="K26" s="18" t="str">
        <f t="shared" si="0"/>
        <v>+</v>
      </c>
    </row>
    <row r="27" spans="1:11" ht="15">
      <c r="A27" s="3" t="s">
        <v>21</v>
      </c>
      <c r="B27" s="18" t="s">
        <v>38</v>
      </c>
      <c r="C27" s="18" t="s">
        <v>38</v>
      </c>
      <c r="D27" s="18" t="s">
        <v>38</v>
      </c>
      <c r="E27" s="18" t="s">
        <v>38</v>
      </c>
      <c r="F27" s="18" t="s">
        <v>233</v>
      </c>
      <c r="G27" s="18"/>
      <c r="H27" s="18" t="s">
        <v>38</v>
      </c>
      <c r="I27" s="18"/>
      <c r="J27" s="18"/>
      <c r="K27" s="18" t="str">
        <f t="shared" si="0"/>
        <v> </v>
      </c>
    </row>
    <row r="28" spans="1:11" ht="15">
      <c r="A28" s="3" t="s">
        <v>22</v>
      </c>
      <c r="B28" s="18" t="s">
        <v>38</v>
      </c>
      <c r="C28" s="18" t="s">
        <v>38</v>
      </c>
      <c r="D28" s="18" t="s">
        <v>38</v>
      </c>
      <c r="E28" s="18" t="s">
        <v>38</v>
      </c>
      <c r="F28" s="18" t="s">
        <v>38</v>
      </c>
      <c r="G28" s="18"/>
      <c r="H28" s="18" t="s">
        <v>38</v>
      </c>
      <c r="I28" s="18"/>
      <c r="J28" s="18"/>
      <c r="K28" s="18" t="str">
        <f t="shared" si="0"/>
        <v> </v>
      </c>
    </row>
    <row r="29" spans="1:11" ht="15">
      <c r="A29" s="3" t="s">
        <v>23</v>
      </c>
      <c r="B29" s="18" t="s">
        <v>38</v>
      </c>
      <c r="C29" s="18" t="s">
        <v>38</v>
      </c>
      <c r="D29" s="18" t="s">
        <v>38</v>
      </c>
      <c r="E29" s="18" t="s">
        <v>38</v>
      </c>
      <c r="F29" s="18" t="s">
        <v>38</v>
      </c>
      <c r="G29" s="18"/>
      <c r="H29" s="18" t="s">
        <v>38</v>
      </c>
      <c r="I29" s="18" t="s">
        <v>38</v>
      </c>
      <c r="J29" s="18"/>
      <c r="K29" s="18" t="str">
        <f t="shared" si="0"/>
        <v> </v>
      </c>
    </row>
    <row r="30" spans="1:11" ht="15">
      <c r="A30" s="3" t="s">
        <v>24</v>
      </c>
      <c r="B30" s="18" t="s">
        <v>38</v>
      </c>
      <c r="C30" s="18" t="s">
        <v>38</v>
      </c>
      <c r="D30" s="18" t="s">
        <v>38</v>
      </c>
      <c r="E30" s="18" t="s">
        <v>38</v>
      </c>
      <c r="F30" s="18" t="s">
        <v>38</v>
      </c>
      <c r="G30" s="18"/>
      <c r="H30" s="18" t="s">
        <v>38</v>
      </c>
      <c r="I30" s="18"/>
      <c r="J30" s="18"/>
      <c r="K30" s="18" t="str">
        <f t="shared" si="0"/>
        <v> </v>
      </c>
    </row>
    <row r="31" spans="1:11" ht="15">
      <c r="A31" s="3" t="s">
        <v>25</v>
      </c>
      <c r="B31" s="18" t="s">
        <v>38</v>
      </c>
      <c r="C31" s="18" t="s">
        <v>38</v>
      </c>
      <c r="D31" s="18" t="s">
        <v>38</v>
      </c>
      <c r="E31" s="18" t="s">
        <v>38</v>
      </c>
      <c r="F31" s="18" t="s">
        <v>233</v>
      </c>
      <c r="G31" s="18"/>
      <c r="H31" s="18" t="s">
        <v>38</v>
      </c>
      <c r="I31" s="18"/>
      <c r="J31" s="18"/>
      <c r="K31" s="18" t="str">
        <f t="shared" si="0"/>
        <v> </v>
      </c>
    </row>
    <row r="32" spans="1:11" ht="15">
      <c r="A32" s="3" t="s">
        <v>26</v>
      </c>
      <c r="B32" s="18" t="s">
        <v>38</v>
      </c>
      <c r="C32" s="18" t="s">
        <v>38</v>
      </c>
      <c r="D32" s="18" t="s">
        <v>38</v>
      </c>
      <c r="E32" s="18" t="s">
        <v>38</v>
      </c>
      <c r="F32" s="18" t="s">
        <v>38</v>
      </c>
      <c r="G32" s="18" t="s">
        <v>38</v>
      </c>
      <c r="H32" s="18" t="s">
        <v>38</v>
      </c>
      <c r="I32" s="18"/>
      <c r="J32" s="18"/>
      <c r="K32" s="18" t="str">
        <f t="shared" si="0"/>
        <v> </v>
      </c>
    </row>
    <row r="33" spans="1:11" ht="15">
      <c r="A33" s="3" t="s">
        <v>27</v>
      </c>
      <c r="B33" s="18" t="s">
        <v>38</v>
      </c>
      <c r="C33" s="18" t="s">
        <v>38</v>
      </c>
      <c r="D33" s="18" t="s">
        <v>38</v>
      </c>
      <c r="E33" s="18" t="s">
        <v>38</v>
      </c>
      <c r="F33" s="18" t="s">
        <v>38</v>
      </c>
      <c r="G33" s="18"/>
      <c r="H33" s="18" t="s">
        <v>38</v>
      </c>
      <c r="I33" s="18"/>
      <c r="J33" s="18"/>
      <c r="K33" s="18" t="str">
        <f t="shared" si="0"/>
        <v> </v>
      </c>
    </row>
    <row r="34" spans="1:11" ht="15">
      <c r="A34" s="3" t="s">
        <v>28</v>
      </c>
      <c r="B34" s="18" t="s">
        <v>38</v>
      </c>
      <c r="C34" s="18" t="s">
        <v>38</v>
      </c>
      <c r="D34" s="18" t="s">
        <v>38</v>
      </c>
      <c r="E34" s="18" t="s">
        <v>38</v>
      </c>
      <c r="F34" s="18" t="s">
        <v>38</v>
      </c>
      <c r="G34" s="18" t="s">
        <v>38</v>
      </c>
      <c r="H34" s="18" t="s">
        <v>38</v>
      </c>
      <c r="I34" s="18" t="s">
        <v>38</v>
      </c>
      <c r="J34" s="18" t="s">
        <v>38</v>
      </c>
      <c r="K34" s="18" t="str">
        <f t="shared" si="0"/>
        <v>+</v>
      </c>
    </row>
    <row r="35" spans="1:11" ht="15">
      <c r="A35" s="3" t="s">
        <v>29</v>
      </c>
      <c r="B35" s="18" t="s">
        <v>38</v>
      </c>
      <c r="C35" s="18" t="s">
        <v>38</v>
      </c>
      <c r="D35" s="18" t="s">
        <v>38</v>
      </c>
      <c r="E35" s="18" t="s">
        <v>38</v>
      </c>
      <c r="F35" s="18" t="s">
        <v>38</v>
      </c>
      <c r="G35" s="18"/>
      <c r="H35" s="18" t="s">
        <v>38</v>
      </c>
      <c r="I35" s="18"/>
      <c r="J35" s="18"/>
      <c r="K35" s="18" t="str">
        <f t="shared" si="0"/>
        <v> </v>
      </c>
    </row>
    <row r="36" spans="1:11" ht="15">
      <c r="A36" s="3" t="s">
        <v>30</v>
      </c>
      <c r="B36" s="18" t="s">
        <v>38</v>
      </c>
      <c r="C36" s="18" t="s">
        <v>38</v>
      </c>
      <c r="D36" s="18" t="s">
        <v>38</v>
      </c>
      <c r="E36" s="18" t="s">
        <v>38</v>
      </c>
      <c r="F36" s="18" t="s">
        <v>38</v>
      </c>
      <c r="G36" s="18" t="s">
        <v>38</v>
      </c>
      <c r="H36" s="18" t="s">
        <v>38</v>
      </c>
      <c r="I36" s="18" t="s">
        <v>38</v>
      </c>
      <c r="J36" s="18" t="s">
        <v>38</v>
      </c>
      <c r="K36" s="18" t="str">
        <f t="shared" si="0"/>
        <v>+</v>
      </c>
    </row>
    <row r="37" spans="1:11" ht="15">
      <c r="A37" s="3" t="s">
        <v>31</v>
      </c>
      <c r="B37" s="18" t="s">
        <v>38</v>
      </c>
      <c r="C37" s="18" t="s">
        <v>38</v>
      </c>
      <c r="D37" s="18" t="s">
        <v>38</v>
      </c>
      <c r="E37" s="18" t="s">
        <v>38</v>
      </c>
      <c r="F37" s="18" t="s">
        <v>38</v>
      </c>
      <c r="G37" s="18"/>
      <c r="H37" s="18" t="s">
        <v>38</v>
      </c>
      <c r="I37" s="18"/>
      <c r="J37" s="18"/>
      <c r="K37" s="18" t="str">
        <f t="shared" si="0"/>
        <v> </v>
      </c>
    </row>
    <row r="38" spans="1:11" ht="15">
      <c r="A38" s="3" t="s">
        <v>32</v>
      </c>
      <c r="B38" s="18" t="s">
        <v>38</v>
      </c>
      <c r="C38" s="18" t="s">
        <v>38</v>
      </c>
      <c r="D38" s="18" t="s">
        <v>38</v>
      </c>
      <c r="E38" s="18" t="s">
        <v>38</v>
      </c>
      <c r="F38" s="18" t="s">
        <v>38</v>
      </c>
      <c r="G38" s="18"/>
      <c r="H38" s="18" t="s">
        <v>38</v>
      </c>
      <c r="I38" s="18"/>
      <c r="J38" s="18"/>
      <c r="K38" s="18" t="str">
        <f t="shared" si="0"/>
        <v> </v>
      </c>
    </row>
    <row r="39" spans="1:11" ht="15">
      <c r="A39" s="3" t="s">
        <v>33</v>
      </c>
      <c r="B39" s="18" t="s">
        <v>38</v>
      </c>
      <c r="C39" s="18" t="s">
        <v>38</v>
      </c>
      <c r="D39" s="18" t="s">
        <v>38</v>
      </c>
      <c r="E39" s="18" t="s">
        <v>38</v>
      </c>
      <c r="F39" s="18" t="s">
        <v>38</v>
      </c>
      <c r="G39" s="18"/>
      <c r="H39" s="18" t="s">
        <v>38</v>
      </c>
      <c r="I39" s="18"/>
      <c r="J39" s="18" t="s">
        <v>38</v>
      </c>
      <c r="K39" s="18" t="str">
        <f t="shared" si="0"/>
        <v> </v>
      </c>
    </row>
    <row r="40" spans="1:11" ht="15">
      <c r="A40" s="3" t="s">
        <v>34</v>
      </c>
      <c r="B40" s="18" t="s">
        <v>38</v>
      </c>
      <c r="C40" s="18" t="s">
        <v>38</v>
      </c>
      <c r="D40" s="18" t="s">
        <v>38</v>
      </c>
      <c r="E40" s="18" t="s">
        <v>38</v>
      </c>
      <c r="F40" s="18" t="s">
        <v>38</v>
      </c>
      <c r="G40" s="18" t="s">
        <v>38</v>
      </c>
      <c r="H40" s="18" t="s">
        <v>38</v>
      </c>
      <c r="I40" s="18" t="s">
        <v>38</v>
      </c>
      <c r="J40" s="18" t="s">
        <v>38</v>
      </c>
      <c r="K40" s="18" t="str">
        <f t="shared" si="0"/>
        <v>+</v>
      </c>
    </row>
    <row r="41" spans="1:11" ht="15">
      <c r="A41" s="3" t="s">
        <v>35</v>
      </c>
      <c r="B41" s="18" t="s">
        <v>38</v>
      </c>
      <c r="C41" s="18" t="s">
        <v>38</v>
      </c>
      <c r="D41" s="18" t="s">
        <v>38</v>
      </c>
      <c r="E41" s="18" t="s">
        <v>38</v>
      </c>
      <c r="F41" s="18" t="s">
        <v>38</v>
      </c>
      <c r="G41" s="18" t="s">
        <v>38</v>
      </c>
      <c r="H41" s="18" t="s">
        <v>38</v>
      </c>
      <c r="I41" s="18" t="s">
        <v>38</v>
      </c>
      <c r="J41" s="18" t="s">
        <v>38</v>
      </c>
      <c r="K41" s="18" t="str">
        <f t="shared" si="0"/>
        <v>+</v>
      </c>
    </row>
    <row r="42" spans="1:11" ht="15">
      <c r="A42" s="3" t="s">
        <v>36</v>
      </c>
      <c r="B42" s="18" t="s">
        <v>38</v>
      </c>
      <c r="C42" s="18" t="s">
        <v>38</v>
      </c>
      <c r="D42" s="18" t="s">
        <v>38</v>
      </c>
      <c r="E42" s="18" t="s">
        <v>38</v>
      </c>
      <c r="F42" s="18" t="s">
        <v>38</v>
      </c>
      <c r="G42" s="18"/>
      <c r="H42" s="18" t="s">
        <v>38</v>
      </c>
      <c r="I42" s="18"/>
      <c r="J42" s="18"/>
      <c r="K42" s="18" t="str">
        <f t="shared" si="0"/>
        <v> </v>
      </c>
    </row>
  </sheetData>
  <sheetProtection/>
  <mergeCells count="1">
    <mergeCell ref="A1:K1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180" verticalDpi="18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3"/>
  <sheetViews>
    <sheetView view="pageBreakPreview" zoomScaleSheetLayoutView="100" zoomScalePageLayoutView="0" workbookViewId="0" topLeftCell="A4">
      <selection activeCell="F9" sqref="F9:F22"/>
    </sheetView>
  </sheetViews>
  <sheetFormatPr defaultColWidth="8.7109375" defaultRowHeight="15"/>
  <cols>
    <col min="1" max="1" width="24.421875" style="26" customWidth="1"/>
    <col min="2" max="3" width="18.421875" style="26" customWidth="1"/>
    <col min="4" max="4" width="7.140625" style="26" customWidth="1"/>
    <col min="5" max="5" width="6.57421875" style="26" customWidth="1"/>
    <col min="6" max="6" width="11.57421875" style="26" customWidth="1"/>
    <col min="7" max="16384" width="8.7109375" style="26" customWidth="1"/>
  </cols>
  <sheetData>
    <row r="1" spans="1:6" ht="33.75" customHeight="1">
      <c r="A1" s="106" t="s">
        <v>138</v>
      </c>
      <c r="B1" s="106"/>
      <c r="C1" s="106"/>
      <c r="D1" s="106"/>
      <c r="E1" s="106"/>
      <c r="F1" s="106"/>
    </row>
    <row r="3" spans="1:2" ht="15">
      <c r="A3" s="37" t="s">
        <v>139</v>
      </c>
      <c r="B3" s="36">
        <f>MAX($D$9:$D$22)</f>
        <v>17.400000000000006</v>
      </c>
    </row>
    <row r="4" spans="1:2" ht="15">
      <c r="A4" s="35" t="s">
        <v>140</v>
      </c>
      <c r="B4" s="60">
        <f>MIN($D$9:$D$22)</f>
        <v>0</v>
      </c>
    </row>
    <row r="5" spans="1:2" ht="15">
      <c r="A5" s="33" t="s">
        <v>141</v>
      </c>
      <c r="B5" s="32" t="s">
        <v>42</v>
      </c>
    </row>
    <row r="7" spans="1:6" s="31" customFormat="1" ht="93">
      <c r="A7" s="23" t="s">
        <v>39</v>
      </c>
      <c r="B7" s="23" t="s">
        <v>252</v>
      </c>
      <c r="C7" s="23" t="s">
        <v>253</v>
      </c>
      <c r="D7" s="30" t="s">
        <v>143</v>
      </c>
      <c r="E7" s="30" t="s">
        <v>144</v>
      </c>
      <c r="F7" s="30" t="s">
        <v>145</v>
      </c>
    </row>
    <row r="8" spans="1:6" s="29" customFormat="1" ht="15">
      <c r="A8" s="30">
        <v>1</v>
      </c>
      <c r="B8" s="30">
        <v>2</v>
      </c>
      <c r="C8" s="30">
        <v>3</v>
      </c>
      <c r="D8" s="30" t="s">
        <v>142</v>
      </c>
      <c r="E8" s="30">
        <v>5</v>
      </c>
      <c r="F8" s="30">
        <v>6</v>
      </c>
    </row>
    <row r="9" spans="1:7" ht="15">
      <c r="A9" s="16" t="s">
        <v>231</v>
      </c>
      <c r="B9" s="87">
        <v>146</v>
      </c>
      <c r="C9" s="76">
        <v>153.8</v>
      </c>
      <c r="D9" s="27">
        <f>IF(($B9-$C9)&lt;0,0,$B9-$C9)</f>
        <v>0</v>
      </c>
      <c r="E9" s="27">
        <f>($D9-$B$4)/($B$3-$B$4)</f>
        <v>0</v>
      </c>
      <c r="F9" s="27">
        <f>$E9*$B$5</f>
        <v>0</v>
      </c>
      <c r="G9" s="88"/>
    </row>
    <row r="10" spans="1:7" ht="15">
      <c r="A10" s="16" t="s">
        <v>232</v>
      </c>
      <c r="B10" s="87">
        <v>243</v>
      </c>
      <c r="C10" s="76">
        <v>238.3</v>
      </c>
      <c r="D10" s="27">
        <f aca="true" t="shared" si="0" ref="D10:D22">IF(($B10-$C10)&lt;0,0,$B10-$C10)</f>
        <v>4.699999999999989</v>
      </c>
      <c r="E10" s="27">
        <f aca="true" t="shared" si="1" ref="E10:E22">($D10-$B$4)/($B$3-$B$4)</f>
        <v>0.2701149425287349</v>
      </c>
      <c r="F10" s="27">
        <f aca="true" t="shared" si="2" ref="F10:F22">$E10*$B$5</f>
        <v>-0.2701149425287349</v>
      </c>
      <c r="G10" s="88"/>
    </row>
    <row r="11" spans="1:7" ht="15">
      <c r="A11" s="16" t="s">
        <v>214</v>
      </c>
      <c r="B11" s="87">
        <v>105</v>
      </c>
      <c r="C11" s="76">
        <v>100.1</v>
      </c>
      <c r="D11" s="27">
        <f t="shared" si="0"/>
        <v>4.900000000000006</v>
      </c>
      <c r="E11" s="27">
        <f t="shared" si="1"/>
        <v>0.28160919540229906</v>
      </c>
      <c r="F11" s="27">
        <f t="shared" si="2"/>
        <v>-0.28160919540229906</v>
      </c>
      <c r="G11" s="88"/>
    </row>
    <row r="12" spans="1:7" ht="15">
      <c r="A12" s="16" t="s">
        <v>215</v>
      </c>
      <c r="B12" s="87">
        <v>97</v>
      </c>
      <c r="C12" s="76">
        <v>102.9</v>
      </c>
      <c r="D12" s="27">
        <f t="shared" si="0"/>
        <v>0</v>
      </c>
      <c r="E12" s="27">
        <f t="shared" si="1"/>
        <v>0</v>
      </c>
      <c r="F12" s="27">
        <f t="shared" si="2"/>
        <v>0</v>
      </c>
      <c r="G12" s="88"/>
    </row>
    <row r="13" spans="1:7" ht="15">
      <c r="A13" s="16" t="s">
        <v>216</v>
      </c>
      <c r="B13" s="87">
        <v>183</v>
      </c>
      <c r="C13" s="76">
        <v>165.6</v>
      </c>
      <c r="D13" s="27">
        <f t="shared" si="0"/>
        <v>17.400000000000006</v>
      </c>
      <c r="E13" s="27">
        <f t="shared" si="1"/>
        <v>1</v>
      </c>
      <c r="F13" s="27">
        <f t="shared" si="2"/>
        <v>-1</v>
      </c>
      <c r="G13" s="88"/>
    </row>
    <row r="14" spans="1:7" ht="15">
      <c r="A14" s="16" t="s">
        <v>217</v>
      </c>
      <c r="B14" s="87">
        <v>110</v>
      </c>
      <c r="C14" s="76">
        <v>108.6</v>
      </c>
      <c r="D14" s="27">
        <f t="shared" si="0"/>
        <v>1.4000000000000057</v>
      </c>
      <c r="E14" s="27">
        <f t="shared" si="1"/>
        <v>0.08045977011494283</v>
      </c>
      <c r="F14" s="27">
        <f t="shared" si="2"/>
        <v>-0.08045977011494283</v>
      </c>
      <c r="G14" s="88"/>
    </row>
    <row r="15" spans="1:7" ht="15">
      <c r="A15" s="16" t="s">
        <v>218</v>
      </c>
      <c r="B15" s="87">
        <v>102</v>
      </c>
      <c r="C15" s="76">
        <v>118.5</v>
      </c>
      <c r="D15" s="27">
        <f t="shared" si="0"/>
        <v>0</v>
      </c>
      <c r="E15" s="27">
        <f t="shared" si="1"/>
        <v>0</v>
      </c>
      <c r="F15" s="27">
        <f t="shared" si="2"/>
        <v>0</v>
      </c>
      <c r="G15" s="88"/>
    </row>
    <row r="16" spans="1:7" ht="15">
      <c r="A16" s="16" t="s">
        <v>219</v>
      </c>
      <c r="B16" s="87">
        <v>140</v>
      </c>
      <c r="C16" s="76">
        <v>129.8</v>
      </c>
      <c r="D16" s="27">
        <f t="shared" si="0"/>
        <v>10.199999999999989</v>
      </c>
      <c r="E16" s="27">
        <f t="shared" si="1"/>
        <v>0.5862068965517233</v>
      </c>
      <c r="F16" s="27">
        <f t="shared" si="2"/>
        <v>-0.5862068965517233</v>
      </c>
      <c r="G16" s="88"/>
    </row>
    <row r="17" spans="1:7" ht="15">
      <c r="A17" s="16" t="s">
        <v>244</v>
      </c>
      <c r="B17" s="87">
        <v>128</v>
      </c>
      <c r="C17" s="76">
        <v>149.1</v>
      </c>
      <c r="D17" s="27">
        <f t="shared" si="0"/>
        <v>0</v>
      </c>
      <c r="E17" s="27">
        <f t="shared" si="1"/>
        <v>0</v>
      </c>
      <c r="F17" s="27">
        <f t="shared" si="2"/>
        <v>0</v>
      </c>
      <c r="G17" s="88"/>
    </row>
    <row r="18" spans="1:7" ht="15">
      <c r="A18" s="16" t="s">
        <v>245</v>
      </c>
      <c r="B18" s="87">
        <v>174</v>
      </c>
      <c r="C18" s="76">
        <v>175.2</v>
      </c>
      <c r="D18" s="27">
        <f t="shared" si="0"/>
        <v>0</v>
      </c>
      <c r="E18" s="27">
        <f t="shared" si="1"/>
        <v>0</v>
      </c>
      <c r="F18" s="27">
        <f t="shared" si="2"/>
        <v>0</v>
      </c>
      <c r="G18" s="88"/>
    </row>
    <row r="19" spans="1:7" ht="15">
      <c r="A19" s="16" t="s">
        <v>246</v>
      </c>
      <c r="B19" s="87">
        <v>145</v>
      </c>
      <c r="C19" s="76">
        <v>138.1</v>
      </c>
      <c r="D19" s="27">
        <f t="shared" si="0"/>
        <v>6.900000000000006</v>
      </c>
      <c r="E19" s="27">
        <f t="shared" si="1"/>
        <v>0.3965517241379312</v>
      </c>
      <c r="F19" s="27">
        <f t="shared" si="2"/>
        <v>-0.3965517241379312</v>
      </c>
      <c r="G19" s="88"/>
    </row>
    <row r="20" spans="1:7" ht="15">
      <c r="A20" s="16" t="s">
        <v>247</v>
      </c>
      <c r="B20" s="96">
        <v>181</v>
      </c>
      <c r="C20" s="76">
        <v>177</v>
      </c>
      <c r="D20" s="27">
        <f t="shared" si="0"/>
        <v>4</v>
      </c>
      <c r="E20" s="27">
        <f t="shared" si="1"/>
        <v>0.22988505747126428</v>
      </c>
      <c r="F20" s="27">
        <f t="shared" si="2"/>
        <v>-0.22988505747126428</v>
      </c>
      <c r="G20" s="88"/>
    </row>
    <row r="21" spans="1:7" ht="15">
      <c r="A21" s="16" t="s">
        <v>248</v>
      </c>
      <c r="B21" s="87">
        <v>108</v>
      </c>
      <c r="C21" s="76">
        <v>110.3</v>
      </c>
      <c r="D21" s="27">
        <f t="shared" si="0"/>
        <v>0</v>
      </c>
      <c r="E21" s="27">
        <f t="shared" si="1"/>
        <v>0</v>
      </c>
      <c r="F21" s="27">
        <f t="shared" si="2"/>
        <v>0</v>
      </c>
      <c r="G21" s="88"/>
    </row>
    <row r="22" spans="1:7" ht="15">
      <c r="A22" s="16" t="s">
        <v>249</v>
      </c>
      <c r="B22" s="87">
        <v>113</v>
      </c>
      <c r="C22" s="76">
        <v>111.4</v>
      </c>
      <c r="D22" s="27">
        <f t="shared" si="0"/>
        <v>1.5999999999999943</v>
      </c>
      <c r="E22" s="27">
        <f t="shared" si="1"/>
        <v>0.09195402298850539</v>
      </c>
      <c r="F22" s="27">
        <f t="shared" si="2"/>
        <v>-0.09195402298850539</v>
      </c>
      <c r="G22" s="88"/>
    </row>
    <row r="23" ht="15">
      <c r="A23" s="5" t="s">
        <v>40</v>
      </c>
    </row>
  </sheetData>
  <sheetProtection/>
  <mergeCells count="1">
    <mergeCell ref="A1:F1"/>
  </mergeCells>
  <printOptions horizontalCentered="1" vertic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3"/>
  <sheetViews>
    <sheetView view="pageBreakPreview" zoomScaleSheetLayoutView="100" zoomScalePageLayoutView="0" workbookViewId="0" topLeftCell="A1">
      <selection activeCell="A21" sqref="A21:IV21"/>
    </sheetView>
  </sheetViews>
  <sheetFormatPr defaultColWidth="8.7109375" defaultRowHeight="15"/>
  <cols>
    <col min="1" max="1" width="24.57421875" style="26" customWidth="1"/>
    <col min="2" max="2" width="16.7109375" style="26" customWidth="1"/>
    <col min="3" max="3" width="14.28125" style="26" customWidth="1"/>
    <col min="4" max="4" width="8.8515625" style="26" customWidth="1"/>
    <col min="5" max="5" width="8.140625" style="26" customWidth="1"/>
    <col min="6" max="6" width="12.8515625" style="26" customWidth="1"/>
    <col min="7" max="16384" width="8.7109375" style="26" customWidth="1"/>
  </cols>
  <sheetData>
    <row r="1" spans="1:6" ht="33.75" customHeight="1">
      <c r="A1" s="106" t="s">
        <v>127</v>
      </c>
      <c r="B1" s="106"/>
      <c r="C1" s="106"/>
      <c r="D1" s="106"/>
      <c r="E1" s="106"/>
      <c r="F1" s="106"/>
    </row>
    <row r="3" spans="1:2" ht="15">
      <c r="A3" s="37" t="s">
        <v>70</v>
      </c>
      <c r="B3" s="46">
        <f>MAX($D$9:$D$22)</f>
        <v>628.9730016831336</v>
      </c>
    </row>
    <row r="4" spans="1:2" ht="15">
      <c r="A4" s="35" t="s">
        <v>71</v>
      </c>
      <c r="B4" s="75">
        <f>MIN($D$9:$D$22)</f>
        <v>0</v>
      </c>
    </row>
    <row r="5" spans="1:2" ht="15">
      <c r="A5" s="33" t="s">
        <v>72</v>
      </c>
      <c r="B5" s="32" t="s">
        <v>42</v>
      </c>
    </row>
    <row r="7" spans="1:6" s="31" customFormat="1" ht="79.5" customHeight="1">
      <c r="A7" s="23" t="s">
        <v>39</v>
      </c>
      <c r="B7" s="23" t="s">
        <v>254</v>
      </c>
      <c r="C7" s="23" t="s">
        <v>228</v>
      </c>
      <c r="D7" s="30" t="s">
        <v>73</v>
      </c>
      <c r="E7" s="30" t="s">
        <v>74</v>
      </c>
      <c r="F7" s="30" t="s">
        <v>75</v>
      </c>
    </row>
    <row r="8" spans="1:6" s="29" customFormat="1" ht="15">
      <c r="A8" s="30">
        <v>1</v>
      </c>
      <c r="B8" s="30">
        <v>2</v>
      </c>
      <c r="C8" s="30">
        <v>3</v>
      </c>
      <c r="D8" s="30" t="s">
        <v>49</v>
      </c>
      <c r="E8" s="30">
        <v>5</v>
      </c>
      <c r="F8" s="30">
        <v>6</v>
      </c>
    </row>
    <row r="9" spans="1:6" ht="15">
      <c r="A9" s="16" t="s">
        <v>231</v>
      </c>
      <c r="B9" s="80">
        <v>9633691.669999957</v>
      </c>
      <c r="C9" s="53">
        <v>58747</v>
      </c>
      <c r="D9" s="27">
        <f>$B9/$C9</f>
        <v>163.9861043117088</v>
      </c>
      <c r="E9" s="27">
        <f>($D9-$B$4)/($B$3-$B$4)</f>
        <v>0.26072041863940343</v>
      </c>
      <c r="F9" s="27">
        <f>$E9*$B$5</f>
        <v>-0.26072041863940343</v>
      </c>
    </row>
    <row r="10" spans="1:6" ht="15">
      <c r="A10" s="16" t="s">
        <v>232</v>
      </c>
      <c r="B10" s="80">
        <v>66143429.83000001</v>
      </c>
      <c r="C10" s="53">
        <v>105161</v>
      </c>
      <c r="D10" s="27">
        <f aca="true" t="shared" si="0" ref="D10:D22">$B10/$C10</f>
        <v>628.9730016831336</v>
      </c>
      <c r="E10" s="27">
        <f aca="true" t="shared" si="1" ref="E10:E22">($D10-$B$4)/($B$3-$B$4)</f>
        <v>1</v>
      </c>
      <c r="F10" s="27">
        <f aca="true" t="shared" si="2" ref="F10:F22">$E10*$B$5</f>
        <v>-1</v>
      </c>
    </row>
    <row r="11" spans="1:6" ht="15">
      <c r="A11" s="16" t="s">
        <v>214</v>
      </c>
      <c r="B11" s="80">
        <v>3835542.769999981</v>
      </c>
      <c r="C11" s="53">
        <v>29256</v>
      </c>
      <c r="D11" s="27">
        <f t="shared" si="0"/>
        <v>131.1027744736116</v>
      </c>
      <c r="E11" s="27">
        <f t="shared" si="1"/>
        <v>0.20843943082259522</v>
      </c>
      <c r="F11" s="27">
        <f t="shared" si="2"/>
        <v>-0.20843943082259522</v>
      </c>
    </row>
    <row r="12" spans="1:6" ht="15">
      <c r="A12" s="16" t="s">
        <v>215</v>
      </c>
      <c r="B12" s="80">
        <v>2138634.690000005</v>
      </c>
      <c r="C12" s="53">
        <v>11728</v>
      </c>
      <c r="D12" s="27">
        <f t="shared" si="0"/>
        <v>182.3528896657576</v>
      </c>
      <c r="E12" s="27">
        <f t="shared" si="1"/>
        <v>0.2899216487476899</v>
      </c>
      <c r="F12" s="27">
        <f t="shared" si="2"/>
        <v>-0.2899216487476899</v>
      </c>
    </row>
    <row r="13" spans="1:6" ht="15">
      <c r="A13" s="16" t="s">
        <v>216</v>
      </c>
      <c r="B13" s="80">
        <v>18344.059999999998</v>
      </c>
      <c r="C13" s="53">
        <v>40152</v>
      </c>
      <c r="D13" s="27">
        <f t="shared" si="0"/>
        <v>0.4568654114365411</v>
      </c>
      <c r="E13" s="27">
        <f t="shared" si="1"/>
        <v>0.0007263672847864183</v>
      </c>
      <c r="F13" s="27">
        <f t="shared" si="2"/>
        <v>-0.0007263672847864183</v>
      </c>
    </row>
    <row r="14" spans="1:6" ht="15">
      <c r="A14" s="16" t="s">
        <v>217</v>
      </c>
      <c r="B14" s="80">
        <v>2316385.66</v>
      </c>
      <c r="C14" s="53">
        <v>14292</v>
      </c>
      <c r="D14" s="27">
        <f t="shared" si="0"/>
        <v>162.07568289952422</v>
      </c>
      <c r="E14" s="27">
        <f t="shared" si="1"/>
        <v>0.2576830523183177</v>
      </c>
      <c r="F14" s="27">
        <f t="shared" si="2"/>
        <v>-0.2576830523183177</v>
      </c>
    </row>
    <row r="15" spans="1:6" ht="15">
      <c r="A15" s="16" t="s">
        <v>218</v>
      </c>
      <c r="B15" s="80">
        <v>0</v>
      </c>
      <c r="C15" s="53">
        <v>18774</v>
      </c>
      <c r="D15" s="27">
        <f t="shared" si="0"/>
        <v>0</v>
      </c>
      <c r="E15" s="27">
        <f t="shared" si="1"/>
        <v>0</v>
      </c>
      <c r="F15" s="27">
        <f t="shared" si="2"/>
        <v>0</v>
      </c>
    </row>
    <row r="16" spans="1:6" ht="15">
      <c r="A16" s="16" t="s">
        <v>219</v>
      </c>
      <c r="B16" s="80">
        <v>2035469.1200000048</v>
      </c>
      <c r="C16" s="53">
        <v>23942</v>
      </c>
      <c r="D16" s="27">
        <f t="shared" si="0"/>
        <v>85.01667028652597</v>
      </c>
      <c r="E16" s="27">
        <f t="shared" si="1"/>
        <v>0.13516743971366196</v>
      </c>
      <c r="F16" s="27">
        <f t="shared" si="2"/>
        <v>-0.13516743971366196</v>
      </c>
    </row>
    <row r="17" spans="1:6" ht="15">
      <c r="A17" s="16" t="s">
        <v>244</v>
      </c>
      <c r="B17" s="80">
        <v>1372564.3200000003</v>
      </c>
      <c r="C17" s="53">
        <v>32689</v>
      </c>
      <c r="D17" s="27">
        <f t="shared" si="0"/>
        <v>41.9885686316498</v>
      </c>
      <c r="E17" s="27">
        <f t="shared" si="1"/>
        <v>0.06675734653043655</v>
      </c>
      <c r="F17" s="27">
        <f t="shared" si="2"/>
        <v>-0.06675734653043655</v>
      </c>
    </row>
    <row r="18" spans="1:6" ht="15">
      <c r="A18" s="16" t="s">
        <v>245</v>
      </c>
      <c r="B18" s="80">
        <v>7573567.710000001</v>
      </c>
      <c r="C18" s="53">
        <v>44490</v>
      </c>
      <c r="D18" s="27">
        <f t="shared" si="0"/>
        <v>170.23078691840865</v>
      </c>
      <c r="E18" s="27">
        <f t="shared" si="1"/>
        <v>0.2706487980610783</v>
      </c>
      <c r="F18" s="27">
        <f t="shared" si="2"/>
        <v>-0.2706487980610783</v>
      </c>
    </row>
    <row r="19" spans="1:6" ht="15">
      <c r="A19" s="16" t="s">
        <v>246</v>
      </c>
      <c r="B19" s="80">
        <v>0</v>
      </c>
      <c r="C19" s="53">
        <v>27693</v>
      </c>
      <c r="D19" s="27">
        <f t="shared" si="0"/>
        <v>0</v>
      </c>
      <c r="E19" s="27">
        <f t="shared" si="1"/>
        <v>0</v>
      </c>
      <c r="F19" s="27">
        <f t="shared" si="2"/>
        <v>0</v>
      </c>
    </row>
    <row r="20" spans="1:6" ht="15">
      <c r="A20" s="16" t="s">
        <v>247</v>
      </c>
      <c r="B20" s="80">
        <v>7411202.800000001</v>
      </c>
      <c r="C20" s="53">
        <v>45339</v>
      </c>
      <c r="D20" s="27">
        <f t="shared" si="0"/>
        <v>163.4619819581376</v>
      </c>
      <c r="E20" s="27">
        <f t="shared" si="1"/>
        <v>0.2598871199887958</v>
      </c>
      <c r="F20" s="27">
        <f t="shared" si="2"/>
        <v>-0.2598871199887958</v>
      </c>
    </row>
    <row r="21" spans="1:6" ht="15">
      <c r="A21" s="16" t="s">
        <v>248</v>
      </c>
      <c r="B21" s="80">
        <v>4983053.109999999</v>
      </c>
      <c r="C21" s="53">
        <v>15085</v>
      </c>
      <c r="D21" s="27">
        <f t="shared" si="0"/>
        <v>330.3316612529002</v>
      </c>
      <c r="E21" s="27">
        <f t="shared" si="1"/>
        <v>0.5251921153514247</v>
      </c>
      <c r="F21" s="27">
        <f t="shared" si="2"/>
        <v>-0.5251921153514247</v>
      </c>
    </row>
    <row r="22" spans="1:6" ht="15">
      <c r="A22" s="16" t="s">
        <v>249</v>
      </c>
      <c r="B22" s="80">
        <v>0</v>
      </c>
      <c r="C22" s="53">
        <v>15597</v>
      </c>
      <c r="D22" s="27">
        <f t="shared" si="0"/>
        <v>0</v>
      </c>
      <c r="E22" s="27">
        <f t="shared" si="1"/>
        <v>0</v>
      </c>
      <c r="F22" s="27">
        <f t="shared" si="2"/>
        <v>0</v>
      </c>
    </row>
    <row r="23" ht="15">
      <c r="A23" s="5" t="s">
        <v>40</v>
      </c>
    </row>
  </sheetData>
  <sheetProtection/>
  <mergeCells count="1">
    <mergeCell ref="A1:F1"/>
  </mergeCells>
  <printOptions horizontalCentered="1" vertic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4"/>
  <sheetViews>
    <sheetView view="pageBreakPreview" zoomScaleSheetLayoutView="100" zoomScalePageLayoutView="0" workbookViewId="0" topLeftCell="A1">
      <selection activeCell="F10" sqref="F10:F23"/>
    </sheetView>
  </sheetViews>
  <sheetFormatPr defaultColWidth="8.7109375" defaultRowHeight="15"/>
  <cols>
    <col min="1" max="1" width="24.421875" style="26" customWidth="1"/>
    <col min="2" max="2" width="18.421875" style="26" customWidth="1"/>
    <col min="3" max="3" width="17.140625" style="26" customWidth="1"/>
    <col min="4" max="4" width="9.00390625" style="26" bestFit="1" customWidth="1"/>
    <col min="5" max="5" width="7.00390625" style="26" customWidth="1"/>
    <col min="6" max="6" width="12.00390625" style="26" customWidth="1"/>
    <col min="7" max="16384" width="8.7109375" style="26" customWidth="1"/>
  </cols>
  <sheetData>
    <row r="1" spans="1:6" ht="21" customHeight="1">
      <c r="A1" s="103" t="s">
        <v>147</v>
      </c>
      <c r="B1" s="103"/>
      <c r="C1" s="103"/>
      <c r="D1" s="103"/>
      <c r="E1" s="103"/>
      <c r="F1" s="103"/>
    </row>
    <row r="3" spans="1:2" ht="15">
      <c r="A3" s="37" t="s">
        <v>76</v>
      </c>
      <c r="B3" s="36">
        <f>MAX($D$10:$D$23)</f>
        <v>0.9964011324782606</v>
      </c>
    </row>
    <row r="4" spans="1:2" ht="15">
      <c r="A4" s="35" t="s">
        <v>77</v>
      </c>
      <c r="B4" s="34">
        <f>MIN($D$10:$D$23)</f>
        <v>0.6583430503850167</v>
      </c>
    </row>
    <row r="5" spans="1:2" ht="15">
      <c r="A5" s="33" t="s">
        <v>78</v>
      </c>
      <c r="B5" s="32" t="s">
        <v>41</v>
      </c>
    </row>
    <row r="7" spans="1:6" s="31" customFormat="1" ht="21" customHeight="1">
      <c r="A7" s="104" t="s">
        <v>39</v>
      </c>
      <c r="B7" s="113" t="s">
        <v>255</v>
      </c>
      <c r="C7" s="113"/>
      <c r="D7" s="110" t="s">
        <v>79</v>
      </c>
      <c r="E7" s="110" t="s">
        <v>80</v>
      </c>
      <c r="F7" s="110" t="s">
        <v>81</v>
      </c>
    </row>
    <row r="8" spans="1:6" s="31" customFormat="1" ht="34.5" customHeight="1">
      <c r="A8" s="104"/>
      <c r="B8" s="82" t="s">
        <v>44</v>
      </c>
      <c r="C8" s="82" t="s">
        <v>183</v>
      </c>
      <c r="D8" s="110"/>
      <c r="E8" s="110"/>
      <c r="F8" s="110"/>
    </row>
    <row r="9" spans="1:6" s="29" customFormat="1" ht="15">
      <c r="A9" s="30">
        <v>1</v>
      </c>
      <c r="B9" s="30">
        <v>2</v>
      </c>
      <c r="C9" s="30">
        <v>3</v>
      </c>
      <c r="D9" s="30" t="s">
        <v>48</v>
      </c>
      <c r="E9" s="30">
        <v>5</v>
      </c>
      <c r="F9" s="30">
        <v>6</v>
      </c>
    </row>
    <row r="10" spans="1:6" ht="15">
      <c r="A10" s="16" t="s">
        <v>231</v>
      </c>
      <c r="B10" s="21">
        <v>1876466134.61</v>
      </c>
      <c r="C10" s="21">
        <v>1548927000</v>
      </c>
      <c r="D10" s="27">
        <f>$C10/$B10</f>
        <v>0.8254489497205475</v>
      </c>
      <c r="E10" s="27">
        <f>($D10-$B$4)/($B$3-$B$4)</f>
        <v>0.4943112091887195</v>
      </c>
      <c r="F10" s="27">
        <f>$E10*$B$5</f>
        <v>0.988622418377439</v>
      </c>
    </row>
    <row r="11" spans="1:6" ht="15">
      <c r="A11" s="16" t="s">
        <v>232</v>
      </c>
      <c r="B11" s="21">
        <v>1361258964.6</v>
      </c>
      <c r="C11" s="21">
        <v>1137126000</v>
      </c>
      <c r="D11" s="27">
        <f aca="true" t="shared" si="0" ref="D11:D23">$C11/$B11</f>
        <v>0.8353487687290563</v>
      </c>
      <c r="E11" s="27">
        <f aca="true" t="shared" si="1" ref="E11:E23">($D11-$B$4)/($B$3-$B$4)</f>
        <v>0.5235955822976524</v>
      </c>
      <c r="F11" s="27">
        <f aca="true" t="shared" si="2" ref="F11:F23">$E11*$B$5</f>
        <v>1.0471911645953047</v>
      </c>
    </row>
    <row r="12" spans="1:6" ht="15">
      <c r="A12" s="16" t="s">
        <v>214</v>
      </c>
      <c r="B12" s="21">
        <v>746381210.01</v>
      </c>
      <c r="C12" s="21">
        <v>669356500</v>
      </c>
      <c r="D12" s="27">
        <f t="shared" si="0"/>
        <v>0.8968024529865</v>
      </c>
      <c r="E12" s="27">
        <f t="shared" si="1"/>
        <v>0.7053799782716359</v>
      </c>
      <c r="F12" s="27">
        <f t="shared" si="2"/>
        <v>1.4107599565432718</v>
      </c>
    </row>
    <row r="13" spans="1:6" ht="15">
      <c r="A13" s="16" t="s">
        <v>215</v>
      </c>
      <c r="B13" s="21">
        <v>140234127.65</v>
      </c>
      <c r="C13" s="21">
        <v>98467700</v>
      </c>
      <c r="D13" s="27">
        <f t="shared" si="0"/>
        <v>0.702166452988949</v>
      </c>
      <c r="E13" s="27">
        <f t="shared" si="1"/>
        <v>0.12963276112962385</v>
      </c>
      <c r="F13" s="27">
        <f t="shared" si="2"/>
        <v>0.2592655222592477</v>
      </c>
    </row>
    <row r="14" spans="1:6" ht="15">
      <c r="A14" s="16" t="s">
        <v>216</v>
      </c>
      <c r="B14" s="21">
        <v>490779375.45</v>
      </c>
      <c r="C14" s="21">
        <v>424692000</v>
      </c>
      <c r="D14" s="27">
        <f t="shared" si="0"/>
        <v>0.8653419871415666</v>
      </c>
      <c r="E14" s="27">
        <f t="shared" si="1"/>
        <v>0.6123176688302191</v>
      </c>
      <c r="F14" s="27">
        <f t="shared" si="2"/>
        <v>1.2246353376604382</v>
      </c>
    </row>
    <row r="15" spans="1:6" ht="15">
      <c r="A15" s="16" t="s">
        <v>217</v>
      </c>
      <c r="B15" s="21">
        <v>178076498.96</v>
      </c>
      <c r="C15" s="21">
        <v>175293000</v>
      </c>
      <c r="D15" s="27">
        <f t="shared" si="0"/>
        <v>0.9843690830836401</v>
      </c>
      <c r="E15" s="27">
        <f t="shared" si="1"/>
        <v>0.9644083368156193</v>
      </c>
      <c r="F15" s="27">
        <f t="shared" si="2"/>
        <v>1.9288166736312387</v>
      </c>
    </row>
    <row r="16" spans="1:6" ht="15">
      <c r="A16" s="16" t="s">
        <v>218</v>
      </c>
      <c r="B16" s="21">
        <v>399310866.91</v>
      </c>
      <c r="C16" s="21">
        <v>397873800</v>
      </c>
      <c r="D16" s="27">
        <f t="shared" si="0"/>
        <v>0.9964011324782606</v>
      </c>
      <c r="E16" s="27">
        <f t="shared" si="1"/>
        <v>1</v>
      </c>
      <c r="F16" s="27">
        <f t="shared" si="2"/>
        <v>2</v>
      </c>
    </row>
    <row r="17" spans="1:6" ht="15">
      <c r="A17" s="16" t="s">
        <v>219</v>
      </c>
      <c r="B17" s="21">
        <v>497678194.05</v>
      </c>
      <c r="C17" s="21">
        <v>424082464.45</v>
      </c>
      <c r="D17" s="27">
        <f t="shared" si="0"/>
        <v>0.852121852072534</v>
      </c>
      <c r="E17" s="27">
        <f t="shared" si="1"/>
        <v>0.5732115631954299</v>
      </c>
      <c r="F17" s="27">
        <f t="shared" si="2"/>
        <v>1.1464231263908597</v>
      </c>
    </row>
    <row r="18" spans="1:6" ht="15">
      <c r="A18" s="16" t="s">
        <v>244</v>
      </c>
      <c r="B18" s="21">
        <v>469608055.89</v>
      </c>
      <c r="C18" s="21">
        <v>309163200</v>
      </c>
      <c r="D18" s="27">
        <f t="shared" si="0"/>
        <v>0.6583430503850167</v>
      </c>
      <c r="E18" s="27">
        <f t="shared" si="1"/>
        <v>0</v>
      </c>
      <c r="F18" s="27">
        <f t="shared" si="2"/>
        <v>0</v>
      </c>
    </row>
    <row r="19" spans="1:6" ht="15">
      <c r="A19" s="16" t="s">
        <v>245</v>
      </c>
      <c r="B19" s="21">
        <v>517354523</v>
      </c>
      <c r="C19" s="21">
        <v>513819800</v>
      </c>
      <c r="D19" s="27">
        <f t="shared" si="0"/>
        <v>0.9931676967285352</v>
      </c>
      <c r="E19" s="27">
        <f t="shared" si="1"/>
        <v>0.9904352656510856</v>
      </c>
      <c r="F19" s="27">
        <f t="shared" si="2"/>
        <v>1.9808705313021713</v>
      </c>
    </row>
    <row r="20" spans="1:6" ht="15">
      <c r="A20" s="16" t="s">
        <v>246</v>
      </c>
      <c r="B20" s="21">
        <v>389206560.92</v>
      </c>
      <c r="C20" s="21">
        <v>351567800</v>
      </c>
      <c r="D20" s="27">
        <f t="shared" si="0"/>
        <v>0.9032936114154136</v>
      </c>
      <c r="E20" s="27">
        <f t="shared" si="1"/>
        <v>0.7245812894449132</v>
      </c>
      <c r="F20" s="27">
        <f t="shared" si="2"/>
        <v>1.4491625788898264</v>
      </c>
    </row>
    <row r="21" spans="1:6" ht="15">
      <c r="A21" s="16" t="s">
        <v>247</v>
      </c>
      <c r="B21" s="21">
        <v>886744609.95</v>
      </c>
      <c r="C21" s="21">
        <v>880585000</v>
      </c>
      <c r="D21" s="27">
        <f t="shared" si="0"/>
        <v>0.9930536821076957</v>
      </c>
      <c r="E21" s="27">
        <f t="shared" si="1"/>
        <v>0.9900980022431721</v>
      </c>
      <c r="F21" s="27">
        <f t="shared" si="2"/>
        <v>1.9801960044863443</v>
      </c>
    </row>
    <row r="22" spans="1:6" ht="15">
      <c r="A22" s="16" t="s">
        <v>248</v>
      </c>
      <c r="B22" s="21">
        <v>294767989.11</v>
      </c>
      <c r="C22" s="21">
        <v>285125000</v>
      </c>
      <c r="D22" s="27">
        <f t="shared" si="0"/>
        <v>0.9672861726298188</v>
      </c>
      <c r="E22" s="27">
        <f t="shared" si="1"/>
        <v>0.91387586515263</v>
      </c>
      <c r="F22" s="27">
        <f t="shared" si="2"/>
        <v>1.82775173030526</v>
      </c>
    </row>
    <row r="23" spans="1:6" ht="15">
      <c r="A23" s="16" t="s">
        <v>249</v>
      </c>
      <c r="B23" s="21">
        <v>205120679.1</v>
      </c>
      <c r="C23" s="21">
        <v>185097454.21</v>
      </c>
      <c r="D23" s="27">
        <f t="shared" si="0"/>
        <v>0.9023831971605442</v>
      </c>
      <c r="E23" s="27">
        <f t="shared" si="1"/>
        <v>0.7218882189251011</v>
      </c>
      <c r="F23" s="27">
        <f t="shared" si="2"/>
        <v>1.4437764378502023</v>
      </c>
    </row>
    <row r="24" ht="15">
      <c r="A24" s="5"/>
    </row>
  </sheetData>
  <sheetProtection/>
  <mergeCells count="6">
    <mergeCell ref="A1:F1"/>
    <mergeCell ref="A7:A8"/>
    <mergeCell ref="B7:C7"/>
    <mergeCell ref="D7:D8"/>
    <mergeCell ref="E7:E8"/>
    <mergeCell ref="F7:F8"/>
  </mergeCells>
  <printOptions horizontalCentered="1" vertic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4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25.140625" style="1" customWidth="1"/>
    <col min="2" max="2" width="17.421875" style="1" customWidth="1"/>
    <col min="3" max="3" width="20.28125" style="1" customWidth="1"/>
    <col min="4" max="4" width="7.140625" style="22" customWidth="1"/>
    <col min="5" max="5" width="5.7109375" style="22" customWidth="1"/>
    <col min="6" max="6" width="11.7109375" style="22" customWidth="1"/>
    <col min="7" max="16384" width="9.140625" style="1" customWidth="1"/>
  </cols>
  <sheetData>
    <row r="1" spans="1:6" ht="30.75" customHeight="1">
      <c r="A1" s="102" t="s">
        <v>128</v>
      </c>
      <c r="B1" s="102"/>
      <c r="C1" s="102"/>
      <c r="D1" s="114"/>
      <c r="E1" s="114"/>
      <c r="F1" s="114"/>
    </row>
    <row r="3" spans="1:6" ht="15">
      <c r="A3" s="10" t="s">
        <v>82</v>
      </c>
      <c r="B3" s="19">
        <f>MAX($D$10:$D$23)</f>
        <v>0.8709677419354839</v>
      </c>
      <c r="C3" s="22"/>
      <c r="D3" s="1"/>
      <c r="E3" s="1"/>
      <c r="F3" s="1"/>
    </row>
    <row r="4" spans="1:6" ht="15">
      <c r="A4" s="11" t="s">
        <v>83</v>
      </c>
      <c r="B4" s="79">
        <f>MIN($D$10:$D$23)</f>
        <v>0</v>
      </c>
      <c r="C4" s="22"/>
      <c r="D4" s="1"/>
      <c r="E4" s="1"/>
      <c r="F4" s="1"/>
    </row>
    <row r="5" spans="1:6" ht="15">
      <c r="A5" s="12" t="s">
        <v>84</v>
      </c>
      <c r="B5" s="13" t="s">
        <v>46</v>
      </c>
      <c r="C5" s="22"/>
      <c r="D5" s="1"/>
      <c r="E5" s="1"/>
      <c r="F5" s="1"/>
    </row>
    <row r="7" spans="1:6" s="8" customFormat="1" ht="33" customHeight="1">
      <c r="A7" s="113" t="s">
        <v>39</v>
      </c>
      <c r="B7" s="113" t="s">
        <v>129</v>
      </c>
      <c r="C7" s="113"/>
      <c r="D7" s="115" t="s">
        <v>112</v>
      </c>
      <c r="E7" s="115" t="s">
        <v>113</v>
      </c>
      <c r="F7" s="115" t="s">
        <v>114</v>
      </c>
    </row>
    <row r="8" spans="1:6" s="8" customFormat="1" ht="62.25">
      <c r="A8" s="113"/>
      <c r="B8" s="82" t="s">
        <v>44</v>
      </c>
      <c r="C8" s="82" t="s">
        <v>55</v>
      </c>
      <c r="D8" s="115"/>
      <c r="E8" s="115"/>
      <c r="F8" s="115"/>
    </row>
    <row r="9" spans="1:6" s="7" customFormat="1" ht="15">
      <c r="A9" s="9">
        <v>1</v>
      </c>
      <c r="B9" s="9">
        <v>2</v>
      </c>
      <c r="C9" s="9">
        <v>3</v>
      </c>
      <c r="D9" s="9" t="s">
        <v>48</v>
      </c>
      <c r="E9" s="9">
        <v>5</v>
      </c>
      <c r="F9" s="9">
        <v>6</v>
      </c>
    </row>
    <row r="10" spans="1:6" s="7" customFormat="1" ht="15">
      <c r="A10" s="16" t="s">
        <v>231</v>
      </c>
      <c r="B10" s="24">
        <v>28</v>
      </c>
      <c r="C10" s="24">
        <v>0</v>
      </c>
      <c r="D10" s="6">
        <f>IF($B10&gt;0,$C10/$B10,0)</f>
        <v>0</v>
      </c>
      <c r="E10" s="6">
        <f>($D10-$B$4)/($B$3-$B$4)</f>
        <v>0</v>
      </c>
      <c r="F10" s="6">
        <f>$E10*$B$5</f>
        <v>0</v>
      </c>
    </row>
    <row r="11" spans="1:6" s="7" customFormat="1" ht="15">
      <c r="A11" s="16" t="s">
        <v>232</v>
      </c>
      <c r="B11" s="24">
        <v>30</v>
      </c>
      <c r="C11" s="24">
        <v>25</v>
      </c>
      <c r="D11" s="6">
        <f aca="true" t="shared" si="0" ref="D11:D23">IF($B11&gt;0,$C11/$B11,0)</f>
        <v>0.8333333333333334</v>
      </c>
      <c r="E11" s="6">
        <f aca="true" t="shared" si="1" ref="E11:E23">($D11-$B$4)/($B$3-$B$4)</f>
        <v>0.9567901234567902</v>
      </c>
      <c r="F11" s="6">
        <f aca="true" t="shared" si="2" ref="F11:F23">$E11*$B$5</f>
        <v>0.9567901234567902</v>
      </c>
    </row>
    <row r="12" spans="1:6" s="7" customFormat="1" ht="15">
      <c r="A12" s="16" t="s">
        <v>214</v>
      </c>
      <c r="B12" s="24">
        <v>17</v>
      </c>
      <c r="C12" s="24">
        <v>1</v>
      </c>
      <c r="D12" s="6">
        <f t="shared" si="0"/>
        <v>0.058823529411764705</v>
      </c>
      <c r="E12" s="6">
        <f t="shared" si="1"/>
        <v>0.06753812636165578</v>
      </c>
      <c r="F12" s="6">
        <f t="shared" si="2"/>
        <v>0.06753812636165578</v>
      </c>
    </row>
    <row r="13" spans="1:6" s="7" customFormat="1" ht="15">
      <c r="A13" s="16" t="s">
        <v>215</v>
      </c>
      <c r="B13" s="24">
        <v>22</v>
      </c>
      <c r="C13" s="24">
        <v>8</v>
      </c>
      <c r="D13" s="6">
        <f t="shared" si="0"/>
        <v>0.36363636363636365</v>
      </c>
      <c r="E13" s="6">
        <f t="shared" si="1"/>
        <v>0.4175084175084175</v>
      </c>
      <c r="F13" s="6">
        <f t="shared" si="2"/>
        <v>0.4175084175084175</v>
      </c>
    </row>
    <row r="14" spans="1:6" s="7" customFormat="1" ht="15">
      <c r="A14" s="16" t="s">
        <v>216</v>
      </c>
      <c r="B14" s="24">
        <v>34</v>
      </c>
      <c r="C14" s="24">
        <v>25</v>
      </c>
      <c r="D14" s="6">
        <f t="shared" si="0"/>
        <v>0.7352941176470589</v>
      </c>
      <c r="E14" s="6">
        <f t="shared" si="1"/>
        <v>0.8442265795206972</v>
      </c>
      <c r="F14" s="6">
        <f t="shared" si="2"/>
        <v>0.8442265795206972</v>
      </c>
    </row>
    <row r="15" spans="1:6" s="7" customFormat="1" ht="15">
      <c r="A15" s="16" t="s">
        <v>217</v>
      </c>
      <c r="B15" s="24">
        <v>19</v>
      </c>
      <c r="C15" s="24">
        <v>6</v>
      </c>
      <c r="D15" s="6">
        <f t="shared" si="0"/>
        <v>0.3157894736842105</v>
      </c>
      <c r="E15" s="6">
        <f t="shared" si="1"/>
        <v>0.36257309941520466</v>
      </c>
      <c r="F15" s="6">
        <f t="shared" si="2"/>
        <v>0.36257309941520466</v>
      </c>
    </row>
    <row r="16" spans="1:6" s="7" customFormat="1" ht="15">
      <c r="A16" s="16" t="s">
        <v>218</v>
      </c>
      <c r="B16" s="24">
        <v>31</v>
      </c>
      <c r="C16" s="24">
        <v>27</v>
      </c>
      <c r="D16" s="6">
        <f t="shared" si="0"/>
        <v>0.8709677419354839</v>
      </c>
      <c r="E16" s="6">
        <f t="shared" si="1"/>
        <v>1</v>
      </c>
      <c r="F16" s="6">
        <f t="shared" si="2"/>
        <v>1</v>
      </c>
    </row>
    <row r="17" spans="1:6" s="7" customFormat="1" ht="15">
      <c r="A17" s="16" t="s">
        <v>219</v>
      </c>
      <c r="B17" s="24">
        <v>30</v>
      </c>
      <c r="C17" s="24">
        <v>4</v>
      </c>
      <c r="D17" s="6">
        <f t="shared" si="0"/>
        <v>0.13333333333333333</v>
      </c>
      <c r="E17" s="6">
        <f t="shared" si="1"/>
        <v>0.15308641975308643</v>
      </c>
      <c r="F17" s="6">
        <f t="shared" si="2"/>
        <v>0.15308641975308643</v>
      </c>
    </row>
    <row r="18" spans="1:6" s="7" customFormat="1" ht="15">
      <c r="A18" s="16" t="s">
        <v>244</v>
      </c>
      <c r="B18" s="24">
        <v>45</v>
      </c>
      <c r="C18" s="24">
        <v>0</v>
      </c>
      <c r="D18" s="6">
        <f t="shared" si="0"/>
        <v>0</v>
      </c>
      <c r="E18" s="6">
        <f t="shared" si="1"/>
        <v>0</v>
      </c>
      <c r="F18" s="6">
        <f t="shared" si="2"/>
        <v>0</v>
      </c>
    </row>
    <row r="19" spans="1:6" s="7" customFormat="1" ht="15">
      <c r="A19" s="16" t="s">
        <v>245</v>
      </c>
      <c r="B19" s="24">
        <v>48</v>
      </c>
      <c r="C19" s="24">
        <v>40</v>
      </c>
      <c r="D19" s="6">
        <f t="shared" si="0"/>
        <v>0.8333333333333334</v>
      </c>
      <c r="E19" s="6">
        <f t="shared" si="1"/>
        <v>0.9567901234567902</v>
      </c>
      <c r="F19" s="6">
        <f t="shared" si="2"/>
        <v>0.9567901234567902</v>
      </c>
    </row>
    <row r="20" spans="1:6" s="7" customFormat="1" ht="15">
      <c r="A20" s="16" t="s">
        <v>246</v>
      </c>
      <c r="B20" s="24">
        <v>32</v>
      </c>
      <c r="C20" s="24">
        <v>19</v>
      </c>
      <c r="D20" s="6">
        <f t="shared" si="0"/>
        <v>0.59375</v>
      </c>
      <c r="E20" s="6">
        <f t="shared" si="1"/>
        <v>0.6817129629629629</v>
      </c>
      <c r="F20" s="6">
        <f t="shared" si="2"/>
        <v>0.6817129629629629</v>
      </c>
    </row>
    <row r="21" spans="1:6" s="7" customFormat="1" ht="15">
      <c r="A21" s="16" t="s">
        <v>247</v>
      </c>
      <c r="B21" s="24">
        <v>57</v>
      </c>
      <c r="C21" s="24">
        <v>48</v>
      </c>
      <c r="D21" s="6">
        <f t="shared" si="0"/>
        <v>0.8421052631578947</v>
      </c>
      <c r="E21" s="6">
        <f t="shared" si="1"/>
        <v>0.9668615984405458</v>
      </c>
      <c r="F21" s="6">
        <f t="shared" si="2"/>
        <v>0.9668615984405458</v>
      </c>
    </row>
    <row r="22" spans="1:6" s="7" customFormat="1" ht="15">
      <c r="A22" s="16" t="s">
        <v>248</v>
      </c>
      <c r="B22" s="24">
        <v>32</v>
      </c>
      <c r="C22" s="24">
        <v>15</v>
      </c>
      <c r="D22" s="6">
        <f t="shared" si="0"/>
        <v>0.46875</v>
      </c>
      <c r="E22" s="6">
        <f t="shared" si="1"/>
        <v>0.5381944444444444</v>
      </c>
      <c r="F22" s="6">
        <f t="shared" si="2"/>
        <v>0.5381944444444444</v>
      </c>
    </row>
    <row r="23" spans="1:6" s="7" customFormat="1" ht="15">
      <c r="A23" s="16" t="s">
        <v>249</v>
      </c>
      <c r="B23" s="24">
        <v>20</v>
      </c>
      <c r="C23" s="24">
        <v>0</v>
      </c>
      <c r="D23" s="6">
        <f t="shared" si="0"/>
        <v>0</v>
      </c>
      <c r="E23" s="6">
        <f t="shared" si="1"/>
        <v>0</v>
      </c>
      <c r="F23" s="6">
        <f t="shared" si="2"/>
        <v>0</v>
      </c>
    </row>
    <row r="24" spans="1:3" ht="15">
      <c r="A24" s="5"/>
      <c r="B24" s="5"/>
      <c r="C24" s="5"/>
    </row>
  </sheetData>
  <sheetProtection/>
  <mergeCells count="6">
    <mergeCell ref="A1:F1"/>
    <mergeCell ref="A7:A8"/>
    <mergeCell ref="B7:C7"/>
    <mergeCell ref="D7:D8"/>
    <mergeCell ref="E7:E8"/>
    <mergeCell ref="F7:F8"/>
  </mergeCells>
  <printOptions horizontalCentered="1" verticalCentered="1"/>
  <pageMargins left="0.15748031496062992" right="0.15748031496062992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5"/>
  <sheetViews>
    <sheetView view="pageBreakPreview" zoomScaleSheetLayoutView="100" zoomScalePageLayoutView="0" workbookViewId="0" topLeftCell="A4">
      <selection activeCell="L10" sqref="L10"/>
    </sheetView>
  </sheetViews>
  <sheetFormatPr defaultColWidth="8.7109375" defaultRowHeight="15"/>
  <cols>
    <col min="1" max="1" width="24.57421875" style="26" customWidth="1"/>
    <col min="2" max="2" width="15.8515625" style="26" customWidth="1"/>
    <col min="3" max="3" width="16.7109375" style="26" customWidth="1"/>
    <col min="4" max="4" width="22.00390625" style="26" bestFit="1" customWidth="1"/>
    <col min="5" max="5" width="17.7109375" style="26" customWidth="1"/>
    <col min="6" max="6" width="14.57421875" style="26" customWidth="1"/>
    <col min="7" max="7" width="17.8515625" style="26" customWidth="1"/>
    <col min="8" max="8" width="16.7109375" style="26" customWidth="1"/>
    <col min="9" max="9" width="18.00390625" style="26" customWidth="1"/>
    <col min="10" max="10" width="11.57421875" style="26" customWidth="1"/>
    <col min="11" max="11" width="6.00390625" style="26" customWidth="1"/>
    <col min="12" max="12" width="10.7109375" style="26" customWidth="1"/>
    <col min="13" max="16384" width="8.7109375" style="26" customWidth="1"/>
  </cols>
  <sheetData>
    <row r="1" spans="1:12" ht="18.75" customHeight="1">
      <c r="A1" s="106" t="s">
        <v>130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3" spans="1:8" ht="15">
      <c r="A3" s="37" t="s">
        <v>85</v>
      </c>
      <c r="B3" s="36">
        <f>MAX($J$10:$J$23)</f>
        <v>6.3786857982308005</v>
      </c>
      <c r="C3" s="43"/>
      <c r="D3" s="43"/>
      <c r="E3" s="43"/>
      <c r="F3" s="43"/>
      <c r="G3" s="43"/>
      <c r="H3" s="43"/>
    </row>
    <row r="4" spans="1:8" ht="15">
      <c r="A4" s="35" t="s">
        <v>86</v>
      </c>
      <c r="B4" s="60">
        <f>MIN($J$10:$J$23)</f>
        <v>0</v>
      </c>
      <c r="C4" s="49"/>
      <c r="D4" s="49"/>
      <c r="E4" s="49"/>
      <c r="F4" s="49"/>
      <c r="G4" s="49"/>
      <c r="H4" s="49"/>
    </row>
    <row r="5" spans="1:8" ht="15">
      <c r="A5" s="33" t="s">
        <v>87</v>
      </c>
      <c r="B5" s="32" t="s">
        <v>42</v>
      </c>
      <c r="C5" s="39"/>
      <c r="D5" s="39"/>
      <c r="E5" s="39"/>
      <c r="F5" s="39"/>
      <c r="G5" s="39"/>
      <c r="H5" s="39"/>
    </row>
    <row r="7" spans="1:12" s="31" customFormat="1" ht="20.25" customHeight="1">
      <c r="A7" s="104" t="s">
        <v>39</v>
      </c>
      <c r="B7" s="104" t="s">
        <v>136</v>
      </c>
      <c r="C7" s="104"/>
      <c r="D7" s="104"/>
      <c r="E7" s="104"/>
      <c r="F7" s="104"/>
      <c r="G7" s="104" t="s">
        <v>135</v>
      </c>
      <c r="H7" s="104"/>
      <c r="I7" s="104"/>
      <c r="J7" s="110" t="s">
        <v>88</v>
      </c>
      <c r="K7" s="110" t="s">
        <v>89</v>
      </c>
      <c r="L7" s="110" t="s">
        <v>90</v>
      </c>
    </row>
    <row r="8" spans="1:12" s="31" customFormat="1" ht="110.25" customHeight="1">
      <c r="A8" s="104"/>
      <c r="B8" s="23" t="s">
        <v>91</v>
      </c>
      <c r="C8" s="23" t="s">
        <v>97</v>
      </c>
      <c r="D8" s="23" t="s">
        <v>98</v>
      </c>
      <c r="E8" s="23" t="s">
        <v>264</v>
      </c>
      <c r="F8" s="23" t="s">
        <v>115</v>
      </c>
      <c r="G8" s="23" t="s">
        <v>92</v>
      </c>
      <c r="H8" s="23" t="s">
        <v>99</v>
      </c>
      <c r="I8" s="23" t="s">
        <v>93</v>
      </c>
      <c r="J8" s="110"/>
      <c r="K8" s="110"/>
      <c r="L8" s="110"/>
    </row>
    <row r="9" spans="1:12" s="29" customFormat="1" ht="1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 t="s">
        <v>265</v>
      </c>
      <c r="G9" s="30">
        <v>7</v>
      </c>
      <c r="H9" s="30">
        <v>8</v>
      </c>
      <c r="I9" s="30" t="s">
        <v>266</v>
      </c>
      <c r="J9" s="30" t="s">
        <v>267</v>
      </c>
      <c r="K9" s="30">
        <v>11</v>
      </c>
      <c r="L9" s="30">
        <v>12</v>
      </c>
    </row>
    <row r="10" spans="1:12" ht="15">
      <c r="A10" s="16" t="s">
        <v>231</v>
      </c>
      <c r="B10" s="80">
        <v>374878174.74</v>
      </c>
      <c r="C10" s="80">
        <v>387878174.74</v>
      </c>
      <c r="D10" s="80">
        <v>0</v>
      </c>
      <c r="E10" s="80"/>
      <c r="F10" s="80">
        <f>IF(($B10-$C10-$D10-E10)&gt;0,$B10-$C10-$D10,0)</f>
        <v>0</v>
      </c>
      <c r="G10" s="86">
        <v>986380789.86</v>
      </c>
      <c r="H10" s="86">
        <v>595947341.07</v>
      </c>
      <c r="I10" s="27">
        <f>$G10-$H10</f>
        <v>390433448.78999996</v>
      </c>
      <c r="J10" s="27">
        <f>$F10/$I10*100</f>
        <v>0</v>
      </c>
      <c r="K10" s="27">
        <f>($J10-$B$4)/($B$3-$B$4)</f>
        <v>0</v>
      </c>
      <c r="L10" s="27">
        <f>$K10*$B$5</f>
        <v>0</v>
      </c>
    </row>
    <row r="11" spans="1:12" ht="15">
      <c r="A11" s="16" t="s">
        <v>232</v>
      </c>
      <c r="B11" s="80">
        <v>345339656.56</v>
      </c>
      <c r="C11" s="80">
        <v>271046656.56</v>
      </c>
      <c r="D11" s="80">
        <v>0</v>
      </c>
      <c r="E11" s="80"/>
      <c r="F11" s="80">
        <f aca="true" t="shared" si="0" ref="F11:F23">IF(($B11-$C11-$D11-E11)&gt;0,$B11-$C11-$D11,0)</f>
        <v>74293000</v>
      </c>
      <c r="G11" s="86">
        <v>1531126478.05</v>
      </c>
      <c r="H11" s="86">
        <v>366419478.05</v>
      </c>
      <c r="I11" s="27">
        <f aca="true" t="shared" si="1" ref="I11:I23">$G11-$H11</f>
        <v>1164707000</v>
      </c>
      <c r="J11" s="27">
        <f aca="true" t="shared" si="2" ref="J11:J23">$F11/$I11*100</f>
        <v>6.3786857982308005</v>
      </c>
      <c r="K11" s="27">
        <f aca="true" t="shared" si="3" ref="K11:K23">($J11-$B$4)/($B$3-$B$4)</f>
        <v>1</v>
      </c>
      <c r="L11" s="27">
        <f aca="true" t="shared" si="4" ref="L11:L23">$K11*$B$5</f>
        <v>-1</v>
      </c>
    </row>
    <row r="12" spans="1:12" ht="15">
      <c r="A12" s="16" t="s">
        <v>214</v>
      </c>
      <c r="B12" s="80">
        <v>47670395.75</v>
      </c>
      <c r="C12" s="80">
        <v>47670395.75</v>
      </c>
      <c r="D12" s="80">
        <v>0</v>
      </c>
      <c r="E12" s="80"/>
      <c r="F12" s="80">
        <f t="shared" si="0"/>
        <v>0</v>
      </c>
      <c r="G12" s="86">
        <v>698710814.26</v>
      </c>
      <c r="H12" s="86">
        <v>511608814.26</v>
      </c>
      <c r="I12" s="27">
        <f t="shared" si="1"/>
        <v>187102000</v>
      </c>
      <c r="J12" s="27">
        <f t="shared" si="2"/>
        <v>0</v>
      </c>
      <c r="K12" s="27">
        <f t="shared" si="3"/>
        <v>0</v>
      </c>
      <c r="L12" s="27">
        <f t="shared" si="4"/>
        <v>0</v>
      </c>
    </row>
    <row r="13" spans="1:12" ht="15">
      <c r="A13" s="16" t="s">
        <v>215</v>
      </c>
      <c r="B13" s="80">
        <v>9698319.5</v>
      </c>
      <c r="C13" s="80">
        <v>9698319.5</v>
      </c>
      <c r="D13" s="80">
        <v>0</v>
      </c>
      <c r="E13" s="80"/>
      <c r="F13" s="80">
        <f t="shared" si="0"/>
        <v>0</v>
      </c>
      <c r="G13" s="86">
        <v>130535808.15</v>
      </c>
      <c r="H13" s="86">
        <v>96487108.15</v>
      </c>
      <c r="I13" s="27">
        <f t="shared" si="1"/>
        <v>34048700</v>
      </c>
      <c r="J13" s="27">
        <f t="shared" si="2"/>
        <v>0</v>
      </c>
      <c r="K13" s="27">
        <f t="shared" si="3"/>
        <v>0</v>
      </c>
      <c r="L13" s="27">
        <f t="shared" si="4"/>
        <v>0</v>
      </c>
    </row>
    <row r="14" spans="1:12" ht="15">
      <c r="A14" s="16" t="s">
        <v>216</v>
      </c>
      <c r="B14" s="80">
        <v>34956544.43</v>
      </c>
      <c r="C14" s="80">
        <v>34956544.43</v>
      </c>
      <c r="D14" s="80">
        <v>0</v>
      </c>
      <c r="E14" s="80"/>
      <c r="F14" s="80">
        <f t="shared" si="0"/>
        <v>0</v>
      </c>
      <c r="G14" s="86">
        <v>455822831.02</v>
      </c>
      <c r="H14" s="86">
        <v>300128831.02</v>
      </c>
      <c r="I14" s="27">
        <f t="shared" si="1"/>
        <v>155694000</v>
      </c>
      <c r="J14" s="27">
        <f t="shared" si="2"/>
        <v>0</v>
      </c>
      <c r="K14" s="27">
        <f t="shared" si="3"/>
        <v>0</v>
      </c>
      <c r="L14" s="27">
        <f t="shared" si="4"/>
        <v>0</v>
      </c>
    </row>
    <row r="15" spans="1:12" ht="15">
      <c r="A15" s="16" t="s">
        <v>217</v>
      </c>
      <c r="B15" s="80">
        <v>-7301248.81</v>
      </c>
      <c r="C15" s="80"/>
      <c r="D15" s="80">
        <v>0</v>
      </c>
      <c r="E15" s="80"/>
      <c r="F15" s="80">
        <f t="shared" si="0"/>
        <v>0</v>
      </c>
      <c r="G15" s="86">
        <v>185377747.77</v>
      </c>
      <c r="H15" s="86">
        <v>126581686.77</v>
      </c>
      <c r="I15" s="27">
        <f t="shared" si="1"/>
        <v>58796061.000000015</v>
      </c>
      <c r="J15" s="27">
        <f t="shared" si="2"/>
        <v>0</v>
      </c>
      <c r="K15" s="27">
        <f t="shared" si="3"/>
        <v>0</v>
      </c>
      <c r="L15" s="27">
        <f t="shared" si="4"/>
        <v>0</v>
      </c>
    </row>
    <row r="16" spans="1:12" ht="15">
      <c r="A16" s="16" t="s">
        <v>218</v>
      </c>
      <c r="B16" s="80">
        <v>19208026.02</v>
      </c>
      <c r="C16" s="80">
        <v>14287026.02</v>
      </c>
      <c r="D16" s="80">
        <v>0</v>
      </c>
      <c r="E16" s="80"/>
      <c r="F16" s="80">
        <f t="shared" si="0"/>
        <v>4921000</v>
      </c>
      <c r="G16" s="86">
        <v>380102840.89</v>
      </c>
      <c r="H16" s="86">
        <v>280102940.89</v>
      </c>
      <c r="I16" s="27">
        <f t="shared" si="1"/>
        <v>99999900</v>
      </c>
      <c r="J16" s="27">
        <f t="shared" si="2"/>
        <v>4.921004921004921</v>
      </c>
      <c r="K16" s="27">
        <f t="shared" si="3"/>
        <v>0.7714763003955794</v>
      </c>
      <c r="L16" s="27">
        <f t="shared" si="4"/>
        <v>-0.7714763003955794</v>
      </c>
    </row>
    <row r="17" spans="1:12" ht="15">
      <c r="A17" s="16" t="s">
        <v>219</v>
      </c>
      <c r="B17" s="80">
        <v>18484472.77</v>
      </c>
      <c r="C17" s="80">
        <v>18484472.77</v>
      </c>
      <c r="D17" s="80">
        <v>0</v>
      </c>
      <c r="E17" s="80"/>
      <c r="F17" s="80">
        <f t="shared" si="0"/>
        <v>0</v>
      </c>
      <c r="G17" s="86">
        <v>479193721.28</v>
      </c>
      <c r="H17" s="86">
        <v>422506721.28</v>
      </c>
      <c r="I17" s="27">
        <f t="shared" si="1"/>
        <v>56687000</v>
      </c>
      <c r="J17" s="27">
        <f t="shared" si="2"/>
        <v>0</v>
      </c>
      <c r="K17" s="27">
        <f t="shared" si="3"/>
        <v>0</v>
      </c>
      <c r="L17" s="27">
        <f t="shared" si="4"/>
        <v>0</v>
      </c>
    </row>
    <row r="18" spans="1:12" ht="15">
      <c r="A18" s="16" t="s">
        <v>244</v>
      </c>
      <c r="B18" s="80">
        <v>52784451.63</v>
      </c>
      <c r="C18" s="80">
        <v>52384451.63</v>
      </c>
      <c r="D18" s="80">
        <v>0</v>
      </c>
      <c r="E18" s="80"/>
      <c r="F18" s="80">
        <f t="shared" si="0"/>
        <v>400000</v>
      </c>
      <c r="G18" s="86">
        <v>416823604.26</v>
      </c>
      <c r="H18" s="86">
        <v>228880890.26</v>
      </c>
      <c r="I18" s="27">
        <f t="shared" si="1"/>
        <v>187942714</v>
      </c>
      <c r="J18" s="27">
        <f t="shared" si="2"/>
        <v>0.2128308097115167</v>
      </c>
      <c r="K18" s="27">
        <f t="shared" si="3"/>
        <v>0.03336593405659637</v>
      </c>
      <c r="L18" s="27">
        <f t="shared" si="4"/>
        <v>-0.03336593405659637</v>
      </c>
    </row>
    <row r="19" spans="1:12" ht="15">
      <c r="A19" s="16" t="s">
        <v>245</v>
      </c>
      <c r="B19" s="80">
        <v>95766701</v>
      </c>
      <c r="C19" s="80">
        <v>95766701</v>
      </c>
      <c r="D19" s="80">
        <v>0</v>
      </c>
      <c r="E19" s="80"/>
      <c r="F19" s="80">
        <f t="shared" si="0"/>
        <v>0</v>
      </c>
      <c r="G19" s="86">
        <v>421587822</v>
      </c>
      <c r="H19" s="86">
        <v>194229663.7</v>
      </c>
      <c r="I19" s="27">
        <f t="shared" si="1"/>
        <v>227358158.3</v>
      </c>
      <c r="J19" s="27">
        <f t="shared" si="2"/>
        <v>0</v>
      </c>
      <c r="K19" s="27">
        <f t="shared" si="3"/>
        <v>0</v>
      </c>
      <c r="L19" s="27">
        <f t="shared" si="4"/>
        <v>0</v>
      </c>
    </row>
    <row r="20" spans="1:12" ht="15">
      <c r="A20" s="16" t="s">
        <v>246</v>
      </c>
      <c r="B20" s="80">
        <v>9948155.7</v>
      </c>
      <c r="C20" s="80">
        <v>9948155.7</v>
      </c>
      <c r="D20" s="80">
        <v>0</v>
      </c>
      <c r="E20" s="80"/>
      <c r="F20" s="80">
        <f t="shared" si="0"/>
        <v>0</v>
      </c>
      <c r="G20" s="86">
        <v>379258405.22</v>
      </c>
      <c r="H20" s="86">
        <v>298211405.22</v>
      </c>
      <c r="I20" s="27">
        <f t="shared" si="1"/>
        <v>81047000</v>
      </c>
      <c r="J20" s="27">
        <f t="shared" si="2"/>
        <v>0</v>
      </c>
      <c r="K20" s="27">
        <f t="shared" si="3"/>
        <v>0</v>
      </c>
      <c r="L20" s="27">
        <f t="shared" si="4"/>
        <v>0</v>
      </c>
    </row>
    <row r="21" spans="1:12" ht="15">
      <c r="A21" s="16" t="s">
        <v>247</v>
      </c>
      <c r="B21" s="80">
        <v>30162377.42</v>
      </c>
      <c r="C21" s="80">
        <v>13152627.42</v>
      </c>
      <c r="D21" s="80">
        <v>0</v>
      </c>
      <c r="E21" s="80"/>
      <c r="F21" s="80">
        <f t="shared" si="0"/>
        <v>17009750</v>
      </c>
      <c r="G21" s="86">
        <v>856582232.53</v>
      </c>
      <c r="H21" s="86">
        <v>565043823.12</v>
      </c>
      <c r="I21" s="27">
        <f t="shared" si="1"/>
        <v>291538409.40999997</v>
      </c>
      <c r="J21" s="27">
        <f t="shared" si="2"/>
        <v>5.834479935053303</v>
      </c>
      <c r="K21" s="27">
        <f t="shared" si="3"/>
        <v>0.914683701252625</v>
      </c>
      <c r="L21" s="27">
        <f t="shared" si="4"/>
        <v>-0.914683701252625</v>
      </c>
    </row>
    <row r="22" spans="1:12" ht="15">
      <c r="A22" s="16" t="s">
        <v>248</v>
      </c>
      <c r="B22" s="80">
        <v>16440432.36</v>
      </c>
      <c r="C22" s="80">
        <v>16440432.36</v>
      </c>
      <c r="D22" s="80">
        <v>0</v>
      </c>
      <c r="E22" s="80"/>
      <c r="F22" s="80">
        <f t="shared" si="0"/>
        <v>0</v>
      </c>
      <c r="G22" s="86">
        <v>278327556.75</v>
      </c>
      <c r="H22" s="86">
        <v>231637624.75</v>
      </c>
      <c r="I22" s="27">
        <f t="shared" si="1"/>
        <v>46689932</v>
      </c>
      <c r="J22" s="27">
        <f t="shared" si="2"/>
        <v>0</v>
      </c>
      <c r="K22" s="27">
        <f t="shared" si="3"/>
        <v>0</v>
      </c>
      <c r="L22" s="27">
        <f t="shared" si="4"/>
        <v>0</v>
      </c>
    </row>
    <row r="23" spans="1:12" ht="15">
      <c r="A23" s="16" t="s">
        <v>249</v>
      </c>
      <c r="B23" s="80">
        <v>4954700</v>
      </c>
      <c r="C23" s="80">
        <v>4791700</v>
      </c>
      <c r="D23" s="80">
        <v>0</v>
      </c>
      <c r="E23" s="80"/>
      <c r="F23" s="80">
        <f t="shared" si="0"/>
        <v>163000</v>
      </c>
      <c r="G23" s="86">
        <v>200165979.1</v>
      </c>
      <c r="H23" s="86">
        <v>150969360.3</v>
      </c>
      <c r="I23" s="27">
        <f t="shared" si="1"/>
        <v>49196618.79999998</v>
      </c>
      <c r="J23" s="27">
        <f t="shared" si="2"/>
        <v>0.3313235827499593</v>
      </c>
      <c r="K23" s="27">
        <f t="shared" si="3"/>
        <v>0.0519422955182799</v>
      </c>
      <c r="L23" s="27">
        <f t="shared" si="4"/>
        <v>-0.0519422955182799</v>
      </c>
    </row>
    <row r="25" spans="6:9" ht="15">
      <c r="F25" s="40"/>
      <c r="I25" s="40"/>
    </row>
  </sheetData>
  <sheetProtection/>
  <mergeCells count="7">
    <mergeCell ref="A1:L1"/>
    <mergeCell ref="A7:A8"/>
    <mergeCell ref="B7:F7"/>
    <mergeCell ref="G7:I7"/>
    <mergeCell ref="J7:J8"/>
    <mergeCell ref="K7:K8"/>
    <mergeCell ref="L7:L8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5"/>
  <sheetViews>
    <sheetView view="pageBreakPreview" zoomScaleSheetLayoutView="100" zoomScalePageLayoutView="0" workbookViewId="0" topLeftCell="A1">
      <selection activeCell="J10" sqref="J10"/>
    </sheetView>
  </sheetViews>
  <sheetFormatPr defaultColWidth="8.7109375" defaultRowHeight="15"/>
  <cols>
    <col min="1" max="1" width="24.7109375" style="26" customWidth="1"/>
    <col min="2" max="3" width="19.140625" style="26" customWidth="1"/>
    <col min="4" max="4" width="17.140625" style="26" customWidth="1"/>
    <col min="5" max="5" width="17.8515625" style="26" customWidth="1"/>
    <col min="6" max="6" width="18.140625" style="26" customWidth="1"/>
    <col min="7" max="7" width="17.7109375" style="26" customWidth="1"/>
    <col min="8" max="8" width="10.8515625" style="26" customWidth="1"/>
    <col min="9" max="9" width="6.7109375" style="26" customWidth="1"/>
    <col min="10" max="10" width="10.57421875" style="26" customWidth="1"/>
    <col min="11" max="16384" width="8.7109375" style="26" customWidth="1"/>
  </cols>
  <sheetData>
    <row r="1" spans="1:10" ht="15">
      <c r="A1" s="106" t="s">
        <v>131</v>
      </c>
      <c r="B1" s="106"/>
      <c r="C1" s="106"/>
      <c r="D1" s="106"/>
      <c r="E1" s="106"/>
      <c r="F1" s="106"/>
      <c r="G1" s="106"/>
      <c r="H1" s="106"/>
      <c r="I1" s="106"/>
      <c r="J1" s="106"/>
    </row>
    <row r="3" spans="1:7" ht="15">
      <c r="A3" s="37" t="s">
        <v>94</v>
      </c>
      <c r="B3" s="36">
        <f>MAX($H$10:$H$23)</f>
        <v>14.749257254651496</v>
      </c>
      <c r="C3" s="43"/>
      <c r="D3" s="43"/>
      <c r="E3" s="51"/>
      <c r="F3" s="51"/>
      <c r="G3" s="51"/>
    </row>
    <row r="4" spans="1:7" ht="15">
      <c r="A4" s="35" t="s">
        <v>95</v>
      </c>
      <c r="B4" s="60">
        <f>MIN($H$10:$H$23)</f>
        <v>0</v>
      </c>
      <c r="C4" s="49"/>
      <c r="D4" s="49"/>
      <c r="E4" s="52"/>
      <c r="F4" s="52"/>
      <c r="G4" s="52"/>
    </row>
    <row r="5" spans="1:7" ht="15">
      <c r="A5" s="33" t="s">
        <v>96</v>
      </c>
      <c r="B5" s="32" t="s">
        <v>43</v>
      </c>
      <c r="C5" s="39"/>
      <c r="D5" s="39"/>
      <c r="E5" s="39"/>
      <c r="F5" s="39"/>
      <c r="G5" s="39"/>
    </row>
    <row r="7" spans="1:10" s="31" customFormat="1" ht="18.75" customHeight="1">
      <c r="A7" s="104" t="s">
        <v>39</v>
      </c>
      <c r="B7" s="113" t="s">
        <v>256</v>
      </c>
      <c r="C7" s="113"/>
      <c r="D7" s="113"/>
      <c r="E7" s="104" t="s">
        <v>135</v>
      </c>
      <c r="F7" s="104"/>
      <c r="G7" s="104"/>
      <c r="H7" s="110" t="s">
        <v>100</v>
      </c>
      <c r="I7" s="110" t="s">
        <v>101</v>
      </c>
      <c r="J7" s="110" t="s">
        <v>102</v>
      </c>
    </row>
    <row r="8" spans="1:10" s="31" customFormat="1" ht="78">
      <c r="A8" s="104"/>
      <c r="B8" s="82" t="s">
        <v>184</v>
      </c>
      <c r="C8" s="82" t="s">
        <v>132</v>
      </c>
      <c r="D8" s="82" t="s">
        <v>185</v>
      </c>
      <c r="E8" s="23" t="s">
        <v>92</v>
      </c>
      <c r="F8" s="23" t="s">
        <v>99</v>
      </c>
      <c r="G8" s="23" t="s">
        <v>93</v>
      </c>
      <c r="H8" s="110"/>
      <c r="I8" s="110"/>
      <c r="J8" s="110"/>
    </row>
    <row r="9" spans="1:10" s="29" customFormat="1" ht="15">
      <c r="A9" s="30">
        <v>1</v>
      </c>
      <c r="B9" s="30">
        <v>2</v>
      </c>
      <c r="C9" s="30">
        <v>3</v>
      </c>
      <c r="D9" s="30" t="s">
        <v>142</v>
      </c>
      <c r="E9" s="30">
        <v>5</v>
      </c>
      <c r="F9" s="30">
        <v>6</v>
      </c>
      <c r="G9" s="30" t="s">
        <v>149</v>
      </c>
      <c r="H9" s="30" t="s">
        <v>186</v>
      </c>
      <c r="I9" s="30">
        <v>9</v>
      </c>
      <c r="J9" s="30">
        <v>10</v>
      </c>
    </row>
    <row r="10" spans="1:10" ht="15">
      <c r="A10" s="16" t="s">
        <v>231</v>
      </c>
      <c r="B10" s="86">
        <v>34915000</v>
      </c>
      <c r="C10" s="86">
        <v>28395000</v>
      </c>
      <c r="D10" s="80">
        <f>$B10-$C10</f>
        <v>6520000</v>
      </c>
      <c r="E10" s="86">
        <v>986380789.86</v>
      </c>
      <c r="F10" s="86">
        <v>595947341.07</v>
      </c>
      <c r="G10" s="27">
        <f>$E10-$F10</f>
        <v>390433448.78999996</v>
      </c>
      <c r="H10" s="27">
        <f>$D10/$G10*100</f>
        <v>1.6699388897663</v>
      </c>
      <c r="I10" s="27">
        <f>($H10-$B$4)/($B$3-$B$4)</f>
        <v>0.11322189727483725</v>
      </c>
      <c r="J10" s="27">
        <f>$I10*$B$5</f>
        <v>-0.2264437945496745</v>
      </c>
    </row>
    <row r="11" spans="1:10" ht="15">
      <c r="A11" s="16" t="s">
        <v>232</v>
      </c>
      <c r="B11" s="86">
        <v>100707000</v>
      </c>
      <c r="C11" s="86">
        <v>100707000</v>
      </c>
      <c r="D11" s="80">
        <f aca="true" t="shared" si="0" ref="D11:D23">$B11-$C11</f>
        <v>0</v>
      </c>
      <c r="E11" s="86">
        <v>1531126478.05</v>
      </c>
      <c r="F11" s="86">
        <v>366419478.05</v>
      </c>
      <c r="G11" s="27">
        <f aca="true" t="shared" si="1" ref="G11:G23">$E11-$F11</f>
        <v>1164707000</v>
      </c>
      <c r="H11" s="27">
        <f aca="true" t="shared" si="2" ref="H11:H23">$D11/$G11*100</f>
        <v>0</v>
      </c>
      <c r="I11" s="27">
        <f aca="true" t="shared" si="3" ref="I11:I23">($H11-$B$4)/($B$3-$B$4)</f>
        <v>0</v>
      </c>
      <c r="J11" s="27">
        <f aca="true" t="shared" si="4" ref="J11:J23">$I11*$B$5</f>
        <v>0</v>
      </c>
    </row>
    <row r="12" spans="1:10" ht="15">
      <c r="A12" s="16" t="s">
        <v>214</v>
      </c>
      <c r="B12" s="86">
        <v>0</v>
      </c>
      <c r="C12" s="86">
        <v>0</v>
      </c>
      <c r="D12" s="80">
        <f t="shared" si="0"/>
        <v>0</v>
      </c>
      <c r="E12" s="86">
        <v>698710814.26</v>
      </c>
      <c r="F12" s="86">
        <v>511608814.26</v>
      </c>
      <c r="G12" s="27">
        <f t="shared" si="1"/>
        <v>187102000</v>
      </c>
      <c r="H12" s="27">
        <f t="shared" si="2"/>
        <v>0</v>
      </c>
      <c r="I12" s="27">
        <f t="shared" si="3"/>
        <v>0</v>
      </c>
      <c r="J12" s="27">
        <f t="shared" si="4"/>
        <v>0</v>
      </c>
    </row>
    <row r="13" spans="1:10" ht="15">
      <c r="A13" s="16" t="s">
        <v>215</v>
      </c>
      <c r="B13" s="86">
        <v>0</v>
      </c>
      <c r="C13" s="86">
        <v>0</v>
      </c>
      <c r="D13" s="80">
        <f t="shared" si="0"/>
        <v>0</v>
      </c>
      <c r="E13" s="86">
        <v>130535808.15</v>
      </c>
      <c r="F13" s="86">
        <v>96487108.15</v>
      </c>
      <c r="G13" s="27">
        <f t="shared" si="1"/>
        <v>34048700</v>
      </c>
      <c r="H13" s="27">
        <f t="shared" si="2"/>
        <v>0</v>
      </c>
      <c r="I13" s="27">
        <f t="shared" si="3"/>
        <v>0</v>
      </c>
      <c r="J13" s="27">
        <f t="shared" si="4"/>
        <v>0</v>
      </c>
    </row>
    <row r="14" spans="1:10" ht="15">
      <c r="A14" s="16" t="s">
        <v>216</v>
      </c>
      <c r="B14" s="86">
        <v>35885000</v>
      </c>
      <c r="C14" s="86">
        <v>23485000</v>
      </c>
      <c r="D14" s="80">
        <f t="shared" si="0"/>
        <v>12400000</v>
      </c>
      <c r="E14" s="86">
        <v>455822831.02</v>
      </c>
      <c r="F14" s="86">
        <v>300128831.02</v>
      </c>
      <c r="G14" s="27">
        <f t="shared" si="1"/>
        <v>155694000</v>
      </c>
      <c r="H14" s="27">
        <f t="shared" si="2"/>
        <v>7.964340308553959</v>
      </c>
      <c r="I14" s="27">
        <f t="shared" si="3"/>
        <v>0.5399824663063785</v>
      </c>
      <c r="J14" s="27">
        <f t="shared" si="4"/>
        <v>-1.079964932612757</v>
      </c>
    </row>
    <row r="15" spans="1:10" ht="15">
      <c r="A15" s="16" t="s">
        <v>217</v>
      </c>
      <c r="B15" s="86">
        <v>2200000</v>
      </c>
      <c r="C15" s="86">
        <v>2200000</v>
      </c>
      <c r="D15" s="80">
        <f t="shared" si="0"/>
        <v>0</v>
      </c>
      <c r="E15" s="86">
        <v>185377747.77</v>
      </c>
      <c r="F15" s="86">
        <v>126581686.77</v>
      </c>
      <c r="G15" s="27">
        <f t="shared" si="1"/>
        <v>58796061.000000015</v>
      </c>
      <c r="H15" s="27">
        <f t="shared" si="2"/>
        <v>0</v>
      </c>
      <c r="I15" s="27">
        <f t="shared" si="3"/>
        <v>0</v>
      </c>
      <c r="J15" s="27">
        <f t="shared" si="4"/>
        <v>0</v>
      </c>
    </row>
    <row r="16" spans="1:10" ht="15">
      <c r="A16" s="16" t="s">
        <v>218</v>
      </c>
      <c r="B16" s="86">
        <v>20490000</v>
      </c>
      <c r="C16" s="86">
        <v>14940000</v>
      </c>
      <c r="D16" s="80">
        <f t="shared" si="0"/>
        <v>5550000</v>
      </c>
      <c r="E16" s="86">
        <v>380102840.89</v>
      </c>
      <c r="F16" s="86">
        <v>280102940.89</v>
      </c>
      <c r="G16" s="27">
        <f t="shared" si="1"/>
        <v>99999900</v>
      </c>
      <c r="H16" s="27">
        <f t="shared" si="2"/>
        <v>5.55000555000555</v>
      </c>
      <c r="I16" s="27">
        <f t="shared" si="3"/>
        <v>0.3762905110530387</v>
      </c>
      <c r="J16" s="27">
        <f t="shared" si="4"/>
        <v>-0.7525810221060774</v>
      </c>
    </row>
    <row r="17" spans="1:10" ht="15">
      <c r="A17" s="16" t="s">
        <v>219</v>
      </c>
      <c r="B17" s="86">
        <v>0</v>
      </c>
      <c r="C17" s="86">
        <v>0</v>
      </c>
      <c r="D17" s="80">
        <f t="shared" si="0"/>
        <v>0</v>
      </c>
      <c r="E17" s="86">
        <v>479193721.28</v>
      </c>
      <c r="F17" s="86">
        <v>422506721.28</v>
      </c>
      <c r="G17" s="27">
        <f t="shared" si="1"/>
        <v>56687000</v>
      </c>
      <c r="H17" s="27">
        <f t="shared" si="2"/>
        <v>0</v>
      </c>
      <c r="I17" s="27">
        <f t="shared" si="3"/>
        <v>0</v>
      </c>
      <c r="J17" s="27">
        <f t="shared" si="4"/>
        <v>0</v>
      </c>
    </row>
    <row r="18" spans="1:10" ht="15">
      <c r="A18" s="16" t="s">
        <v>244</v>
      </c>
      <c r="B18" s="86">
        <v>2400000</v>
      </c>
      <c r="C18" s="86">
        <v>0</v>
      </c>
      <c r="D18" s="80">
        <f t="shared" si="0"/>
        <v>2400000</v>
      </c>
      <c r="E18" s="86">
        <v>416823604.26</v>
      </c>
      <c r="F18" s="86">
        <v>228880890.26</v>
      </c>
      <c r="G18" s="27">
        <f t="shared" si="1"/>
        <v>187942714</v>
      </c>
      <c r="H18" s="27">
        <f t="shared" si="2"/>
        <v>1.2769848582691</v>
      </c>
      <c r="I18" s="27">
        <f t="shared" si="3"/>
        <v>0.08657960439779944</v>
      </c>
      <c r="J18" s="27">
        <f t="shared" si="4"/>
        <v>-0.17315920879559887</v>
      </c>
    </row>
    <row r="19" spans="1:10" ht="15">
      <c r="A19" s="16" t="s">
        <v>245</v>
      </c>
      <c r="B19" s="86">
        <v>0</v>
      </c>
      <c r="C19" s="86">
        <v>0</v>
      </c>
      <c r="D19" s="80">
        <f t="shared" si="0"/>
        <v>0</v>
      </c>
      <c r="E19" s="86">
        <v>421587822</v>
      </c>
      <c r="F19" s="86">
        <v>194229663.7</v>
      </c>
      <c r="G19" s="27">
        <f t="shared" si="1"/>
        <v>227358158.3</v>
      </c>
      <c r="H19" s="27">
        <f t="shared" si="2"/>
        <v>0</v>
      </c>
      <c r="I19" s="27">
        <f t="shared" si="3"/>
        <v>0</v>
      </c>
      <c r="J19" s="27">
        <f t="shared" si="4"/>
        <v>0</v>
      </c>
    </row>
    <row r="20" spans="1:10" ht="15">
      <c r="A20" s="16" t="s">
        <v>246</v>
      </c>
      <c r="B20" s="86">
        <v>0</v>
      </c>
      <c r="C20" s="86">
        <v>0</v>
      </c>
      <c r="D20" s="80">
        <f t="shared" si="0"/>
        <v>0</v>
      </c>
      <c r="E20" s="86">
        <v>379258405.22</v>
      </c>
      <c r="F20" s="86">
        <v>298211405.22</v>
      </c>
      <c r="G20" s="27">
        <f t="shared" si="1"/>
        <v>81047000</v>
      </c>
      <c r="H20" s="27">
        <f t="shared" si="2"/>
        <v>0</v>
      </c>
      <c r="I20" s="27">
        <f t="shared" si="3"/>
        <v>0</v>
      </c>
      <c r="J20" s="27">
        <f t="shared" si="4"/>
        <v>0</v>
      </c>
    </row>
    <row r="21" spans="1:10" ht="15">
      <c r="A21" s="16" t="s">
        <v>247</v>
      </c>
      <c r="B21" s="86">
        <v>50329750</v>
      </c>
      <c r="C21" s="86">
        <v>7330000</v>
      </c>
      <c r="D21" s="80">
        <f t="shared" si="0"/>
        <v>42999750</v>
      </c>
      <c r="E21" s="86">
        <v>856582232.53</v>
      </c>
      <c r="F21" s="86">
        <v>565043823.12</v>
      </c>
      <c r="G21" s="27">
        <f t="shared" si="1"/>
        <v>291538409.40999997</v>
      </c>
      <c r="H21" s="27">
        <f t="shared" si="2"/>
        <v>14.749257254651496</v>
      </c>
      <c r="I21" s="27">
        <f t="shared" si="3"/>
        <v>1</v>
      </c>
      <c r="J21" s="27">
        <f t="shared" si="4"/>
        <v>-2</v>
      </c>
    </row>
    <row r="22" spans="1:10" ht="15">
      <c r="A22" s="16" t="s">
        <v>248</v>
      </c>
      <c r="B22" s="86">
        <v>0</v>
      </c>
      <c r="C22" s="86">
        <v>0</v>
      </c>
      <c r="D22" s="80">
        <f t="shared" si="0"/>
        <v>0</v>
      </c>
      <c r="E22" s="86">
        <v>278327556.75</v>
      </c>
      <c r="F22" s="86">
        <v>231637624.75</v>
      </c>
      <c r="G22" s="27">
        <f t="shared" si="1"/>
        <v>46689932</v>
      </c>
      <c r="H22" s="27">
        <f t="shared" si="2"/>
        <v>0</v>
      </c>
      <c r="I22" s="27">
        <f t="shared" si="3"/>
        <v>0</v>
      </c>
      <c r="J22" s="27">
        <f t="shared" si="4"/>
        <v>0</v>
      </c>
    </row>
    <row r="23" spans="1:10" ht="15">
      <c r="A23" s="16" t="s">
        <v>249</v>
      </c>
      <c r="B23" s="86">
        <v>0</v>
      </c>
      <c r="C23" s="86">
        <v>0</v>
      </c>
      <c r="D23" s="80">
        <f t="shared" si="0"/>
        <v>0</v>
      </c>
      <c r="E23" s="86">
        <v>200165979.1</v>
      </c>
      <c r="F23" s="86">
        <v>150969360.3</v>
      </c>
      <c r="G23" s="27">
        <f t="shared" si="1"/>
        <v>49196618.79999998</v>
      </c>
      <c r="H23" s="27">
        <f t="shared" si="2"/>
        <v>0</v>
      </c>
      <c r="I23" s="27">
        <f t="shared" si="3"/>
        <v>0</v>
      </c>
      <c r="J23" s="27">
        <f t="shared" si="4"/>
        <v>0</v>
      </c>
    </row>
    <row r="25" ht="15">
      <c r="H25" s="40"/>
    </row>
  </sheetData>
  <sheetProtection/>
  <mergeCells count="7">
    <mergeCell ref="A1:J1"/>
    <mergeCell ref="E7:G7"/>
    <mergeCell ref="H7:H8"/>
    <mergeCell ref="I7:I8"/>
    <mergeCell ref="J7:J8"/>
    <mergeCell ref="A7:A8"/>
    <mergeCell ref="B7:D7"/>
  </mergeCells>
  <printOptions horizontalCentered="1" verticalCentered="1"/>
  <pageMargins left="0.23" right="0.15748031496062992" top="0.17" bottom="0.15748031496062992" header="0.15748031496062992" footer="0.15748031496062992"/>
  <pageSetup fitToHeight="1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6"/>
  <sheetViews>
    <sheetView view="pageBreakPreview" zoomScaleSheetLayoutView="100" zoomScalePageLayoutView="0" workbookViewId="0" topLeftCell="A1">
      <selection activeCell="M10" sqref="M10"/>
    </sheetView>
  </sheetViews>
  <sheetFormatPr defaultColWidth="8.7109375" defaultRowHeight="15"/>
  <cols>
    <col min="1" max="1" width="23.7109375" style="26" customWidth="1"/>
    <col min="2" max="2" width="15.8515625" style="26" customWidth="1"/>
    <col min="3" max="3" width="16.28125" style="26" customWidth="1"/>
    <col min="4" max="5" width="16.7109375" style="26" customWidth="1"/>
    <col min="6" max="6" width="17.00390625" style="26" customWidth="1"/>
    <col min="7" max="7" width="16.8515625" style="26" customWidth="1"/>
    <col min="8" max="8" width="15.57421875" style="26" customWidth="1"/>
    <col min="9" max="9" width="18.00390625" style="26" customWidth="1"/>
    <col min="10" max="10" width="15.140625" style="26" customWidth="1"/>
    <col min="11" max="11" width="14.00390625" style="26" customWidth="1"/>
    <col min="12" max="12" width="5.28125" style="26" customWidth="1"/>
    <col min="13" max="13" width="10.28125" style="26" customWidth="1"/>
    <col min="14" max="16384" width="8.7109375" style="26" customWidth="1"/>
  </cols>
  <sheetData>
    <row r="1" spans="1:13" ht="15">
      <c r="A1" s="116" t="s">
        <v>133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3" spans="1:2" ht="15">
      <c r="A3" s="37" t="s">
        <v>103</v>
      </c>
      <c r="B3" s="61">
        <f>MAX($K$10:$K$23)</f>
        <v>0.32701112507446495</v>
      </c>
    </row>
    <row r="4" spans="1:2" ht="15">
      <c r="A4" s="35" t="s">
        <v>104</v>
      </c>
      <c r="B4" s="55">
        <f>MIN($K$10:$K$23)</f>
        <v>0.027624242092728717</v>
      </c>
    </row>
    <row r="5" spans="1:2" ht="15">
      <c r="A5" s="33" t="s">
        <v>105</v>
      </c>
      <c r="B5" s="32" t="s">
        <v>46</v>
      </c>
    </row>
    <row r="7" spans="1:13" s="31" customFormat="1" ht="30.75" customHeight="1">
      <c r="A7" s="104" t="s">
        <v>39</v>
      </c>
      <c r="B7" s="113" t="s">
        <v>116</v>
      </c>
      <c r="C7" s="113"/>
      <c r="D7" s="113"/>
      <c r="E7" s="113"/>
      <c r="F7" s="113"/>
      <c r="G7" s="113"/>
      <c r="H7" s="113"/>
      <c r="I7" s="113" t="s">
        <v>187</v>
      </c>
      <c r="J7" s="113"/>
      <c r="K7" s="110" t="s">
        <v>106</v>
      </c>
      <c r="L7" s="110" t="s">
        <v>107</v>
      </c>
      <c r="M7" s="110" t="s">
        <v>108</v>
      </c>
    </row>
    <row r="8" spans="1:13" s="31" customFormat="1" ht="47.25" customHeight="1">
      <c r="A8" s="109"/>
      <c r="B8" s="99" t="s">
        <v>257</v>
      </c>
      <c r="C8" s="99" t="s">
        <v>258</v>
      </c>
      <c r="D8" s="99" t="s">
        <v>229</v>
      </c>
      <c r="E8" s="99" t="s">
        <v>259</v>
      </c>
      <c r="F8" s="99" t="s">
        <v>260</v>
      </c>
      <c r="G8" s="99" t="s">
        <v>230</v>
      </c>
      <c r="H8" s="82" t="s">
        <v>53</v>
      </c>
      <c r="I8" s="82" t="s">
        <v>54</v>
      </c>
      <c r="J8" s="82" t="s">
        <v>52</v>
      </c>
      <c r="K8" s="111"/>
      <c r="L8" s="111"/>
      <c r="M8" s="117"/>
    </row>
    <row r="9" spans="1:13" s="29" customFormat="1" ht="1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14</v>
      </c>
      <c r="I9" s="30">
        <v>15</v>
      </c>
      <c r="J9" s="30">
        <v>16</v>
      </c>
      <c r="K9" s="30" t="s">
        <v>202</v>
      </c>
      <c r="L9" s="30">
        <v>18</v>
      </c>
      <c r="M9" s="30">
        <v>19</v>
      </c>
    </row>
    <row r="10" spans="1:14" ht="15">
      <c r="A10" s="16" t="s">
        <v>231</v>
      </c>
      <c r="B10" s="80">
        <v>119701700</v>
      </c>
      <c r="C10" s="80">
        <v>108213510</v>
      </c>
      <c r="D10" s="80">
        <v>109192180</v>
      </c>
      <c r="E10" s="80">
        <v>107443040</v>
      </c>
      <c r="F10" s="80">
        <v>91099830</v>
      </c>
      <c r="G10" s="80">
        <v>80137910</v>
      </c>
      <c r="H10" s="80">
        <f>AVERAGE($B10:$G10)</f>
        <v>102631361.66666667</v>
      </c>
      <c r="I10" s="86">
        <v>390433448.79</v>
      </c>
      <c r="J10" s="86">
        <v>105195400</v>
      </c>
      <c r="K10" s="63">
        <f>$H10/($I10+$J10)</f>
        <v>0.20707301828217833</v>
      </c>
      <c r="L10" s="47">
        <f>($K10-$B$4)/($B$3-$B$4)</f>
        <v>0.5993875696965545</v>
      </c>
      <c r="M10" s="47">
        <f>$L10*$B$5</f>
        <v>0.5993875696965545</v>
      </c>
      <c r="N10" s="48"/>
    </row>
    <row r="11" spans="1:14" ht="15">
      <c r="A11" s="16" t="s">
        <v>232</v>
      </c>
      <c r="B11" s="80">
        <v>83850630</v>
      </c>
      <c r="C11" s="80">
        <v>57642090</v>
      </c>
      <c r="D11" s="80">
        <v>55992460</v>
      </c>
      <c r="E11" s="80">
        <v>56443640</v>
      </c>
      <c r="F11" s="80">
        <v>59543280</v>
      </c>
      <c r="G11" s="80">
        <v>31962980</v>
      </c>
      <c r="H11" s="80">
        <f aca="true" t="shared" si="0" ref="H11:H23">AVERAGE($B11:$G11)</f>
        <v>57572513.333333336</v>
      </c>
      <c r="I11" s="86">
        <v>1164707000</v>
      </c>
      <c r="J11" s="86">
        <v>2923000</v>
      </c>
      <c r="K11" s="63">
        <f aca="true" t="shared" si="1" ref="K11:K23">$H11/($I11+$J11)</f>
        <v>0.04930715494919909</v>
      </c>
      <c r="L11" s="47">
        <f aca="true" t="shared" si="2" ref="L11:L23">($K11-$B$4)/($B$3-$B$4)</f>
        <v>0.072424391611683</v>
      </c>
      <c r="M11" s="47">
        <f aca="true" t="shared" si="3" ref="M11:M23">$L11*$B$5</f>
        <v>0.072424391611683</v>
      </c>
      <c r="N11" s="48"/>
    </row>
    <row r="12" spans="1:14" ht="15">
      <c r="A12" s="16" t="s">
        <v>214</v>
      </c>
      <c r="B12" s="80">
        <v>10040400</v>
      </c>
      <c r="C12" s="80">
        <v>7564230</v>
      </c>
      <c r="D12" s="80">
        <v>6210600</v>
      </c>
      <c r="E12" s="80">
        <v>6673550</v>
      </c>
      <c r="F12" s="80">
        <v>3723700</v>
      </c>
      <c r="G12" s="80">
        <v>5178750</v>
      </c>
      <c r="H12" s="80">
        <f t="shared" si="0"/>
        <v>6565205</v>
      </c>
      <c r="I12" s="86">
        <v>187102000</v>
      </c>
      <c r="J12" s="86">
        <v>50559000</v>
      </c>
      <c r="K12" s="63">
        <f t="shared" si="1"/>
        <v>0.027624242092728717</v>
      </c>
      <c r="L12" s="47">
        <f t="shared" si="2"/>
        <v>0</v>
      </c>
      <c r="M12" s="47">
        <f t="shared" si="3"/>
        <v>0</v>
      </c>
      <c r="N12" s="48"/>
    </row>
    <row r="13" spans="1:14" ht="15">
      <c r="A13" s="16" t="s">
        <v>215</v>
      </c>
      <c r="B13" s="80">
        <v>15925900.000000002</v>
      </c>
      <c r="C13" s="80">
        <v>14491300.000000002</v>
      </c>
      <c r="D13" s="80">
        <v>9845000</v>
      </c>
      <c r="E13" s="80">
        <v>10568400</v>
      </c>
      <c r="F13" s="80">
        <v>12388700</v>
      </c>
      <c r="G13" s="80">
        <v>12024800</v>
      </c>
      <c r="H13" s="80">
        <f t="shared" si="0"/>
        <v>12540683.333333334</v>
      </c>
      <c r="I13" s="86">
        <v>58652680</v>
      </c>
      <c r="J13" s="86">
        <v>33127269</v>
      </c>
      <c r="K13" s="63">
        <f t="shared" si="1"/>
        <v>0.13663859557530736</v>
      </c>
      <c r="L13" s="47">
        <f t="shared" si="2"/>
        <v>0.364125349771015</v>
      </c>
      <c r="M13" s="47">
        <f t="shared" si="3"/>
        <v>0.364125349771015</v>
      </c>
      <c r="N13" s="48"/>
    </row>
    <row r="14" spans="1:14" ht="15">
      <c r="A14" s="16" t="s">
        <v>216</v>
      </c>
      <c r="B14" s="80">
        <v>59159130</v>
      </c>
      <c r="C14" s="80">
        <v>45629350.00000001</v>
      </c>
      <c r="D14" s="80">
        <v>46854760</v>
      </c>
      <c r="E14" s="80">
        <v>47821820</v>
      </c>
      <c r="F14" s="80">
        <v>45722740</v>
      </c>
      <c r="G14" s="80">
        <v>56013940</v>
      </c>
      <c r="H14" s="80">
        <f t="shared" si="0"/>
        <v>50200290</v>
      </c>
      <c r="I14" s="86">
        <v>261891919.01</v>
      </c>
      <c r="J14" s="86">
        <v>73346239.85</v>
      </c>
      <c r="K14" s="63">
        <f t="shared" si="1"/>
        <v>0.14974515481981368</v>
      </c>
      <c r="L14" s="47">
        <f t="shared" si="2"/>
        <v>0.4079033507107084</v>
      </c>
      <c r="M14" s="47">
        <f t="shared" si="3"/>
        <v>0.4079033507107084</v>
      </c>
      <c r="N14" s="48"/>
    </row>
    <row r="15" spans="1:14" ht="15">
      <c r="A15" s="16" t="s">
        <v>217</v>
      </c>
      <c r="B15" s="80">
        <v>32055800.000000004</v>
      </c>
      <c r="C15" s="80">
        <v>26228230.000000004</v>
      </c>
      <c r="D15" s="80">
        <v>28591620</v>
      </c>
      <c r="E15" s="80">
        <v>29587850.000000004</v>
      </c>
      <c r="F15" s="80">
        <v>33094370.000000004</v>
      </c>
      <c r="G15" s="80">
        <v>34283369.99999999</v>
      </c>
      <c r="H15" s="80">
        <f t="shared" si="0"/>
        <v>30640206.666666668</v>
      </c>
      <c r="I15" s="86">
        <v>102397968</v>
      </c>
      <c r="J15" s="86">
        <v>23791979.06</v>
      </c>
      <c r="K15" s="63">
        <f t="shared" si="1"/>
        <v>0.2428102030354134</v>
      </c>
      <c r="L15" s="47">
        <f t="shared" si="2"/>
        <v>0.7187554738522458</v>
      </c>
      <c r="M15" s="47">
        <f t="shared" si="3"/>
        <v>0.7187554738522458</v>
      </c>
      <c r="N15" s="48"/>
    </row>
    <row r="16" spans="1:14" ht="15">
      <c r="A16" s="16" t="s">
        <v>218</v>
      </c>
      <c r="B16" s="80">
        <v>17689809.999999996</v>
      </c>
      <c r="C16" s="80">
        <v>12975630.000000002</v>
      </c>
      <c r="D16" s="80">
        <v>20609600</v>
      </c>
      <c r="E16" s="80">
        <v>19191910</v>
      </c>
      <c r="F16" s="80">
        <v>12974230.000000002</v>
      </c>
      <c r="G16" s="80">
        <v>19696780</v>
      </c>
      <c r="H16" s="80">
        <f t="shared" si="0"/>
        <v>17189660</v>
      </c>
      <c r="I16" s="86">
        <v>152973221</v>
      </c>
      <c r="J16" s="86">
        <v>38227655.84</v>
      </c>
      <c r="K16" s="63">
        <f t="shared" si="1"/>
        <v>0.08990366720119483</v>
      </c>
      <c r="L16" s="47">
        <f t="shared" si="2"/>
        <v>0.2080232256276418</v>
      </c>
      <c r="M16" s="47">
        <f t="shared" si="3"/>
        <v>0.2080232256276418</v>
      </c>
      <c r="N16" s="48"/>
    </row>
    <row r="17" spans="1:14" ht="15">
      <c r="A17" s="16" t="s">
        <v>219</v>
      </c>
      <c r="B17" s="80">
        <v>30254600.000000004</v>
      </c>
      <c r="C17" s="80">
        <v>23631700</v>
      </c>
      <c r="D17" s="80">
        <v>25896400</v>
      </c>
      <c r="E17" s="80">
        <v>26314500</v>
      </c>
      <c r="F17" s="80">
        <v>33736500</v>
      </c>
      <c r="G17" s="80">
        <v>32788100</v>
      </c>
      <c r="H17" s="80">
        <f t="shared" si="0"/>
        <v>28770300</v>
      </c>
      <c r="I17" s="86">
        <v>106398990</v>
      </c>
      <c r="J17" s="86">
        <v>71843177</v>
      </c>
      <c r="K17" s="63">
        <f t="shared" si="1"/>
        <v>0.1614113006155272</v>
      </c>
      <c r="L17" s="47">
        <f t="shared" si="2"/>
        <v>0.4468701407033922</v>
      </c>
      <c r="M17" s="47">
        <f t="shared" si="3"/>
        <v>0.4468701407033922</v>
      </c>
      <c r="N17" s="48"/>
    </row>
    <row r="18" spans="1:14" ht="15">
      <c r="A18" s="16" t="s">
        <v>244</v>
      </c>
      <c r="B18" s="80">
        <v>113934519.99999999</v>
      </c>
      <c r="C18" s="80">
        <v>110869480</v>
      </c>
      <c r="D18" s="80">
        <v>111751019.99999999</v>
      </c>
      <c r="E18" s="80">
        <v>112055459.99999999</v>
      </c>
      <c r="F18" s="80">
        <v>109342540</v>
      </c>
      <c r="G18" s="80">
        <v>106681870.00000001</v>
      </c>
      <c r="H18" s="80">
        <f t="shared" si="0"/>
        <v>110772481.66666667</v>
      </c>
      <c r="I18" s="86">
        <v>293064101</v>
      </c>
      <c r="J18" s="86">
        <v>45678141</v>
      </c>
      <c r="K18" s="63">
        <f t="shared" si="1"/>
        <v>0.32701112507446495</v>
      </c>
      <c r="L18" s="47">
        <f t="shared" si="2"/>
        <v>1</v>
      </c>
      <c r="M18" s="47">
        <f t="shared" si="3"/>
        <v>1</v>
      </c>
      <c r="N18" s="48"/>
    </row>
    <row r="19" spans="1:14" ht="15">
      <c r="A19" s="16" t="s">
        <v>245</v>
      </c>
      <c r="B19" s="80">
        <v>121799690</v>
      </c>
      <c r="C19" s="80">
        <v>104754000</v>
      </c>
      <c r="D19" s="80">
        <v>97887830</v>
      </c>
      <c r="E19" s="80">
        <v>94941130</v>
      </c>
      <c r="F19" s="80">
        <v>93924819.99999999</v>
      </c>
      <c r="G19" s="80">
        <v>102762319.99999999</v>
      </c>
      <c r="H19" s="80">
        <f t="shared" si="0"/>
        <v>102678298.33333333</v>
      </c>
      <c r="I19" s="86">
        <v>336064608.3</v>
      </c>
      <c r="J19" s="86">
        <v>87774923</v>
      </c>
      <c r="K19" s="63">
        <f t="shared" si="1"/>
        <v>0.24225748367170613</v>
      </c>
      <c r="L19" s="47">
        <f t="shared" si="2"/>
        <v>0.7169093029104783</v>
      </c>
      <c r="M19" s="47">
        <f t="shared" si="3"/>
        <v>0.7169093029104783</v>
      </c>
      <c r="N19" s="48"/>
    </row>
    <row r="20" spans="1:14" ht="15">
      <c r="A20" s="16" t="s">
        <v>246</v>
      </c>
      <c r="B20" s="80">
        <v>59905490</v>
      </c>
      <c r="C20" s="80">
        <v>56038720</v>
      </c>
      <c r="D20" s="80">
        <v>54742090.00000001</v>
      </c>
      <c r="E20" s="80">
        <v>54970750</v>
      </c>
      <c r="F20" s="80">
        <v>62238580</v>
      </c>
      <c r="G20" s="80">
        <v>69959400</v>
      </c>
      <c r="H20" s="80">
        <f t="shared" si="0"/>
        <v>59642505</v>
      </c>
      <c r="I20" s="86">
        <v>140525000</v>
      </c>
      <c r="J20" s="86">
        <v>90881857</v>
      </c>
      <c r="K20" s="63">
        <f t="shared" si="1"/>
        <v>0.2577387108282621</v>
      </c>
      <c r="L20" s="47">
        <f t="shared" si="2"/>
        <v>0.7686190739010142</v>
      </c>
      <c r="M20" s="47">
        <f t="shared" si="3"/>
        <v>0.7686190739010142</v>
      </c>
      <c r="N20" s="48"/>
    </row>
    <row r="21" spans="1:14" ht="15">
      <c r="A21" s="16" t="s">
        <v>247</v>
      </c>
      <c r="B21" s="80">
        <v>23262489.999999996</v>
      </c>
      <c r="C21" s="80">
        <v>27550820</v>
      </c>
      <c r="D21" s="80">
        <v>19171650</v>
      </c>
      <c r="E21" s="80">
        <v>22548230</v>
      </c>
      <c r="F21" s="80">
        <v>24483190.000000004</v>
      </c>
      <c r="G21" s="80">
        <v>33329390</v>
      </c>
      <c r="H21" s="80">
        <f t="shared" si="0"/>
        <v>25057628.333333332</v>
      </c>
      <c r="I21" s="86">
        <v>426122997.77</v>
      </c>
      <c r="J21" s="86">
        <v>42198978.16</v>
      </c>
      <c r="K21" s="63">
        <f t="shared" si="1"/>
        <v>0.05350513027618139</v>
      </c>
      <c r="L21" s="47">
        <f t="shared" si="2"/>
        <v>0.08644629960301738</v>
      </c>
      <c r="M21" s="47">
        <f t="shared" si="3"/>
        <v>0.08644629960301738</v>
      </c>
      <c r="N21" s="48"/>
    </row>
    <row r="22" spans="1:14" ht="15">
      <c r="A22" s="16" t="s">
        <v>248</v>
      </c>
      <c r="B22" s="80">
        <v>22057059.999999996</v>
      </c>
      <c r="C22" s="80">
        <v>20054140</v>
      </c>
      <c r="D22" s="80">
        <v>15752040</v>
      </c>
      <c r="E22" s="80">
        <v>19452100</v>
      </c>
      <c r="F22" s="80">
        <v>20480760.000000004</v>
      </c>
      <c r="G22" s="80">
        <v>17808360</v>
      </c>
      <c r="H22" s="80">
        <f t="shared" si="0"/>
        <v>19267410</v>
      </c>
      <c r="I22" s="86">
        <v>79478936.21</v>
      </c>
      <c r="J22" s="86">
        <v>45427401.67</v>
      </c>
      <c r="K22" s="63">
        <f t="shared" si="1"/>
        <v>0.1542548626996861</v>
      </c>
      <c r="L22" s="47">
        <f t="shared" si="2"/>
        <v>0.42296649521108903</v>
      </c>
      <c r="M22" s="47">
        <f t="shared" si="3"/>
        <v>0.42296649521108903</v>
      </c>
      <c r="N22" s="48"/>
    </row>
    <row r="23" spans="1:14" ht="15">
      <c r="A23" s="16" t="s">
        <v>249</v>
      </c>
      <c r="B23" s="80">
        <v>28050240</v>
      </c>
      <c r="C23" s="80">
        <v>24851620</v>
      </c>
      <c r="D23" s="80">
        <v>27674940.000000004</v>
      </c>
      <c r="E23" s="80">
        <v>28755550.000000004</v>
      </c>
      <c r="F23" s="80">
        <v>30464300</v>
      </c>
      <c r="G23" s="80">
        <v>29623200</v>
      </c>
      <c r="H23" s="80">
        <f t="shared" si="0"/>
        <v>28236641.666666668</v>
      </c>
      <c r="I23" s="86">
        <v>85048625.8</v>
      </c>
      <c r="J23" s="86">
        <v>36159529.67</v>
      </c>
      <c r="K23" s="63">
        <f t="shared" si="1"/>
        <v>0.23295991558633583</v>
      </c>
      <c r="L23" s="47">
        <f t="shared" si="2"/>
        <v>0.6858539407223576</v>
      </c>
      <c r="M23" s="47">
        <f t="shared" si="3"/>
        <v>0.6858539407223576</v>
      </c>
      <c r="N23" s="48"/>
    </row>
    <row r="24" ht="15">
      <c r="A24" s="5" t="s">
        <v>40</v>
      </c>
    </row>
    <row r="26" spans="8:11" ht="15">
      <c r="H26" s="40"/>
      <c r="I26" s="40"/>
      <c r="J26" s="40"/>
      <c r="K26" s="40"/>
    </row>
  </sheetData>
  <sheetProtection/>
  <mergeCells count="7">
    <mergeCell ref="A1:M1"/>
    <mergeCell ref="A7:A8"/>
    <mergeCell ref="B7:H7"/>
    <mergeCell ref="I7:J7"/>
    <mergeCell ref="K7:K8"/>
    <mergeCell ref="L7:L8"/>
    <mergeCell ref="M7:M8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A13B39"/>
    <pageSetUpPr fitToPage="1"/>
  </sheetPr>
  <dimension ref="A1:P20"/>
  <sheetViews>
    <sheetView view="pageBreakPreview"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8" sqref="O8"/>
    </sheetView>
  </sheetViews>
  <sheetFormatPr defaultColWidth="9.140625" defaultRowHeight="15"/>
  <cols>
    <col min="1" max="1" width="24.8515625" style="1" customWidth="1"/>
    <col min="2" max="2" width="8.8515625" style="1" customWidth="1"/>
    <col min="3" max="3" width="7.00390625" style="2" customWidth="1"/>
    <col min="4" max="5" width="7.00390625" style="25" customWidth="1"/>
    <col min="6" max="6" width="7.00390625" style="2" customWidth="1"/>
    <col min="7" max="7" width="8.8515625" style="25" customWidth="1"/>
    <col min="8" max="8" width="7.28125" style="2" customWidth="1"/>
    <col min="9" max="9" width="7.00390625" style="1" customWidth="1"/>
    <col min="10" max="10" width="7.00390625" style="2" customWidth="1"/>
    <col min="11" max="13" width="7.00390625" style="1" customWidth="1"/>
    <col min="14" max="14" width="11.8515625" style="1" customWidth="1"/>
    <col min="15" max="15" width="15.7109375" style="1" customWidth="1"/>
    <col min="16" max="16384" width="9.140625" style="1" customWidth="1"/>
  </cols>
  <sheetData>
    <row r="1" spans="1:15" ht="17.25" customHeight="1">
      <c r="A1" s="118" t="s">
        <v>261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3" spans="1:15" s="8" customFormat="1" ht="94.5" customHeight="1">
      <c r="A3" s="113" t="s">
        <v>39</v>
      </c>
      <c r="B3" s="119" t="s">
        <v>109</v>
      </c>
      <c r="C3" s="120"/>
      <c r="D3" s="120"/>
      <c r="E3" s="121"/>
      <c r="F3" s="113" t="s">
        <v>110</v>
      </c>
      <c r="G3" s="113"/>
      <c r="H3" s="113"/>
      <c r="I3" s="113"/>
      <c r="J3" s="113"/>
      <c r="K3" s="113" t="s">
        <v>111</v>
      </c>
      <c r="L3" s="113"/>
      <c r="M3" s="113"/>
      <c r="N3" s="113" t="s">
        <v>45</v>
      </c>
      <c r="O3" s="113"/>
    </row>
    <row r="4" spans="1:15" s="8" customFormat="1" ht="23.25" customHeight="1">
      <c r="A4" s="113"/>
      <c r="B4" s="74" t="s">
        <v>213</v>
      </c>
      <c r="C4" s="83">
        <v>2</v>
      </c>
      <c r="D4" s="74" t="s">
        <v>189</v>
      </c>
      <c r="E4" s="74" t="s">
        <v>190</v>
      </c>
      <c r="F4" s="82">
        <v>7</v>
      </c>
      <c r="G4" s="64" t="s">
        <v>146</v>
      </c>
      <c r="H4" s="82">
        <v>9</v>
      </c>
      <c r="I4" s="83">
        <v>10</v>
      </c>
      <c r="J4" s="83">
        <v>12</v>
      </c>
      <c r="K4" s="82">
        <v>13</v>
      </c>
      <c r="L4" s="83">
        <v>14</v>
      </c>
      <c r="M4" s="82">
        <v>15</v>
      </c>
      <c r="N4" s="115" t="s">
        <v>117</v>
      </c>
      <c r="O4" s="115" t="s">
        <v>118</v>
      </c>
    </row>
    <row r="5" spans="1:15" s="66" customFormat="1" ht="105" customHeight="1">
      <c r="A5" s="113"/>
      <c r="B5" s="67" t="s">
        <v>212</v>
      </c>
      <c r="C5" s="67" t="s">
        <v>188</v>
      </c>
      <c r="D5" s="67" t="s">
        <v>191</v>
      </c>
      <c r="E5" s="67" t="s">
        <v>192</v>
      </c>
      <c r="F5" s="67" t="s">
        <v>193</v>
      </c>
      <c r="G5" s="68" t="s">
        <v>194</v>
      </c>
      <c r="H5" s="67" t="s">
        <v>195</v>
      </c>
      <c r="I5" s="67" t="s">
        <v>196</v>
      </c>
      <c r="J5" s="67" t="s">
        <v>197</v>
      </c>
      <c r="K5" s="67" t="s">
        <v>198</v>
      </c>
      <c r="L5" s="67" t="s">
        <v>199</v>
      </c>
      <c r="M5" s="67" t="s">
        <v>200</v>
      </c>
      <c r="N5" s="115"/>
      <c r="O5" s="115"/>
    </row>
    <row r="6" spans="1:16" ht="15">
      <c r="A6" s="16" t="s">
        <v>231</v>
      </c>
      <c r="B6" s="42">
        <f>'1.1'!F9</f>
        <v>-0.6984210455751373</v>
      </c>
      <c r="C6" s="42">
        <f>2!K11</f>
        <v>0.6364223596698177</v>
      </c>
      <c r="D6" s="101">
        <f>'4.1'!G10</f>
        <v>0.04427460953525474</v>
      </c>
      <c r="E6" s="101">
        <f>'5.1'!F9</f>
        <v>0.7534500191471957</v>
      </c>
      <c r="F6" s="42">
        <f>7!F9</f>
        <v>-0.16704562197755857</v>
      </c>
      <c r="G6" s="42">
        <f>'7.1'!F9</f>
        <v>0</v>
      </c>
      <c r="H6" s="42">
        <f>9!F9</f>
        <v>-0.26072041863940343</v>
      </c>
      <c r="I6" s="42">
        <f>'10'!F10</f>
        <v>0.988622418377439</v>
      </c>
      <c r="J6" s="89">
        <f>'12'!F10</f>
        <v>0</v>
      </c>
      <c r="K6" s="42">
        <f>'13'!L10</f>
        <v>0</v>
      </c>
      <c r="L6" s="42">
        <f>'14'!J10</f>
        <v>-0.2264437945496745</v>
      </c>
      <c r="M6" s="42">
        <f>'15'!M10</f>
        <v>0.5993875696965545</v>
      </c>
      <c r="N6" s="65">
        <f>ROUND(SUM($B6:$M6),2)</f>
        <v>1.67</v>
      </c>
      <c r="O6" s="54">
        <f aca="true" t="shared" si="0" ref="O6:O19">RANK($N6,$N$6:$N$19,0)</f>
        <v>10</v>
      </c>
      <c r="P6" s="78"/>
    </row>
    <row r="7" spans="1:16" ht="15">
      <c r="A7" s="16" t="s">
        <v>232</v>
      </c>
      <c r="B7" s="42">
        <f>'1.1'!F10</f>
        <v>-0.33258537285905754</v>
      </c>
      <c r="C7" s="42">
        <f>2!K12</f>
        <v>0.010492543891457479</v>
      </c>
      <c r="D7" s="101">
        <f>'4.1'!G11</f>
        <v>0</v>
      </c>
      <c r="E7" s="101">
        <f>'5.1'!F10</f>
        <v>0.7345925764495627</v>
      </c>
      <c r="F7" s="42">
        <f>7!F10</f>
        <v>-0.49084448288909277</v>
      </c>
      <c r="G7" s="42">
        <f>'7.1'!F10</f>
        <v>-0.2701149425287349</v>
      </c>
      <c r="H7" s="42">
        <f>9!F10</f>
        <v>-1</v>
      </c>
      <c r="I7" s="42">
        <f>'10'!F11</f>
        <v>1.0471911645953047</v>
      </c>
      <c r="J7" s="89">
        <f>'12'!F11</f>
        <v>0.9567901234567902</v>
      </c>
      <c r="K7" s="42">
        <f>'13'!L11</f>
        <v>-1</v>
      </c>
      <c r="L7" s="42">
        <f>'14'!J11</f>
        <v>0</v>
      </c>
      <c r="M7" s="42">
        <f>'15'!M11</f>
        <v>0.072424391611683</v>
      </c>
      <c r="N7" s="65">
        <f aca="true" t="shared" si="1" ref="N7:N19">ROUND(SUM($B7:$M7),2)</f>
        <v>-0.27</v>
      </c>
      <c r="O7" s="54">
        <f t="shared" si="0"/>
        <v>14</v>
      </c>
      <c r="P7" s="78"/>
    </row>
    <row r="8" spans="1:16" ht="15">
      <c r="A8" s="16" t="s">
        <v>214</v>
      </c>
      <c r="B8" s="42">
        <f>'1.1'!F11</f>
        <v>-0.17706210662221614</v>
      </c>
      <c r="C8" s="42">
        <f>2!K13</f>
        <v>1</v>
      </c>
      <c r="D8" s="101">
        <f>'4.1'!G12</f>
        <v>0.037031147750302064</v>
      </c>
      <c r="E8" s="101">
        <f>'5.1'!F11</f>
        <v>1</v>
      </c>
      <c r="F8" s="42">
        <f>7!F11</f>
        <v>0</v>
      </c>
      <c r="G8" s="42">
        <f>'7.1'!F11</f>
        <v>-0.28160919540229906</v>
      </c>
      <c r="H8" s="42">
        <f>9!F11</f>
        <v>-0.20843943082259522</v>
      </c>
      <c r="I8" s="42">
        <f>'10'!F12</f>
        <v>1.4107599565432718</v>
      </c>
      <c r="J8" s="89">
        <f>'12'!F12</f>
        <v>0.06753812636165578</v>
      </c>
      <c r="K8" s="42">
        <f>'13'!L12</f>
        <v>0</v>
      </c>
      <c r="L8" s="42">
        <f>'14'!J12</f>
        <v>0</v>
      </c>
      <c r="M8" s="42">
        <f>'15'!M12</f>
        <v>0</v>
      </c>
      <c r="N8" s="65">
        <f t="shared" si="1"/>
        <v>2.85</v>
      </c>
      <c r="O8" s="54">
        <f t="shared" si="0"/>
        <v>8</v>
      </c>
      <c r="P8" s="78"/>
    </row>
    <row r="9" spans="1:16" ht="15">
      <c r="A9" s="16" t="s">
        <v>215</v>
      </c>
      <c r="B9" s="42">
        <f>'1.1'!F12</f>
        <v>-0.2467737651550123</v>
      </c>
      <c r="C9" s="42">
        <f>2!K14</f>
        <v>0.6521960746088664</v>
      </c>
      <c r="D9" s="101">
        <f>'4.1'!G13</f>
        <v>1.2385768654268767</v>
      </c>
      <c r="E9" s="101">
        <f>'5.1'!F12</f>
        <v>0.3241561017782727</v>
      </c>
      <c r="F9" s="42">
        <f>7!F12</f>
        <v>-2</v>
      </c>
      <c r="G9" s="42">
        <f>'7.1'!F12</f>
        <v>0</v>
      </c>
      <c r="H9" s="42">
        <f>9!F12</f>
        <v>-0.2899216487476899</v>
      </c>
      <c r="I9" s="42">
        <f>'10'!F13</f>
        <v>0.2592655222592477</v>
      </c>
      <c r="J9" s="89">
        <f>'12'!F13</f>
        <v>0.4175084175084175</v>
      </c>
      <c r="K9" s="42">
        <f>'13'!L13</f>
        <v>0</v>
      </c>
      <c r="L9" s="42">
        <f>'14'!J13</f>
        <v>0</v>
      </c>
      <c r="M9" s="42">
        <f>'15'!M13</f>
        <v>0.364125349771015</v>
      </c>
      <c r="N9" s="65">
        <f t="shared" si="1"/>
        <v>0.72</v>
      </c>
      <c r="O9" s="54">
        <f t="shared" si="0"/>
        <v>13</v>
      </c>
      <c r="P9" s="78"/>
    </row>
    <row r="10" spans="1:16" ht="15">
      <c r="A10" s="16" t="s">
        <v>216</v>
      </c>
      <c r="B10" s="42">
        <f>'1.1'!F13</f>
        <v>-0.6531807558801859</v>
      </c>
      <c r="C10" s="42">
        <f>2!K15</f>
        <v>1</v>
      </c>
      <c r="D10" s="101">
        <f>'4.1'!G14</f>
        <v>0.3922098828440826</v>
      </c>
      <c r="E10" s="101">
        <f>'5.1'!F13</f>
        <v>0.5264545669410106</v>
      </c>
      <c r="F10" s="42">
        <f>7!F13</f>
        <v>-0.9334125888648611</v>
      </c>
      <c r="G10" s="42">
        <f>'7.1'!F13</f>
        <v>-1</v>
      </c>
      <c r="H10" s="42">
        <f>9!F13</f>
        <v>-0.0007263672847864183</v>
      </c>
      <c r="I10" s="42">
        <f>'10'!F14</f>
        <v>1.2246353376604382</v>
      </c>
      <c r="J10" s="89">
        <f>'12'!F14</f>
        <v>0.8442265795206972</v>
      </c>
      <c r="K10" s="42">
        <f>'13'!L14</f>
        <v>0</v>
      </c>
      <c r="L10" s="42">
        <f>'14'!J14</f>
        <v>-1.079964932612757</v>
      </c>
      <c r="M10" s="42">
        <f>'15'!M14</f>
        <v>0.4079033507107084</v>
      </c>
      <c r="N10" s="65">
        <f t="shared" si="1"/>
        <v>0.73</v>
      </c>
      <c r="O10" s="54">
        <f t="shared" si="0"/>
        <v>12</v>
      </c>
      <c r="P10" s="78"/>
    </row>
    <row r="11" spans="1:16" ht="15">
      <c r="A11" s="16" t="s">
        <v>217</v>
      </c>
      <c r="B11" s="42">
        <f>'1.1'!F14</f>
        <v>-0.5600022040335471</v>
      </c>
      <c r="C11" s="42">
        <f>2!K16</f>
        <v>1</v>
      </c>
      <c r="D11" s="101">
        <f>'4.1'!G15</f>
        <v>1.354971826583813</v>
      </c>
      <c r="E11" s="101">
        <f>'5.1'!F14</f>
        <v>0.9321830582664834</v>
      </c>
      <c r="F11" s="42">
        <f>7!F14</f>
        <v>-1.8975805573635522</v>
      </c>
      <c r="G11" s="42">
        <f>'7.1'!F14</f>
        <v>-0.08045977011494283</v>
      </c>
      <c r="H11" s="42">
        <f>9!F14</f>
        <v>-0.2576830523183177</v>
      </c>
      <c r="I11" s="42">
        <f>'10'!F15</f>
        <v>1.9288166736312387</v>
      </c>
      <c r="J11" s="89">
        <f>'12'!F15</f>
        <v>0.36257309941520466</v>
      </c>
      <c r="K11" s="42">
        <f>'13'!L15</f>
        <v>0</v>
      </c>
      <c r="L11" s="42">
        <f>'14'!J15</f>
        <v>0</v>
      </c>
      <c r="M11" s="42">
        <f>'15'!M15</f>
        <v>0.7187554738522458</v>
      </c>
      <c r="N11" s="65">
        <f t="shared" si="1"/>
        <v>3.5</v>
      </c>
      <c r="O11" s="54">
        <f t="shared" si="0"/>
        <v>4</v>
      </c>
      <c r="P11" s="78"/>
    </row>
    <row r="12" spans="1:16" ht="15">
      <c r="A12" s="16" t="s">
        <v>218</v>
      </c>
      <c r="B12" s="42">
        <f>'1.1'!F15</f>
        <v>-0.29447198507916145</v>
      </c>
      <c r="C12" s="42">
        <f>2!K17</f>
        <v>0.9999991860416392</v>
      </c>
      <c r="D12" s="101">
        <f>'4.1'!G16</f>
        <v>0.8998876397249318</v>
      </c>
      <c r="E12" s="101">
        <f>'5.1'!F15</f>
        <v>0.8315376683965803</v>
      </c>
      <c r="F12" s="42">
        <f>7!F15</f>
        <v>-0.31515844872705895</v>
      </c>
      <c r="G12" s="42">
        <f>'7.1'!F15</f>
        <v>0</v>
      </c>
      <c r="H12" s="42">
        <f>9!F15</f>
        <v>0</v>
      </c>
      <c r="I12" s="42">
        <f>'10'!F16</f>
        <v>2</v>
      </c>
      <c r="J12" s="89">
        <f>'12'!F16</f>
        <v>1</v>
      </c>
      <c r="K12" s="42">
        <f>'13'!L16</f>
        <v>-0.7714763003955794</v>
      </c>
      <c r="L12" s="42">
        <f>'14'!J16</f>
        <v>-0.7525810221060774</v>
      </c>
      <c r="M12" s="42">
        <f>'15'!M16</f>
        <v>0.2080232256276418</v>
      </c>
      <c r="N12" s="65">
        <f t="shared" si="1"/>
        <v>3.81</v>
      </c>
      <c r="O12" s="54">
        <f t="shared" si="0"/>
        <v>3</v>
      </c>
      <c r="P12" s="78"/>
    </row>
    <row r="13" spans="1:16" ht="15">
      <c r="A13" s="16" t="s">
        <v>219</v>
      </c>
      <c r="B13" s="42">
        <f>'1.1'!F16</f>
        <v>-0.2179404169365596</v>
      </c>
      <c r="C13" s="42">
        <f>2!K18</f>
        <v>1</v>
      </c>
      <c r="D13" s="101">
        <f>'4.1'!G17</f>
        <v>0.6955314901138758</v>
      </c>
      <c r="E13" s="101">
        <f>'5.1'!F16</f>
        <v>0.6098414314320146</v>
      </c>
      <c r="F13" s="42">
        <f>7!F16</f>
        <v>-0.17276829757808881</v>
      </c>
      <c r="G13" s="42">
        <f>'7.1'!F16</f>
        <v>-0.5862068965517233</v>
      </c>
      <c r="H13" s="42">
        <f>9!F16</f>
        <v>-0.13516743971366196</v>
      </c>
      <c r="I13" s="42">
        <f>'10'!F17</f>
        <v>1.1464231263908597</v>
      </c>
      <c r="J13" s="89">
        <f>'12'!F17</f>
        <v>0.15308641975308643</v>
      </c>
      <c r="K13" s="42">
        <f>'13'!L17</f>
        <v>0</v>
      </c>
      <c r="L13" s="42">
        <f>'14'!J17</f>
        <v>0</v>
      </c>
      <c r="M13" s="42">
        <f>'15'!M17</f>
        <v>0.4468701407033922</v>
      </c>
      <c r="N13" s="65">
        <f t="shared" si="1"/>
        <v>2.94</v>
      </c>
      <c r="O13" s="54">
        <f t="shared" si="0"/>
        <v>5</v>
      </c>
      <c r="P13" s="78"/>
    </row>
    <row r="14" spans="1:16" ht="15">
      <c r="A14" s="16" t="s">
        <v>244</v>
      </c>
      <c r="B14" s="42">
        <f>'1.1'!F17</f>
        <v>-1</v>
      </c>
      <c r="C14" s="42">
        <f>2!K19</f>
        <v>0.22855061997296122</v>
      </c>
      <c r="D14" s="101">
        <f>'4.1'!G18</f>
        <v>1.6451837949928334</v>
      </c>
      <c r="E14" s="101">
        <f>'5.1'!F17</f>
        <v>0.3192002999904149</v>
      </c>
      <c r="F14" s="42">
        <f>7!F17</f>
        <v>-0.7072274560741304</v>
      </c>
      <c r="G14" s="42">
        <f>'7.1'!F17</f>
        <v>0</v>
      </c>
      <c r="H14" s="42">
        <f>9!F17</f>
        <v>-0.06675734653043655</v>
      </c>
      <c r="I14" s="42">
        <f>'10'!F18</f>
        <v>0</v>
      </c>
      <c r="J14" s="89">
        <f>'12'!F18</f>
        <v>0</v>
      </c>
      <c r="K14" s="42">
        <f>'13'!L18</f>
        <v>-0.03336593405659637</v>
      </c>
      <c r="L14" s="42">
        <f>'14'!J18</f>
        <v>-0.17315920879559887</v>
      </c>
      <c r="M14" s="42">
        <f>'15'!M18</f>
        <v>1</v>
      </c>
      <c r="N14" s="65">
        <f t="shared" si="1"/>
        <v>1.21</v>
      </c>
      <c r="O14" s="54">
        <f t="shared" si="0"/>
        <v>11</v>
      </c>
      <c r="P14" s="78"/>
    </row>
    <row r="15" spans="1:16" ht="15">
      <c r="A15" s="16" t="s">
        <v>245</v>
      </c>
      <c r="B15" s="42">
        <f>'1.1'!F18</f>
        <v>-0.20897497395490006</v>
      </c>
      <c r="C15" s="42">
        <f>2!K20</f>
        <v>0.46822945236533936</v>
      </c>
      <c r="D15" s="101">
        <f>'4.1'!G19</f>
        <v>0.9445024299400211</v>
      </c>
      <c r="E15" s="101">
        <f>'5.1'!F18</f>
        <v>0.6287083805847375</v>
      </c>
      <c r="F15" s="42">
        <f>7!F18</f>
        <v>-0.3538446514541658</v>
      </c>
      <c r="G15" s="42">
        <f>'7.1'!F18</f>
        <v>0</v>
      </c>
      <c r="H15" s="42">
        <f>9!F18</f>
        <v>-0.2706487980610783</v>
      </c>
      <c r="I15" s="42">
        <f>'10'!F19</f>
        <v>1.9808705313021713</v>
      </c>
      <c r="J15" s="89">
        <f>'12'!F19</f>
        <v>0.9567901234567902</v>
      </c>
      <c r="K15" s="42">
        <f>'13'!L19</f>
        <v>0</v>
      </c>
      <c r="L15" s="42">
        <f>'14'!J19</f>
        <v>0</v>
      </c>
      <c r="M15" s="42">
        <f>'15'!M19</f>
        <v>0.7169093029104783</v>
      </c>
      <c r="N15" s="65">
        <f t="shared" si="1"/>
        <v>4.86</v>
      </c>
      <c r="O15" s="54">
        <f t="shared" si="0"/>
        <v>1</v>
      </c>
      <c r="P15" s="78"/>
    </row>
    <row r="16" spans="1:16" ht="15">
      <c r="A16" s="16" t="s">
        <v>246</v>
      </c>
      <c r="B16" s="42">
        <f>'1.1'!F19</f>
        <v>-0.018328248965768137</v>
      </c>
      <c r="C16" s="42">
        <f>2!K21</f>
        <v>0</v>
      </c>
      <c r="D16" s="101">
        <f>'4.1'!G20</f>
        <v>2</v>
      </c>
      <c r="E16" s="101">
        <f>'5.1'!F19</f>
        <v>0</v>
      </c>
      <c r="F16" s="42">
        <f>7!F19</f>
        <v>-0.6543389850474111</v>
      </c>
      <c r="G16" s="42">
        <f>'7.1'!F19</f>
        <v>-0.3965517241379312</v>
      </c>
      <c r="H16" s="42">
        <f>9!F19</f>
        <v>0</v>
      </c>
      <c r="I16" s="42">
        <f>'10'!F20</f>
        <v>1.4491625788898264</v>
      </c>
      <c r="J16" s="89">
        <f>'12'!F20</f>
        <v>0.6817129629629629</v>
      </c>
      <c r="K16" s="42">
        <f>'13'!L20</f>
        <v>0</v>
      </c>
      <c r="L16" s="42">
        <f>'14'!J20</f>
        <v>0</v>
      </c>
      <c r="M16" s="42">
        <f>'15'!M20</f>
        <v>0.7686190739010142</v>
      </c>
      <c r="N16" s="65">
        <f t="shared" si="1"/>
        <v>3.83</v>
      </c>
      <c r="O16" s="54">
        <f t="shared" si="0"/>
        <v>2</v>
      </c>
      <c r="P16" s="78"/>
    </row>
    <row r="17" spans="1:16" ht="15">
      <c r="A17" s="16" t="s">
        <v>247</v>
      </c>
      <c r="B17" s="42">
        <f>'1.1'!F20</f>
        <v>-0.13681338324382405</v>
      </c>
      <c r="C17" s="42">
        <f>2!K22</f>
        <v>1</v>
      </c>
      <c r="D17" s="101">
        <f>'4.1'!G21</f>
        <v>1.2080560255535364</v>
      </c>
      <c r="E17" s="101">
        <f>'5.1'!F20</f>
        <v>0.4772583091192806</v>
      </c>
      <c r="F17" s="42">
        <f>7!F20</f>
        <v>-0.06661944472701223</v>
      </c>
      <c r="G17" s="42">
        <f>'7.1'!F20</f>
        <v>-0.22988505747126428</v>
      </c>
      <c r="H17" s="42">
        <f>9!F20</f>
        <v>-0.2598871199887958</v>
      </c>
      <c r="I17" s="42">
        <f>'10'!F21</f>
        <v>1.9801960044863443</v>
      </c>
      <c r="J17" s="89">
        <f>'12'!F21</f>
        <v>0.9668615984405458</v>
      </c>
      <c r="K17" s="42">
        <f>'13'!L21</f>
        <v>-0.914683701252625</v>
      </c>
      <c r="L17" s="42">
        <f>'14'!J21</f>
        <v>-2</v>
      </c>
      <c r="M17" s="42">
        <f>'15'!M21</f>
        <v>0.08644629960301738</v>
      </c>
      <c r="N17" s="65">
        <f t="shared" si="1"/>
        <v>2.11</v>
      </c>
      <c r="O17" s="54">
        <f t="shared" si="0"/>
        <v>9</v>
      </c>
      <c r="P17" s="78"/>
    </row>
    <row r="18" spans="1:16" ht="15">
      <c r="A18" s="16" t="s">
        <v>248</v>
      </c>
      <c r="B18" s="42">
        <f>'1.1'!F21</f>
        <v>0</v>
      </c>
      <c r="C18" s="42">
        <f>2!K23</f>
        <v>0.1318955906554821</v>
      </c>
      <c r="D18" s="101">
        <f>'4.1'!G22</f>
        <v>0.6225974162052399</v>
      </c>
      <c r="E18" s="101">
        <f>'5.1'!F21</f>
        <v>0.6371759048292106</v>
      </c>
      <c r="F18" s="42">
        <f>7!F21</f>
        <v>-0.7963195071577891</v>
      </c>
      <c r="G18" s="42">
        <f>'7.1'!F21</f>
        <v>0</v>
      </c>
      <c r="H18" s="42">
        <f>9!F21</f>
        <v>-0.5251921153514247</v>
      </c>
      <c r="I18" s="42">
        <f>'10'!F22</f>
        <v>1.82775173030526</v>
      </c>
      <c r="J18" s="89">
        <f>'12'!F22</f>
        <v>0.5381944444444444</v>
      </c>
      <c r="K18" s="42">
        <f>'13'!L22</f>
        <v>0</v>
      </c>
      <c r="L18" s="42">
        <f>'14'!J22</f>
        <v>0</v>
      </c>
      <c r="M18" s="42">
        <f>'15'!M22</f>
        <v>0.42296649521108903</v>
      </c>
      <c r="N18" s="65">
        <f t="shared" si="1"/>
        <v>2.86</v>
      </c>
      <c r="O18" s="54">
        <f t="shared" si="0"/>
        <v>7</v>
      </c>
      <c r="P18" s="78"/>
    </row>
    <row r="19" spans="1:16" ht="15">
      <c r="A19" s="16" t="s">
        <v>249</v>
      </c>
      <c r="B19" s="42">
        <f>'1.1'!F22</f>
        <v>-0.04262179517121005</v>
      </c>
      <c r="C19" s="42">
        <f>2!K24</f>
        <v>1</v>
      </c>
      <c r="D19" s="101">
        <f>'4.1'!G23</f>
        <v>0.5581545177010677</v>
      </c>
      <c r="E19" s="101">
        <f>'5.1'!F22</f>
        <v>0.8175000553522511</v>
      </c>
      <c r="F19" s="42">
        <f>7!F22</f>
        <v>-1.4320313672219458</v>
      </c>
      <c r="G19" s="42">
        <f>'7.1'!F22</f>
        <v>-0.09195402298850539</v>
      </c>
      <c r="H19" s="42">
        <f>9!F22</f>
        <v>0</v>
      </c>
      <c r="I19" s="42">
        <f>'10'!F23</f>
        <v>1.4437764378502023</v>
      </c>
      <c r="J19" s="89">
        <f>'12'!F23</f>
        <v>0</v>
      </c>
      <c r="K19" s="42">
        <f>'13'!L23</f>
        <v>-0.0519422955182799</v>
      </c>
      <c r="L19" s="42">
        <f>'14'!J23</f>
        <v>0</v>
      </c>
      <c r="M19" s="42">
        <f>'15'!M23</f>
        <v>0.6858539407223576</v>
      </c>
      <c r="N19" s="65">
        <f t="shared" si="1"/>
        <v>2.89</v>
      </c>
      <c r="O19" s="54">
        <f t="shared" si="0"/>
        <v>6</v>
      </c>
      <c r="P19" s="78"/>
    </row>
    <row r="20" spans="1:2" ht="15">
      <c r="A20" s="5"/>
      <c r="B20" s="5"/>
    </row>
  </sheetData>
  <sheetProtection/>
  <mergeCells count="8">
    <mergeCell ref="A1:O1"/>
    <mergeCell ref="K3:M3"/>
    <mergeCell ref="N3:O3"/>
    <mergeCell ref="A3:A5"/>
    <mergeCell ref="N4:N5"/>
    <mergeCell ref="O4:O5"/>
    <mergeCell ref="F3:J3"/>
    <mergeCell ref="B3:E3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2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5.00390625" style="1" bestFit="1" customWidth="1"/>
    <col min="2" max="2" width="20.8515625" style="0" customWidth="1"/>
    <col min="3" max="3" width="18.140625" style="0" customWidth="1"/>
    <col min="4" max="4" width="18.421875" style="0" customWidth="1"/>
    <col min="5" max="5" width="11.421875" style="0" bestFit="1" customWidth="1"/>
    <col min="6" max="6" width="10.7109375" style="0" bestFit="1" customWidth="1"/>
  </cols>
  <sheetData>
    <row r="1" spans="1:4" ht="56.25" customHeight="1">
      <c r="A1" s="122" t="s">
        <v>262</v>
      </c>
      <c r="B1" s="122"/>
      <c r="C1" s="122"/>
      <c r="D1" s="122"/>
    </row>
    <row r="2" ht="15">
      <c r="D2" s="20" t="s">
        <v>134</v>
      </c>
    </row>
    <row r="3" spans="1:4" ht="67.5" customHeight="1">
      <c r="A3" s="82" t="s">
        <v>39</v>
      </c>
      <c r="B3" s="82" t="s">
        <v>50</v>
      </c>
      <c r="C3" s="100" t="s">
        <v>263</v>
      </c>
      <c r="D3" s="82" t="s">
        <v>47</v>
      </c>
    </row>
    <row r="4" spans="1:4" s="7" customFormat="1" ht="15">
      <c r="A4" s="9">
        <v>1</v>
      </c>
      <c r="B4" s="9">
        <v>2</v>
      </c>
      <c r="C4" s="9">
        <v>3</v>
      </c>
      <c r="D4" s="9">
        <v>4</v>
      </c>
    </row>
    <row r="5" spans="1:7" s="58" customFormat="1" ht="15">
      <c r="A5" s="16" t="s">
        <v>220</v>
      </c>
      <c r="B5" s="6">
        <f>рейтинг!N15</f>
        <v>4.86</v>
      </c>
      <c r="C5" s="77">
        <v>44490</v>
      </c>
      <c r="D5" s="59">
        <f>ROUND(25000*($B5/SUM($B$5:$B$11)*0.75+$C5/SUM($C$5:$C$11)*0.25),0)</f>
        <v>5430</v>
      </c>
      <c r="E5" s="57"/>
      <c r="F5" s="57"/>
      <c r="G5" s="57"/>
    </row>
    <row r="6" spans="1:7" s="58" customFormat="1" ht="15">
      <c r="A6" s="16" t="s">
        <v>268</v>
      </c>
      <c r="B6" s="6">
        <f>рейтинг!N16</f>
        <v>3.83</v>
      </c>
      <c r="C6" s="77">
        <v>27693</v>
      </c>
      <c r="D6" s="59">
        <f aca="true" t="shared" si="0" ref="D6:D11">ROUND(25000*($B6/SUM($B$5:$B$11)*0.75+$C6/SUM($C$5:$C$11)*0.25),0)</f>
        <v>3991</v>
      </c>
      <c r="E6" s="57"/>
      <c r="F6" s="57"/>
      <c r="G6" s="57"/>
    </row>
    <row r="7" spans="1:7" s="58" customFormat="1" ht="15">
      <c r="A7" s="16" t="s">
        <v>269</v>
      </c>
      <c r="B7" s="6">
        <f>рейтинг!N12</f>
        <v>3.81</v>
      </c>
      <c r="C7" s="77">
        <v>18774</v>
      </c>
      <c r="D7" s="59">
        <f t="shared" si="0"/>
        <v>3627</v>
      </c>
      <c r="E7" s="57"/>
      <c r="F7" s="57"/>
      <c r="G7" s="57"/>
    </row>
    <row r="8" spans="1:7" s="58" customFormat="1" ht="15">
      <c r="A8" s="16" t="s">
        <v>270</v>
      </c>
      <c r="B8" s="6">
        <f>рейтинг!N11</f>
        <v>3.5</v>
      </c>
      <c r="C8" s="77">
        <v>14292</v>
      </c>
      <c r="D8" s="59">
        <f t="shared" si="0"/>
        <v>3217</v>
      </c>
      <c r="E8" s="57"/>
      <c r="F8" s="57"/>
      <c r="G8" s="57"/>
    </row>
    <row r="9" spans="1:7" s="58" customFormat="1" ht="15">
      <c r="A9" s="16" t="s">
        <v>271</v>
      </c>
      <c r="B9" s="6">
        <f>рейтинг!N13</f>
        <v>2.94</v>
      </c>
      <c r="C9" s="77">
        <v>23942</v>
      </c>
      <c r="D9" s="59">
        <f t="shared" si="0"/>
        <v>3169</v>
      </c>
      <c r="E9" s="57"/>
      <c r="F9" s="57"/>
      <c r="G9" s="57"/>
    </row>
    <row r="10" spans="1:7" s="58" customFormat="1" ht="15">
      <c r="A10" s="16" t="s">
        <v>272</v>
      </c>
      <c r="B10" s="6">
        <f>рейтинг!N19</f>
        <v>2.89</v>
      </c>
      <c r="C10" s="77">
        <v>15597</v>
      </c>
      <c r="D10" s="59">
        <f t="shared" si="0"/>
        <v>2804</v>
      </c>
      <c r="E10" s="57"/>
      <c r="F10" s="57"/>
      <c r="G10" s="57"/>
    </row>
    <row r="11" spans="1:7" s="58" customFormat="1" ht="15">
      <c r="A11" s="16" t="s">
        <v>273</v>
      </c>
      <c r="B11" s="6">
        <f>рейтинг!N18</f>
        <v>2.86</v>
      </c>
      <c r="C11" s="77">
        <v>15085</v>
      </c>
      <c r="D11" s="59">
        <f t="shared" si="0"/>
        <v>2762</v>
      </c>
      <c r="E11" s="57"/>
      <c r="F11" s="57"/>
      <c r="G11" s="57"/>
    </row>
    <row r="12" spans="1:4" ht="15">
      <c r="A12" s="14" t="s">
        <v>44</v>
      </c>
      <c r="B12" s="84"/>
      <c r="C12" s="17">
        <f>SUM($C$5:$C$11)</f>
        <v>159873</v>
      </c>
      <c r="D12" s="17">
        <f>SUM($D$5:$D$11)</f>
        <v>25000</v>
      </c>
    </row>
  </sheetData>
  <sheetProtection/>
  <mergeCells count="1">
    <mergeCell ref="A1:D1"/>
  </mergeCells>
  <printOptions gridLines="1" horizontalCentered="1" verticalCentered="1"/>
  <pageMargins left="0.15748031496062992" right="0.15748031496062992" top="0.15748031496062992" bottom="0.2362204724409449" header="0.15748031496062992" footer="0.2362204724409449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SheetLayoutView="100" zoomScalePageLayoutView="0" workbookViewId="0" topLeftCell="A1">
      <selection activeCell="C6" sqref="C6:C8"/>
    </sheetView>
  </sheetViews>
  <sheetFormatPr defaultColWidth="8.7109375" defaultRowHeight="15"/>
  <cols>
    <col min="1" max="1" width="24.57421875" style="26" customWidth="1"/>
    <col min="2" max="2" width="19.57421875" style="26" customWidth="1"/>
    <col min="3" max="4" width="17.28125" style="26" customWidth="1"/>
    <col min="5" max="5" width="18.57421875" style="26" customWidth="1"/>
    <col min="6" max="6" width="20.140625" style="26" customWidth="1"/>
    <col min="7" max="8" width="19.00390625" style="26" bestFit="1" customWidth="1"/>
    <col min="9" max="9" width="21.00390625" style="26" customWidth="1"/>
    <col min="10" max="16384" width="8.7109375" style="26" customWidth="1"/>
  </cols>
  <sheetData>
    <row r="1" spans="1:9" ht="25.5" customHeight="1">
      <c r="A1" s="103" t="s">
        <v>154</v>
      </c>
      <c r="B1" s="103"/>
      <c r="C1" s="103"/>
      <c r="D1" s="103"/>
      <c r="E1" s="103"/>
      <c r="F1" s="103"/>
      <c r="G1" s="103"/>
      <c r="H1" s="103"/>
      <c r="I1" s="103"/>
    </row>
    <row r="2" ht="15">
      <c r="A2" s="26" t="s">
        <v>151</v>
      </c>
    </row>
    <row r="3" spans="1:9" s="31" customFormat="1" ht="24.75" customHeight="1">
      <c r="A3" s="104" t="s">
        <v>39</v>
      </c>
      <c r="B3" s="104" t="s">
        <v>234</v>
      </c>
      <c r="C3" s="104"/>
      <c r="D3" s="104"/>
      <c r="E3" s="104"/>
      <c r="F3" s="104" t="s">
        <v>235</v>
      </c>
      <c r="G3" s="104"/>
      <c r="H3" s="104"/>
      <c r="I3" s="104" t="s">
        <v>156</v>
      </c>
    </row>
    <row r="4" spans="1:9" s="31" customFormat="1" ht="126.75" customHeight="1">
      <c r="A4" s="104"/>
      <c r="B4" s="23" t="s">
        <v>91</v>
      </c>
      <c r="C4" s="23" t="s">
        <v>97</v>
      </c>
      <c r="D4" s="23" t="s">
        <v>152</v>
      </c>
      <c r="E4" s="23" t="s">
        <v>153</v>
      </c>
      <c r="F4" s="23" t="s">
        <v>92</v>
      </c>
      <c r="G4" s="23" t="s">
        <v>99</v>
      </c>
      <c r="H4" s="23" t="s">
        <v>93</v>
      </c>
      <c r="I4" s="104"/>
    </row>
    <row r="5" spans="1:9" s="29" customFormat="1" ht="15">
      <c r="A5" s="30">
        <v>1</v>
      </c>
      <c r="B5" s="30">
        <v>2</v>
      </c>
      <c r="C5" s="30">
        <v>3</v>
      </c>
      <c r="D5" s="30">
        <v>4</v>
      </c>
      <c r="E5" s="30" t="s">
        <v>236</v>
      </c>
      <c r="F5" s="30">
        <v>6</v>
      </c>
      <c r="G5" s="30">
        <v>7</v>
      </c>
      <c r="H5" s="30" t="s">
        <v>237</v>
      </c>
      <c r="I5" s="30" t="s">
        <v>238</v>
      </c>
    </row>
    <row r="6" spans="1:9" ht="15">
      <c r="A6" s="69" t="s">
        <v>0</v>
      </c>
      <c r="B6" s="80">
        <v>-1840168687.45</v>
      </c>
      <c r="C6" s="80">
        <v>452712487.45</v>
      </c>
      <c r="D6" s="80">
        <v>0</v>
      </c>
      <c r="E6" s="80">
        <f aca="true" t="shared" si="0" ref="E6:E42">IF(SUM($B6:$D6)&lt;0,SUM($B6:$D6),0)</f>
        <v>-1387456200</v>
      </c>
      <c r="F6" s="86">
        <v>25643726888.96</v>
      </c>
      <c r="G6" s="86">
        <v>11769164288.96</v>
      </c>
      <c r="H6" s="50">
        <f>$F6-$G6</f>
        <v>13874562600</v>
      </c>
      <c r="I6" s="50">
        <f>-$E6/$H6*100</f>
        <v>9.999999567553935</v>
      </c>
    </row>
    <row r="7" spans="1:9" ht="15">
      <c r="A7" s="69" t="s">
        <v>1</v>
      </c>
      <c r="B7" s="80">
        <v>-779902400.22</v>
      </c>
      <c r="C7" s="80">
        <v>170062400.22</v>
      </c>
      <c r="D7" s="80">
        <v>0</v>
      </c>
      <c r="E7" s="80">
        <f t="shared" si="0"/>
        <v>-609840000</v>
      </c>
      <c r="F7" s="86">
        <v>12517749324.29</v>
      </c>
      <c r="G7" s="86">
        <v>6328402324.29</v>
      </c>
      <c r="H7" s="50">
        <f aca="true" t="shared" si="1" ref="H7:H42">$F7-$G7</f>
        <v>6189347000.000001</v>
      </c>
      <c r="I7" s="50">
        <f aca="true" t="shared" si="2" ref="I7:I42">-$E7/$H7*100</f>
        <v>9.85305881218164</v>
      </c>
    </row>
    <row r="8" spans="1:9" ht="15">
      <c r="A8" s="69" t="s">
        <v>2</v>
      </c>
      <c r="B8" s="80">
        <v>-3077387.86</v>
      </c>
      <c r="C8" s="80">
        <v>11081578.27</v>
      </c>
      <c r="D8" s="80">
        <v>0</v>
      </c>
      <c r="E8" s="80">
        <f t="shared" si="0"/>
        <v>0</v>
      </c>
      <c r="F8" s="86">
        <v>2121074286.82</v>
      </c>
      <c r="G8" s="86">
        <v>869494786.82</v>
      </c>
      <c r="H8" s="50">
        <f t="shared" si="1"/>
        <v>1251579500</v>
      </c>
      <c r="I8" s="50">
        <f t="shared" si="2"/>
        <v>0</v>
      </c>
    </row>
    <row r="9" spans="1:9" ht="15">
      <c r="A9" s="69" t="s">
        <v>3</v>
      </c>
      <c r="B9" s="80">
        <v>-345339656.56</v>
      </c>
      <c r="C9" s="80">
        <v>271046656.56</v>
      </c>
      <c r="D9" s="80">
        <v>0</v>
      </c>
      <c r="E9" s="80">
        <f t="shared" si="0"/>
        <v>-74293000</v>
      </c>
      <c r="F9" s="86">
        <v>1531126478.05</v>
      </c>
      <c r="G9" s="86">
        <v>366419478.05</v>
      </c>
      <c r="H9" s="50">
        <f t="shared" si="1"/>
        <v>1164707000</v>
      </c>
      <c r="I9" s="50">
        <f t="shared" si="2"/>
        <v>6.3786857982308005</v>
      </c>
    </row>
    <row r="10" spans="1:9" ht="15">
      <c r="A10" s="69" t="s">
        <v>4</v>
      </c>
      <c r="B10" s="80">
        <v>-65221007.14</v>
      </c>
      <c r="C10" s="80">
        <v>228221007.14</v>
      </c>
      <c r="D10" s="80">
        <v>0</v>
      </c>
      <c r="E10" s="80">
        <f t="shared" si="0"/>
        <v>0</v>
      </c>
      <c r="F10" s="86">
        <v>944479181.41</v>
      </c>
      <c r="G10" s="86">
        <v>613761844.33</v>
      </c>
      <c r="H10" s="50">
        <f t="shared" si="1"/>
        <v>330717337.0799999</v>
      </c>
      <c r="I10" s="50">
        <f t="shared" si="2"/>
        <v>0</v>
      </c>
    </row>
    <row r="11" spans="1:9" ht="15">
      <c r="A11" s="69" t="s">
        <v>5</v>
      </c>
      <c r="B11" s="80">
        <v>-37578911.19</v>
      </c>
      <c r="C11" s="80">
        <v>59070911.19</v>
      </c>
      <c r="D11" s="80">
        <v>0</v>
      </c>
      <c r="E11" s="80">
        <f t="shared" si="0"/>
        <v>0</v>
      </c>
      <c r="F11" s="86">
        <v>590299699.55</v>
      </c>
      <c r="G11" s="86">
        <v>194075699.55</v>
      </c>
      <c r="H11" s="50">
        <f t="shared" si="1"/>
        <v>396223999.99999994</v>
      </c>
      <c r="I11" s="50">
        <f t="shared" si="2"/>
        <v>0</v>
      </c>
    </row>
    <row r="12" spans="1:9" ht="15">
      <c r="A12" s="69" t="s">
        <v>6</v>
      </c>
      <c r="B12" s="80">
        <v>-374878174.74</v>
      </c>
      <c r="C12" s="80">
        <v>387878174.74</v>
      </c>
      <c r="D12" s="80">
        <v>0</v>
      </c>
      <c r="E12" s="80">
        <f t="shared" si="0"/>
        <v>0</v>
      </c>
      <c r="F12" s="86">
        <v>986380789.86</v>
      </c>
      <c r="G12" s="86">
        <v>595947341.07</v>
      </c>
      <c r="H12" s="50">
        <f t="shared" si="1"/>
        <v>390433448.78999996</v>
      </c>
      <c r="I12" s="50">
        <f t="shared" si="2"/>
        <v>0</v>
      </c>
    </row>
    <row r="13" spans="1:9" ht="15">
      <c r="A13" s="69" t="s">
        <v>7</v>
      </c>
      <c r="B13" s="80">
        <v>-13312987.54</v>
      </c>
      <c r="C13" s="80">
        <v>2403487.54</v>
      </c>
      <c r="D13" s="80">
        <v>0</v>
      </c>
      <c r="E13" s="80">
        <f t="shared" si="0"/>
        <v>-10909500</v>
      </c>
      <c r="F13" s="86">
        <v>412433521.09</v>
      </c>
      <c r="G13" s="86">
        <v>291217308.63</v>
      </c>
      <c r="H13" s="50">
        <f t="shared" si="1"/>
        <v>121216212.45999998</v>
      </c>
      <c r="I13" s="50">
        <f t="shared" si="2"/>
        <v>9.000033723706732</v>
      </c>
    </row>
    <row r="14" spans="1:9" ht="15">
      <c r="A14" s="69" t="s">
        <v>8</v>
      </c>
      <c r="B14" s="80">
        <v>-9195438.67</v>
      </c>
      <c r="C14" s="80"/>
      <c r="D14" s="80">
        <v>0</v>
      </c>
      <c r="E14" s="80">
        <f t="shared" si="0"/>
        <v>-9195438.67</v>
      </c>
      <c r="F14" s="86">
        <v>793921654</v>
      </c>
      <c r="G14" s="86">
        <v>337817654</v>
      </c>
      <c r="H14" s="50">
        <f t="shared" si="1"/>
        <v>456104000</v>
      </c>
      <c r="I14" s="50">
        <f t="shared" si="2"/>
        <v>2.0160837594057495</v>
      </c>
    </row>
    <row r="15" spans="1:9" ht="15">
      <c r="A15" s="69" t="s">
        <v>9</v>
      </c>
      <c r="B15" s="80">
        <v>-47670395.75</v>
      </c>
      <c r="C15" s="80">
        <v>47670395.75</v>
      </c>
      <c r="D15" s="80">
        <v>0</v>
      </c>
      <c r="E15" s="80">
        <f t="shared" si="0"/>
        <v>0</v>
      </c>
      <c r="F15" s="86">
        <v>698710814.26</v>
      </c>
      <c r="G15" s="86">
        <v>511608814.26</v>
      </c>
      <c r="H15" s="50">
        <f t="shared" si="1"/>
        <v>187102000</v>
      </c>
      <c r="I15" s="50">
        <f t="shared" si="2"/>
        <v>0</v>
      </c>
    </row>
    <row r="16" spans="1:9" ht="15">
      <c r="A16" s="69" t="s">
        <v>10</v>
      </c>
      <c r="B16" s="80">
        <v>-9698319.5</v>
      </c>
      <c r="C16" s="80">
        <v>9698319.5</v>
      </c>
      <c r="D16" s="80">
        <v>0</v>
      </c>
      <c r="E16" s="80">
        <f t="shared" si="0"/>
        <v>0</v>
      </c>
      <c r="F16" s="86">
        <v>130535808.15</v>
      </c>
      <c r="G16" s="86">
        <v>96487108.15</v>
      </c>
      <c r="H16" s="50">
        <f t="shared" si="1"/>
        <v>34048700</v>
      </c>
      <c r="I16" s="50">
        <f t="shared" si="2"/>
        <v>0</v>
      </c>
    </row>
    <row r="17" spans="1:9" ht="15">
      <c r="A17" s="69" t="s">
        <v>11</v>
      </c>
      <c r="B17" s="80">
        <v>-34956544.43</v>
      </c>
      <c r="C17" s="80">
        <v>34956544.43</v>
      </c>
      <c r="D17" s="80">
        <v>0</v>
      </c>
      <c r="E17" s="80">
        <f t="shared" si="0"/>
        <v>0</v>
      </c>
      <c r="F17" s="86">
        <v>455822831.02</v>
      </c>
      <c r="G17" s="86">
        <v>300128831.02</v>
      </c>
      <c r="H17" s="50">
        <f t="shared" si="1"/>
        <v>155694000</v>
      </c>
      <c r="I17" s="50">
        <f t="shared" si="2"/>
        <v>0</v>
      </c>
    </row>
    <row r="18" spans="1:9" ht="15">
      <c r="A18" s="69" t="s">
        <v>12</v>
      </c>
      <c r="B18" s="80">
        <v>7301248.81</v>
      </c>
      <c r="C18" s="80"/>
      <c r="D18" s="80">
        <v>0</v>
      </c>
      <c r="E18" s="80">
        <f t="shared" si="0"/>
        <v>0</v>
      </c>
      <c r="F18" s="86">
        <v>185377747.77</v>
      </c>
      <c r="G18" s="86">
        <v>126581686.77</v>
      </c>
      <c r="H18" s="50">
        <f t="shared" si="1"/>
        <v>58796061.000000015</v>
      </c>
      <c r="I18" s="50">
        <f t="shared" si="2"/>
        <v>0</v>
      </c>
    </row>
    <row r="19" spans="1:9" ht="15">
      <c r="A19" s="69" t="s">
        <v>13</v>
      </c>
      <c r="B19" s="80">
        <v>-19208026.02</v>
      </c>
      <c r="C19" s="80">
        <v>14287026.02</v>
      </c>
      <c r="D19" s="80">
        <v>0</v>
      </c>
      <c r="E19" s="80">
        <f t="shared" si="0"/>
        <v>-4921000</v>
      </c>
      <c r="F19" s="86">
        <v>380102840.89</v>
      </c>
      <c r="G19" s="86">
        <v>280102940.89</v>
      </c>
      <c r="H19" s="50">
        <f t="shared" si="1"/>
        <v>99999900</v>
      </c>
      <c r="I19" s="50">
        <f t="shared" si="2"/>
        <v>4.921004921004921</v>
      </c>
    </row>
    <row r="20" spans="1:9" ht="15">
      <c r="A20" s="69" t="s">
        <v>14</v>
      </c>
      <c r="B20" s="80">
        <v>-2046610.86</v>
      </c>
      <c r="C20" s="80">
        <v>2046610.86</v>
      </c>
      <c r="D20" s="80">
        <v>0</v>
      </c>
      <c r="E20" s="80">
        <f t="shared" si="0"/>
        <v>0</v>
      </c>
      <c r="F20" s="86">
        <v>205844905.86</v>
      </c>
      <c r="G20" s="86">
        <v>124732973.86</v>
      </c>
      <c r="H20" s="50">
        <f t="shared" si="1"/>
        <v>81111932.00000001</v>
      </c>
      <c r="I20" s="50">
        <f t="shared" si="2"/>
        <v>0</v>
      </c>
    </row>
    <row r="21" spans="1:9" ht="15">
      <c r="A21" s="69" t="s">
        <v>15</v>
      </c>
      <c r="B21" s="80">
        <v>-18484472.77</v>
      </c>
      <c r="C21" s="80">
        <v>18484472.77</v>
      </c>
      <c r="D21" s="80">
        <v>0</v>
      </c>
      <c r="E21" s="80">
        <f t="shared" si="0"/>
        <v>0</v>
      </c>
      <c r="F21" s="86">
        <v>479193721.28</v>
      </c>
      <c r="G21" s="86">
        <v>422506721.28</v>
      </c>
      <c r="H21" s="50">
        <f t="shared" si="1"/>
        <v>56687000</v>
      </c>
      <c r="I21" s="50">
        <f t="shared" si="2"/>
        <v>0</v>
      </c>
    </row>
    <row r="22" spans="1:9" ht="15">
      <c r="A22" s="69" t="s">
        <v>16</v>
      </c>
      <c r="B22" s="80">
        <v>-165230650</v>
      </c>
      <c r="C22" s="80">
        <v>159197314</v>
      </c>
      <c r="D22" s="80">
        <v>0</v>
      </c>
      <c r="E22" s="80">
        <f t="shared" si="0"/>
        <v>-6033336</v>
      </c>
      <c r="F22" s="86">
        <v>2325059497.44</v>
      </c>
      <c r="G22" s="86">
        <v>1696781462.97</v>
      </c>
      <c r="H22" s="50">
        <f t="shared" si="1"/>
        <v>628278034.47</v>
      </c>
      <c r="I22" s="50">
        <f t="shared" si="2"/>
        <v>0.9602971405947011</v>
      </c>
    </row>
    <row r="23" spans="1:9" ht="15">
      <c r="A23" s="69" t="s">
        <v>17</v>
      </c>
      <c r="B23" s="80">
        <v>-3619283.93</v>
      </c>
      <c r="C23" s="80">
        <v>502690.93</v>
      </c>
      <c r="D23" s="80">
        <v>0</v>
      </c>
      <c r="E23" s="80">
        <f t="shared" si="0"/>
        <v>-3116593</v>
      </c>
      <c r="F23" s="86">
        <v>102114473.13</v>
      </c>
      <c r="G23" s="86">
        <v>68600181.13</v>
      </c>
      <c r="H23" s="50">
        <f t="shared" si="1"/>
        <v>33514292</v>
      </c>
      <c r="I23" s="50">
        <f t="shared" si="2"/>
        <v>9.29929535733591</v>
      </c>
    </row>
    <row r="24" spans="1:9" ht="15">
      <c r="A24" s="69" t="s">
        <v>18</v>
      </c>
      <c r="B24" s="80">
        <v>-2148828.2</v>
      </c>
      <c r="C24" s="80">
        <v>182828.2</v>
      </c>
      <c r="D24" s="80">
        <v>0</v>
      </c>
      <c r="E24" s="80">
        <f t="shared" si="0"/>
        <v>-1966000.0000000002</v>
      </c>
      <c r="F24" s="86">
        <v>184522670</v>
      </c>
      <c r="G24" s="86">
        <v>139931670</v>
      </c>
      <c r="H24" s="50">
        <f t="shared" si="1"/>
        <v>44591000</v>
      </c>
      <c r="I24" s="50">
        <f t="shared" si="2"/>
        <v>4.408961449619879</v>
      </c>
    </row>
    <row r="25" spans="1:9" ht="15">
      <c r="A25" s="69" t="s">
        <v>19</v>
      </c>
      <c r="B25" s="80">
        <v>-52784451.63</v>
      </c>
      <c r="C25" s="80">
        <v>52384451.63</v>
      </c>
      <c r="D25" s="80">
        <v>0</v>
      </c>
      <c r="E25" s="80">
        <f t="shared" si="0"/>
        <v>-400000</v>
      </c>
      <c r="F25" s="86">
        <v>416823604.26</v>
      </c>
      <c r="G25" s="86">
        <v>228880890.26</v>
      </c>
      <c r="H25" s="50">
        <f t="shared" si="1"/>
        <v>187942714</v>
      </c>
      <c r="I25" s="50">
        <f t="shared" si="2"/>
        <v>0.2128308097115167</v>
      </c>
    </row>
    <row r="26" spans="1:9" ht="15">
      <c r="A26" s="69" t="s">
        <v>20</v>
      </c>
      <c r="B26" s="80">
        <v>-95766701</v>
      </c>
      <c r="C26" s="80">
        <v>95766701</v>
      </c>
      <c r="D26" s="80">
        <v>0</v>
      </c>
      <c r="E26" s="80">
        <f t="shared" si="0"/>
        <v>0</v>
      </c>
      <c r="F26" s="86">
        <v>421587822</v>
      </c>
      <c r="G26" s="86">
        <v>194229663.7</v>
      </c>
      <c r="H26" s="50">
        <f t="shared" si="1"/>
        <v>227358158.3</v>
      </c>
      <c r="I26" s="50">
        <f t="shared" si="2"/>
        <v>0</v>
      </c>
    </row>
    <row r="27" spans="1:9" ht="15">
      <c r="A27" s="69" t="s">
        <v>21</v>
      </c>
      <c r="B27" s="80">
        <v>-15598106.21</v>
      </c>
      <c r="C27" s="80">
        <v>15598106.21</v>
      </c>
      <c r="D27" s="80">
        <v>0</v>
      </c>
      <c r="E27" s="80">
        <f t="shared" si="0"/>
        <v>0</v>
      </c>
      <c r="F27" s="86">
        <v>232748092.35</v>
      </c>
      <c r="G27" s="86">
        <v>148271092.35</v>
      </c>
      <c r="H27" s="50">
        <f t="shared" si="1"/>
        <v>84477000</v>
      </c>
      <c r="I27" s="50">
        <f t="shared" si="2"/>
        <v>0</v>
      </c>
    </row>
    <row r="28" spans="1:9" ht="15">
      <c r="A28" s="69" t="s">
        <v>22</v>
      </c>
      <c r="B28" s="80">
        <v>1141153.11</v>
      </c>
      <c r="C28" s="80"/>
      <c r="D28" s="80">
        <v>0</v>
      </c>
      <c r="E28" s="80">
        <f t="shared" si="0"/>
        <v>0</v>
      </c>
      <c r="F28" s="86">
        <v>330174375.28</v>
      </c>
      <c r="G28" s="86">
        <v>244830422.28</v>
      </c>
      <c r="H28" s="50">
        <f t="shared" si="1"/>
        <v>85343952.99999997</v>
      </c>
      <c r="I28" s="50">
        <f t="shared" si="2"/>
        <v>0</v>
      </c>
    </row>
    <row r="29" spans="1:9" ht="15">
      <c r="A29" s="69" t="s">
        <v>23</v>
      </c>
      <c r="B29" s="80">
        <v>-66899042.35</v>
      </c>
      <c r="C29" s="80">
        <v>69663042.35</v>
      </c>
      <c r="D29" s="80">
        <v>0</v>
      </c>
      <c r="E29" s="80">
        <f t="shared" si="0"/>
        <v>0</v>
      </c>
      <c r="F29" s="86">
        <v>386728663.8</v>
      </c>
      <c r="G29" s="86">
        <v>301323991.8</v>
      </c>
      <c r="H29" s="50">
        <f t="shared" si="1"/>
        <v>85404672</v>
      </c>
      <c r="I29" s="50">
        <f t="shared" si="2"/>
        <v>0</v>
      </c>
    </row>
    <row r="30" spans="1:9" ht="15">
      <c r="A30" s="69" t="s">
        <v>24</v>
      </c>
      <c r="B30" s="80">
        <v>-38584121.73</v>
      </c>
      <c r="C30" s="80">
        <v>38584121.73</v>
      </c>
      <c r="D30" s="80">
        <v>0</v>
      </c>
      <c r="E30" s="80">
        <f t="shared" si="0"/>
        <v>0</v>
      </c>
      <c r="F30" s="86">
        <v>560336349.14</v>
      </c>
      <c r="G30" s="86">
        <v>285294349.14</v>
      </c>
      <c r="H30" s="50">
        <f t="shared" si="1"/>
        <v>275042000</v>
      </c>
      <c r="I30" s="50">
        <f t="shared" si="2"/>
        <v>0</v>
      </c>
    </row>
    <row r="31" spans="1:9" ht="15">
      <c r="A31" s="69" t="s">
        <v>25</v>
      </c>
      <c r="B31" s="80">
        <v>-231384.65</v>
      </c>
      <c r="C31" s="80">
        <v>1019384.65</v>
      </c>
      <c r="D31" s="80">
        <v>0</v>
      </c>
      <c r="E31" s="80">
        <f t="shared" si="0"/>
        <v>0</v>
      </c>
      <c r="F31" s="86">
        <v>115939546.84</v>
      </c>
      <c r="G31" s="86">
        <v>91306984.84</v>
      </c>
      <c r="H31" s="50">
        <f t="shared" si="1"/>
        <v>24632562</v>
      </c>
      <c r="I31" s="50">
        <f t="shared" si="2"/>
        <v>0</v>
      </c>
    </row>
    <row r="32" spans="1:9" ht="15">
      <c r="A32" s="69" t="s">
        <v>26</v>
      </c>
      <c r="B32" s="80">
        <v>-25225293.91</v>
      </c>
      <c r="C32" s="80">
        <v>18498293.91</v>
      </c>
      <c r="D32" s="80">
        <v>0</v>
      </c>
      <c r="E32" s="80">
        <f t="shared" si="0"/>
        <v>-6727000</v>
      </c>
      <c r="F32" s="86">
        <v>335404778.26</v>
      </c>
      <c r="G32" s="86">
        <v>165201778.26</v>
      </c>
      <c r="H32" s="50">
        <f t="shared" si="1"/>
        <v>170203000</v>
      </c>
      <c r="I32" s="50">
        <f t="shared" si="2"/>
        <v>3.9523392654653557</v>
      </c>
    </row>
    <row r="33" spans="1:9" ht="15">
      <c r="A33" s="69" t="s">
        <v>27</v>
      </c>
      <c r="B33" s="80">
        <v>-15684833.3</v>
      </c>
      <c r="C33" s="80">
        <v>15684833.3</v>
      </c>
      <c r="D33" s="80">
        <v>0</v>
      </c>
      <c r="E33" s="80">
        <f t="shared" si="0"/>
        <v>0</v>
      </c>
      <c r="F33" s="86">
        <v>320556983.21</v>
      </c>
      <c r="G33" s="86">
        <v>244976983.21</v>
      </c>
      <c r="H33" s="50">
        <f t="shared" si="1"/>
        <v>75579999.99999997</v>
      </c>
      <c r="I33" s="50">
        <f t="shared" si="2"/>
        <v>0</v>
      </c>
    </row>
    <row r="34" spans="1:9" ht="15">
      <c r="A34" s="69" t="s">
        <v>28</v>
      </c>
      <c r="B34" s="80">
        <v>-9948155.7</v>
      </c>
      <c r="C34" s="80">
        <v>9948155.7</v>
      </c>
      <c r="D34" s="80">
        <v>0</v>
      </c>
      <c r="E34" s="80">
        <f t="shared" si="0"/>
        <v>0</v>
      </c>
      <c r="F34" s="86">
        <v>379258405.22</v>
      </c>
      <c r="G34" s="86">
        <v>298211405.22</v>
      </c>
      <c r="H34" s="50">
        <f t="shared" si="1"/>
        <v>81047000</v>
      </c>
      <c r="I34" s="50">
        <f t="shared" si="2"/>
        <v>0</v>
      </c>
    </row>
    <row r="35" spans="1:9" ht="15">
      <c r="A35" s="69" t="s">
        <v>29</v>
      </c>
      <c r="B35" s="80">
        <v>5682456.6</v>
      </c>
      <c r="C35" s="80">
        <v>2219543.4</v>
      </c>
      <c r="D35" s="80">
        <v>0</v>
      </c>
      <c r="E35" s="80">
        <f t="shared" si="0"/>
        <v>0</v>
      </c>
      <c r="F35" s="86">
        <v>242969629.4</v>
      </c>
      <c r="G35" s="86">
        <v>174491869.4</v>
      </c>
      <c r="H35" s="50">
        <f t="shared" si="1"/>
        <v>68477760</v>
      </c>
      <c r="I35" s="50">
        <f t="shared" si="2"/>
        <v>0</v>
      </c>
    </row>
    <row r="36" spans="1:9" ht="15">
      <c r="A36" s="69" t="s">
        <v>30</v>
      </c>
      <c r="B36" s="80">
        <v>-30162377.42</v>
      </c>
      <c r="C36" s="80">
        <v>13152627.42</v>
      </c>
      <c r="D36" s="80">
        <v>0</v>
      </c>
      <c r="E36" s="80">
        <f t="shared" si="0"/>
        <v>-17009750</v>
      </c>
      <c r="F36" s="86">
        <v>856582232.53</v>
      </c>
      <c r="G36" s="86">
        <v>565043823.12</v>
      </c>
      <c r="H36" s="50">
        <f t="shared" si="1"/>
        <v>291538409.40999997</v>
      </c>
      <c r="I36" s="50">
        <f t="shared" si="2"/>
        <v>5.834479935053303</v>
      </c>
    </row>
    <row r="37" spans="1:9" ht="15">
      <c r="A37" s="69" t="s">
        <v>31</v>
      </c>
      <c r="B37" s="80">
        <v>-38467596.4</v>
      </c>
      <c r="C37" s="80">
        <v>38467596.4</v>
      </c>
      <c r="D37" s="80">
        <v>0</v>
      </c>
      <c r="E37" s="80">
        <f t="shared" si="0"/>
        <v>0</v>
      </c>
      <c r="F37" s="86">
        <v>874470352.66</v>
      </c>
      <c r="G37" s="86">
        <v>516445352.66</v>
      </c>
      <c r="H37" s="50">
        <f t="shared" si="1"/>
        <v>358024999.99999994</v>
      </c>
      <c r="I37" s="50">
        <f t="shared" si="2"/>
        <v>0</v>
      </c>
    </row>
    <row r="38" spans="1:9" ht="15">
      <c r="A38" s="69" t="s">
        <v>32</v>
      </c>
      <c r="B38" s="80">
        <v>-12415298.71</v>
      </c>
      <c r="C38" s="80">
        <v>17415298.71</v>
      </c>
      <c r="D38" s="80">
        <v>0</v>
      </c>
      <c r="E38" s="80">
        <f t="shared" si="0"/>
        <v>0</v>
      </c>
      <c r="F38" s="86">
        <v>284018520.2</v>
      </c>
      <c r="G38" s="86">
        <v>165518377.66</v>
      </c>
      <c r="H38" s="50">
        <f t="shared" si="1"/>
        <v>118500142.53999999</v>
      </c>
      <c r="I38" s="50">
        <f t="shared" si="2"/>
        <v>0</v>
      </c>
    </row>
    <row r="39" spans="1:9" ht="15">
      <c r="A39" s="69" t="s">
        <v>33</v>
      </c>
      <c r="B39" s="80">
        <v>5372053.03</v>
      </c>
      <c r="C39" s="80">
        <v>3056196.97</v>
      </c>
      <c r="D39" s="80">
        <v>0</v>
      </c>
      <c r="E39" s="80">
        <f t="shared" si="0"/>
        <v>0</v>
      </c>
      <c r="F39" s="86">
        <v>204047125.23</v>
      </c>
      <c r="G39" s="86">
        <v>149893125.23</v>
      </c>
      <c r="H39" s="50">
        <f t="shared" si="1"/>
        <v>54154000</v>
      </c>
      <c r="I39" s="50">
        <f t="shared" si="2"/>
        <v>0</v>
      </c>
    </row>
    <row r="40" spans="1:9" ht="15">
      <c r="A40" s="69" t="s">
        <v>34</v>
      </c>
      <c r="B40" s="80">
        <v>-16440432.36</v>
      </c>
      <c r="C40" s="80">
        <v>16440432.36</v>
      </c>
      <c r="D40" s="80">
        <v>0</v>
      </c>
      <c r="E40" s="80">
        <f t="shared" si="0"/>
        <v>0</v>
      </c>
      <c r="F40" s="86">
        <v>278327556.75</v>
      </c>
      <c r="G40" s="86">
        <v>231637624.75</v>
      </c>
      <c r="H40" s="50">
        <f t="shared" si="1"/>
        <v>46689932</v>
      </c>
      <c r="I40" s="50">
        <f t="shared" si="2"/>
        <v>0</v>
      </c>
    </row>
    <row r="41" spans="1:9" ht="15">
      <c r="A41" s="69" t="s">
        <v>35</v>
      </c>
      <c r="B41" s="80">
        <v>-4954700</v>
      </c>
      <c r="C41" s="80">
        <v>4791700</v>
      </c>
      <c r="D41" s="80">
        <v>0</v>
      </c>
      <c r="E41" s="80">
        <f t="shared" si="0"/>
        <v>-163000</v>
      </c>
      <c r="F41" s="86">
        <v>200165979.1</v>
      </c>
      <c r="G41" s="86">
        <v>150969360.3</v>
      </c>
      <c r="H41" s="50">
        <f t="shared" si="1"/>
        <v>49196618.79999998</v>
      </c>
      <c r="I41" s="50">
        <f t="shared" si="2"/>
        <v>0.3313235827499593</v>
      </c>
    </row>
    <row r="42" spans="1:9" ht="15">
      <c r="A42" s="69" t="s">
        <v>36</v>
      </c>
      <c r="B42" s="28">
        <v>-20897890.92</v>
      </c>
      <c r="C42" s="28">
        <v>23397890.92</v>
      </c>
      <c r="D42" s="28">
        <v>0</v>
      </c>
      <c r="E42" s="28">
        <f t="shared" si="0"/>
        <v>0</v>
      </c>
      <c r="F42" s="27">
        <v>234766416.54</v>
      </c>
      <c r="G42" s="27">
        <v>164802413.54</v>
      </c>
      <c r="H42" s="50">
        <f t="shared" si="1"/>
        <v>69964003</v>
      </c>
      <c r="I42" s="50">
        <f t="shared" si="2"/>
        <v>0</v>
      </c>
    </row>
    <row r="43" spans="1:9" s="72" customFormat="1" ht="15">
      <c r="A43" s="14" t="s">
        <v>44</v>
      </c>
      <c r="B43" s="70">
        <f>SUM(B$6:B$42)</f>
        <v>-4196301257.5699997</v>
      </c>
      <c r="C43" s="70">
        <f aca="true" t="shared" si="3" ref="C43:H43">SUM(C$6:C$42)</f>
        <v>2305591282.2300005</v>
      </c>
      <c r="D43" s="70">
        <f t="shared" si="3"/>
        <v>0</v>
      </c>
      <c r="E43" s="70">
        <f t="shared" si="3"/>
        <v>-2132030817.67</v>
      </c>
      <c r="F43" s="70">
        <f t="shared" si="3"/>
        <v>57363383566.600006</v>
      </c>
      <c r="G43" s="70">
        <f t="shared" si="3"/>
        <v>29455092623.749996</v>
      </c>
      <c r="H43" s="70">
        <f t="shared" si="3"/>
        <v>27908290942.850002</v>
      </c>
      <c r="I43" s="71"/>
    </row>
    <row r="45" spans="5:8" ht="15">
      <c r="E45" s="40"/>
      <c r="H45" s="40">
        <f>$F$43-$G$43-$H$43</f>
        <v>0</v>
      </c>
    </row>
  </sheetData>
  <sheetProtection/>
  <mergeCells count="5">
    <mergeCell ref="A1:I1"/>
    <mergeCell ref="A3:A4"/>
    <mergeCell ref="B3:E3"/>
    <mergeCell ref="F3:H3"/>
    <mergeCell ref="I3:I4"/>
  </mergeCells>
  <printOptions horizontalCentered="1"/>
  <pageMargins left="0.23" right="0.15748031496062992" top="0.15748031496062992" bottom="0.15748031496062992" header="0.15748031496062992" footer="0.1574803149606299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view="pageBreakPreview" zoomScaleSheetLayoutView="100" zoomScalePageLayoutView="0" workbookViewId="0" topLeftCell="A16">
      <selection activeCell="A3" sqref="A3:A4"/>
    </sheetView>
  </sheetViews>
  <sheetFormatPr defaultColWidth="8.7109375" defaultRowHeight="15"/>
  <cols>
    <col min="1" max="1" width="24.421875" style="26" customWidth="1"/>
    <col min="2" max="2" width="19.28125" style="26" customWidth="1"/>
    <col min="3" max="3" width="17.28125" style="26" bestFit="1" customWidth="1"/>
    <col min="4" max="4" width="19.421875" style="26" customWidth="1"/>
    <col min="5" max="5" width="17.8515625" style="26" customWidth="1"/>
    <col min="6" max="6" width="19.28125" style="26" customWidth="1"/>
    <col min="7" max="7" width="20.00390625" style="26" customWidth="1"/>
    <col min="8" max="8" width="22.421875" style="26" customWidth="1"/>
    <col min="9" max="16384" width="8.7109375" style="26" customWidth="1"/>
  </cols>
  <sheetData>
    <row r="1" spans="1:8" ht="27" customHeight="1">
      <c r="A1" s="103" t="s">
        <v>158</v>
      </c>
      <c r="B1" s="103"/>
      <c r="C1" s="103"/>
      <c r="D1" s="103"/>
      <c r="E1" s="103"/>
      <c r="F1" s="103"/>
      <c r="G1" s="103"/>
      <c r="H1" s="103"/>
    </row>
    <row r="2" ht="15">
      <c r="A2" s="26" t="s">
        <v>151</v>
      </c>
    </row>
    <row r="3" spans="1:8" s="31" customFormat="1" ht="24.75" customHeight="1">
      <c r="A3" s="104" t="s">
        <v>39</v>
      </c>
      <c r="B3" s="104" t="s">
        <v>239</v>
      </c>
      <c r="C3" s="104"/>
      <c r="D3" s="104"/>
      <c r="E3" s="104" t="s">
        <v>235</v>
      </c>
      <c r="F3" s="104"/>
      <c r="G3" s="104"/>
      <c r="H3" s="104" t="s">
        <v>157</v>
      </c>
    </row>
    <row r="4" spans="1:8" s="31" customFormat="1" ht="129" customHeight="1">
      <c r="A4" s="104"/>
      <c r="B4" s="23" t="s">
        <v>184</v>
      </c>
      <c r="C4" s="23" t="s">
        <v>148</v>
      </c>
      <c r="D4" s="23" t="s">
        <v>203</v>
      </c>
      <c r="E4" s="23" t="s">
        <v>92</v>
      </c>
      <c r="F4" s="23" t="s">
        <v>99</v>
      </c>
      <c r="G4" s="23" t="s">
        <v>93</v>
      </c>
      <c r="H4" s="104"/>
    </row>
    <row r="5" spans="1:8" s="29" customFormat="1" ht="15">
      <c r="A5" s="30">
        <v>1</v>
      </c>
      <c r="B5" s="30">
        <v>2</v>
      </c>
      <c r="C5" s="30">
        <v>3</v>
      </c>
      <c r="D5" s="30" t="s">
        <v>142</v>
      </c>
      <c r="E5" s="30">
        <v>5</v>
      </c>
      <c r="F5" s="30">
        <v>6</v>
      </c>
      <c r="G5" s="30" t="s">
        <v>149</v>
      </c>
      <c r="H5" s="30" t="s">
        <v>155</v>
      </c>
    </row>
    <row r="6" spans="1:8" ht="15">
      <c r="A6" s="69" t="s">
        <v>0</v>
      </c>
      <c r="B6" s="86">
        <v>6986213000</v>
      </c>
      <c r="C6" s="86">
        <v>1256213000</v>
      </c>
      <c r="D6" s="80">
        <f>$B6-$C6</f>
        <v>5730000000</v>
      </c>
      <c r="E6" s="86">
        <v>25643726888.96</v>
      </c>
      <c r="F6" s="86">
        <v>11769164288.96</v>
      </c>
      <c r="G6" s="50">
        <f>$E6-$F6</f>
        <v>13874562600</v>
      </c>
      <c r="H6" s="50">
        <f>$D6/$G6*100</f>
        <v>41.29859920773286</v>
      </c>
    </row>
    <row r="7" spans="1:8" ht="15">
      <c r="A7" s="69" t="s">
        <v>1</v>
      </c>
      <c r="B7" s="86">
        <v>5553418379.03</v>
      </c>
      <c r="C7" s="86">
        <v>687378000</v>
      </c>
      <c r="D7" s="80">
        <f aca="true" t="shared" si="0" ref="D7:D42">$B7-$C7</f>
        <v>4866040379.03</v>
      </c>
      <c r="E7" s="86">
        <v>12517749324.29</v>
      </c>
      <c r="F7" s="86">
        <v>6328402324.29</v>
      </c>
      <c r="G7" s="50">
        <f aca="true" t="shared" si="1" ref="G7:G42">$E7-$F7</f>
        <v>6189347000.000001</v>
      </c>
      <c r="H7" s="50">
        <f aca="true" t="shared" si="2" ref="H7:H42">$D7/$G7*100</f>
        <v>78.61960848260728</v>
      </c>
    </row>
    <row r="8" spans="1:8" ht="15">
      <c r="A8" s="69" t="s">
        <v>2</v>
      </c>
      <c r="B8" s="86">
        <v>107530700</v>
      </c>
      <c r="C8" s="86">
        <v>107530700</v>
      </c>
      <c r="D8" s="80">
        <f t="shared" si="0"/>
        <v>0</v>
      </c>
      <c r="E8" s="86">
        <v>2121074286.82</v>
      </c>
      <c r="F8" s="86">
        <v>869494786.82</v>
      </c>
      <c r="G8" s="50">
        <f t="shared" si="1"/>
        <v>1251579500</v>
      </c>
      <c r="H8" s="50">
        <f t="shared" si="2"/>
        <v>0</v>
      </c>
    </row>
    <row r="9" spans="1:8" ht="15">
      <c r="A9" s="69" t="s">
        <v>3</v>
      </c>
      <c r="B9" s="86">
        <v>100707000</v>
      </c>
      <c r="C9" s="86">
        <v>100707000</v>
      </c>
      <c r="D9" s="80">
        <f t="shared" si="0"/>
        <v>0</v>
      </c>
      <c r="E9" s="86">
        <v>1531126478.05</v>
      </c>
      <c r="F9" s="86">
        <v>366419478.05</v>
      </c>
      <c r="G9" s="50">
        <f t="shared" si="1"/>
        <v>1164707000</v>
      </c>
      <c r="H9" s="50">
        <f t="shared" si="2"/>
        <v>0</v>
      </c>
    </row>
    <row r="10" spans="1:8" ht="15">
      <c r="A10" s="69" t="s">
        <v>4</v>
      </c>
      <c r="B10" s="86">
        <v>128000000</v>
      </c>
      <c r="C10" s="86">
        <v>0</v>
      </c>
      <c r="D10" s="80">
        <f t="shared" si="0"/>
        <v>128000000</v>
      </c>
      <c r="E10" s="86">
        <v>944479181.41</v>
      </c>
      <c r="F10" s="86">
        <v>613761844.33</v>
      </c>
      <c r="G10" s="50">
        <f t="shared" si="1"/>
        <v>330717337.0799999</v>
      </c>
      <c r="H10" s="50">
        <f t="shared" si="2"/>
        <v>38.70374656803584</v>
      </c>
    </row>
    <row r="11" spans="1:8" ht="15">
      <c r="A11" s="69" t="s">
        <v>5</v>
      </c>
      <c r="B11" s="86">
        <v>25535000</v>
      </c>
      <c r="C11" s="86">
        <v>25535000</v>
      </c>
      <c r="D11" s="80">
        <f t="shared" si="0"/>
        <v>0</v>
      </c>
      <c r="E11" s="86">
        <v>590299699.55</v>
      </c>
      <c r="F11" s="86">
        <v>194075699.55</v>
      </c>
      <c r="G11" s="50">
        <f t="shared" si="1"/>
        <v>396223999.99999994</v>
      </c>
      <c r="H11" s="50">
        <f t="shared" si="2"/>
        <v>0</v>
      </c>
    </row>
    <row r="12" spans="1:8" ht="15">
      <c r="A12" s="69" t="s">
        <v>6</v>
      </c>
      <c r="B12" s="86">
        <v>34915000</v>
      </c>
      <c r="C12" s="86">
        <v>34915000</v>
      </c>
      <c r="D12" s="80">
        <f t="shared" si="0"/>
        <v>0</v>
      </c>
      <c r="E12" s="86">
        <v>986380789.86</v>
      </c>
      <c r="F12" s="86">
        <v>595947341.07</v>
      </c>
      <c r="G12" s="50">
        <f t="shared" si="1"/>
        <v>390433448.78999996</v>
      </c>
      <c r="H12" s="50">
        <f t="shared" si="2"/>
        <v>0</v>
      </c>
    </row>
    <row r="13" spans="1:8" ht="15">
      <c r="A13" s="69" t="s">
        <v>7</v>
      </c>
      <c r="B13" s="86">
        <v>113540600</v>
      </c>
      <c r="C13" s="86">
        <v>97360100</v>
      </c>
      <c r="D13" s="80">
        <f t="shared" si="0"/>
        <v>16180500</v>
      </c>
      <c r="E13" s="86">
        <v>412433521.09</v>
      </c>
      <c r="F13" s="86">
        <v>291217308.63</v>
      </c>
      <c r="G13" s="50">
        <f t="shared" si="1"/>
        <v>121216212.45999998</v>
      </c>
      <c r="H13" s="50">
        <f t="shared" si="2"/>
        <v>13.348461952100168</v>
      </c>
    </row>
    <row r="14" spans="1:8" ht="15">
      <c r="A14" s="69" t="s">
        <v>8</v>
      </c>
      <c r="B14" s="86">
        <v>29016295.25</v>
      </c>
      <c r="C14" s="86">
        <v>9822000</v>
      </c>
      <c r="D14" s="80">
        <f t="shared" si="0"/>
        <v>19194295.25</v>
      </c>
      <c r="E14" s="86">
        <v>793921654</v>
      </c>
      <c r="F14" s="86">
        <v>337817654</v>
      </c>
      <c r="G14" s="50">
        <f t="shared" si="1"/>
        <v>456104000</v>
      </c>
      <c r="H14" s="50">
        <f t="shared" si="2"/>
        <v>4.208315482872328</v>
      </c>
    </row>
    <row r="15" spans="1:8" ht="15">
      <c r="A15" s="69" t="s">
        <v>9</v>
      </c>
      <c r="B15" s="86">
        <v>0</v>
      </c>
      <c r="C15" s="86">
        <v>0</v>
      </c>
      <c r="D15" s="80">
        <f t="shared" si="0"/>
        <v>0</v>
      </c>
      <c r="E15" s="86">
        <v>698710814.26</v>
      </c>
      <c r="F15" s="86">
        <v>511608814.26</v>
      </c>
      <c r="G15" s="50">
        <f t="shared" si="1"/>
        <v>187102000</v>
      </c>
      <c r="H15" s="50">
        <f t="shared" si="2"/>
        <v>0</v>
      </c>
    </row>
    <row r="16" spans="1:8" ht="15">
      <c r="A16" s="69" t="s">
        <v>10</v>
      </c>
      <c r="B16" s="86">
        <v>0</v>
      </c>
      <c r="C16" s="86">
        <v>0</v>
      </c>
      <c r="D16" s="80">
        <f t="shared" si="0"/>
        <v>0</v>
      </c>
      <c r="E16" s="86">
        <v>130535808.15</v>
      </c>
      <c r="F16" s="86">
        <v>96487108.15</v>
      </c>
      <c r="G16" s="50">
        <f t="shared" si="1"/>
        <v>34048700</v>
      </c>
      <c r="H16" s="50">
        <f t="shared" si="2"/>
        <v>0</v>
      </c>
    </row>
    <row r="17" spans="1:8" ht="15">
      <c r="A17" s="69" t="s">
        <v>11</v>
      </c>
      <c r="B17" s="86">
        <v>35885000</v>
      </c>
      <c r="C17" s="86">
        <v>35885000</v>
      </c>
      <c r="D17" s="80">
        <f t="shared" si="0"/>
        <v>0</v>
      </c>
      <c r="E17" s="86">
        <v>455822831.02</v>
      </c>
      <c r="F17" s="86">
        <v>300128831.02</v>
      </c>
      <c r="G17" s="50">
        <f t="shared" si="1"/>
        <v>155694000</v>
      </c>
      <c r="H17" s="50">
        <f t="shared" si="2"/>
        <v>0</v>
      </c>
    </row>
    <row r="18" spans="1:8" ht="15">
      <c r="A18" s="69" t="s">
        <v>12</v>
      </c>
      <c r="B18" s="86">
        <v>2200000</v>
      </c>
      <c r="C18" s="86">
        <v>2200000</v>
      </c>
      <c r="D18" s="80">
        <f t="shared" si="0"/>
        <v>0</v>
      </c>
      <c r="E18" s="86">
        <v>185377747.77</v>
      </c>
      <c r="F18" s="86">
        <v>126581686.77</v>
      </c>
      <c r="G18" s="50">
        <f t="shared" si="1"/>
        <v>58796061.000000015</v>
      </c>
      <c r="H18" s="50">
        <f t="shared" si="2"/>
        <v>0</v>
      </c>
    </row>
    <row r="19" spans="1:8" ht="15">
      <c r="A19" s="69" t="s">
        <v>13</v>
      </c>
      <c r="B19" s="86">
        <v>20490000</v>
      </c>
      <c r="C19" s="86">
        <v>20490000</v>
      </c>
      <c r="D19" s="80">
        <f t="shared" si="0"/>
        <v>0</v>
      </c>
      <c r="E19" s="86">
        <v>380102840.89</v>
      </c>
      <c r="F19" s="86">
        <v>280102940.89</v>
      </c>
      <c r="G19" s="50">
        <f t="shared" si="1"/>
        <v>99999900</v>
      </c>
      <c r="H19" s="50">
        <f t="shared" si="2"/>
        <v>0</v>
      </c>
    </row>
    <row r="20" spans="1:8" ht="15">
      <c r="A20" s="69" t="s">
        <v>14</v>
      </c>
      <c r="B20" s="86">
        <v>0</v>
      </c>
      <c r="C20" s="86">
        <v>0</v>
      </c>
      <c r="D20" s="80">
        <f t="shared" si="0"/>
        <v>0</v>
      </c>
      <c r="E20" s="86">
        <v>205844905.86</v>
      </c>
      <c r="F20" s="86">
        <v>124732973.86</v>
      </c>
      <c r="G20" s="50">
        <f t="shared" si="1"/>
        <v>81111932.00000001</v>
      </c>
      <c r="H20" s="50">
        <f t="shared" si="2"/>
        <v>0</v>
      </c>
    </row>
    <row r="21" spans="1:8" ht="15">
      <c r="A21" s="69" t="s">
        <v>15</v>
      </c>
      <c r="B21" s="86">
        <v>0</v>
      </c>
      <c r="C21" s="86">
        <v>0</v>
      </c>
      <c r="D21" s="80">
        <f t="shared" si="0"/>
        <v>0</v>
      </c>
      <c r="E21" s="86">
        <v>479193721.28</v>
      </c>
      <c r="F21" s="86">
        <v>422506721.28</v>
      </c>
      <c r="G21" s="50">
        <f t="shared" si="1"/>
        <v>56687000</v>
      </c>
      <c r="H21" s="50">
        <f t="shared" si="2"/>
        <v>0</v>
      </c>
    </row>
    <row r="22" spans="1:8" ht="15">
      <c r="A22" s="69" t="s">
        <v>16</v>
      </c>
      <c r="B22" s="86">
        <v>0</v>
      </c>
      <c r="C22" s="86">
        <v>0</v>
      </c>
      <c r="D22" s="80">
        <f t="shared" si="0"/>
        <v>0</v>
      </c>
      <c r="E22" s="86">
        <v>2325059497.44</v>
      </c>
      <c r="F22" s="86">
        <v>1696781462.97</v>
      </c>
      <c r="G22" s="50">
        <f t="shared" si="1"/>
        <v>628278034.47</v>
      </c>
      <c r="H22" s="50">
        <f t="shared" si="2"/>
        <v>0</v>
      </c>
    </row>
    <row r="23" spans="1:8" ht="15">
      <c r="A23" s="69" t="s">
        <v>17</v>
      </c>
      <c r="B23" s="86">
        <v>10789120</v>
      </c>
      <c r="C23" s="86">
        <v>10789120</v>
      </c>
      <c r="D23" s="80">
        <f t="shared" si="0"/>
        <v>0</v>
      </c>
      <c r="E23" s="86">
        <v>102114473.13</v>
      </c>
      <c r="F23" s="86">
        <v>68600181.13</v>
      </c>
      <c r="G23" s="50">
        <f t="shared" si="1"/>
        <v>33514292</v>
      </c>
      <c r="H23" s="50">
        <f t="shared" si="2"/>
        <v>0</v>
      </c>
    </row>
    <row r="24" spans="1:8" ht="15">
      <c r="A24" s="69" t="s">
        <v>18</v>
      </c>
      <c r="B24" s="86">
        <v>3518700</v>
      </c>
      <c r="C24" s="86">
        <v>3518700</v>
      </c>
      <c r="D24" s="80">
        <f t="shared" si="0"/>
        <v>0</v>
      </c>
      <c r="E24" s="86">
        <v>184522670</v>
      </c>
      <c r="F24" s="86">
        <v>139931670</v>
      </c>
      <c r="G24" s="50">
        <f t="shared" si="1"/>
        <v>44591000</v>
      </c>
      <c r="H24" s="50">
        <f t="shared" si="2"/>
        <v>0</v>
      </c>
    </row>
    <row r="25" spans="1:8" ht="15">
      <c r="A25" s="69" t="s">
        <v>19</v>
      </c>
      <c r="B25" s="86">
        <v>2400000</v>
      </c>
      <c r="C25" s="86">
        <v>2400000</v>
      </c>
      <c r="D25" s="80">
        <f t="shared" si="0"/>
        <v>0</v>
      </c>
      <c r="E25" s="86">
        <v>416823604.26</v>
      </c>
      <c r="F25" s="86">
        <v>228880890.26</v>
      </c>
      <c r="G25" s="50">
        <f t="shared" si="1"/>
        <v>187942714</v>
      </c>
      <c r="H25" s="50">
        <f t="shared" si="2"/>
        <v>0</v>
      </c>
    </row>
    <row r="26" spans="1:8" ht="15">
      <c r="A26" s="69" t="s">
        <v>20</v>
      </c>
      <c r="B26" s="86">
        <v>0</v>
      </c>
      <c r="C26" s="86">
        <v>0</v>
      </c>
      <c r="D26" s="80">
        <f t="shared" si="0"/>
        <v>0</v>
      </c>
      <c r="E26" s="86">
        <v>421587822</v>
      </c>
      <c r="F26" s="86">
        <v>194229663.7</v>
      </c>
      <c r="G26" s="50">
        <f t="shared" si="1"/>
        <v>227358158.3</v>
      </c>
      <c r="H26" s="50">
        <f t="shared" si="2"/>
        <v>0</v>
      </c>
    </row>
    <row r="27" spans="1:8" ht="15">
      <c r="A27" s="69" t="s">
        <v>21</v>
      </c>
      <c r="B27" s="86">
        <v>53640000</v>
      </c>
      <c r="C27" s="86">
        <v>49940000</v>
      </c>
      <c r="D27" s="80">
        <f t="shared" si="0"/>
        <v>3700000</v>
      </c>
      <c r="E27" s="86">
        <v>232748092.35</v>
      </c>
      <c r="F27" s="86">
        <v>148271092.35</v>
      </c>
      <c r="G27" s="50">
        <f t="shared" si="1"/>
        <v>84477000</v>
      </c>
      <c r="H27" s="50">
        <f t="shared" si="2"/>
        <v>4.379890384364975</v>
      </c>
    </row>
    <row r="28" spans="1:8" ht="15">
      <c r="A28" s="69" t="s">
        <v>22</v>
      </c>
      <c r="B28" s="86">
        <v>0</v>
      </c>
      <c r="C28" s="86">
        <v>0</v>
      </c>
      <c r="D28" s="80">
        <f t="shared" si="0"/>
        <v>0</v>
      </c>
      <c r="E28" s="86">
        <v>330174375.28</v>
      </c>
      <c r="F28" s="86">
        <v>244830422.28</v>
      </c>
      <c r="G28" s="50">
        <f t="shared" si="1"/>
        <v>85343952.99999997</v>
      </c>
      <c r="H28" s="50">
        <f t="shared" si="2"/>
        <v>0</v>
      </c>
    </row>
    <row r="29" spans="1:8" ht="15">
      <c r="A29" s="69" t="s">
        <v>23</v>
      </c>
      <c r="B29" s="86">
        <v>57112000</v>
      </c>
      <c r="C29" s="86">
        <v>57112000</v>
      </c>
      <c r="D29" s="80">
        <f t="shared" si="0"/>
        <v>0</v>
      </c>
      <c r="E29" s="86">
        <v>386728663.8</v>
      </c>
      <c r="F29" s="86">
        <v>301323991.8</v>
      </c>
      <c r="G29" s="50">
        <f t="shared" si="1"/>
        <v>85404672</v>
      </c>
      <c r="H29" s="50">
        <f t="shared" si="2"/>
        <v>0</v>
      </c>
    </row>
    <row r="30" spans="1:8" ht="15">
      <c r="A30" s="69" t="s">
        <v>24</v>
      </c>
      <c r="B30" s="86">
        <v>0</v>
      </c>
      <c r="C30" s="86">
        <v>0</v>
      </c>
      <c r="D30" s="80">
        <f t="shared" si="0"/>
        <v>0</v>
      </c>
      <c r="E30" s="86">
        <v>560336349.14</v>
      </c>
      <c r="F30" s="86">
        <v>285294349.14</v>
      </c>
      <c r="G30" s="50">
        <f t="shared" si="1"/>
        <v>275042000</v>
      </c>
      <c r="H30" s="50">
        <f t="shared" si="2"/>
        <v>0</v>
      </c>
    </row>
    <row r="31" spans="1:8" ht="15">
      <c r="A31" s="69" t="s">
        <v>25</v>
      </c>
      <c r="B31" s="86">
        <v>19020000</v>
      </c>
      <c r="C31" s="86">
        <v>9020000</v>
      </c>
      <c r="D31" s="80">
        <f t="shared" si="0"/>
        <v>10000000</v>
      </c>
      <c r="E31" s="86">
        <v>115939546.84</v>
      </c>
      <c r="F31" s="86">
        <v>91306984.84</v>
      </c>
      <c r="G31" s="50">
        <f t="shared" si="1"/>
        <v>24632562</v>
      </c>
      <c r="H31" s="50">
        <f t="shared" si="2"/>
        <v>40.59667037476654</v>
      </c>
    </row>
    <row r="32" spans="1:8" ht="15">
      <c r="A32" s="69" t="s">
        <v>26</v>
      </c>
      <c r="B32" s="86">
        <v>9685000</v>
      </c>
      <c r="C32" s="86">
        <v>1685000</v>
      </c>
      <c r="D32" s="80">
        <f t="shared" si="0"/>
        <v>8000000</v>
      </c>
      <c r="E32" s="86">
        <v>335404778.26</v>
      </c>
      <c r="F32" s="86">
        <v>165201778.26</v>
      </c>
      <c r="G32" s="50">
        <f t="shared" si="1"/>
        <v>170203000</v>
      </c>
      <c r="H32" s="50">
        <f t="shared" si="2"/>
        <v>4.7002696779727735</v>
      </c>
    </row>
    <row r="33" spans="1:8" ht="15">
      <c r="A33" s="69" t="s">
        <v>27</v>
      </c>
      <c r="B33" s="86">
        <v>0</v>
      </c>
      <c r="C33" s="86">
        <v>0</v>
      </c>
      <c r="D33" s="80">
        <f t="shared" si="0"/>
        <v>0</v>
      </c>
      <c r="E33" s="86">
        <v>320556983.21</v>
      </c>
      <c r="F33" s="86">
        <v>244976983.21</v>
      </c>
      <c r="G33" s="50">
        <f t="shared" si="1"/>
        <v>75579999.99999997</v>
      </c>
      <c r="H33" s="50">
        <f t="shared" si="2"/>
        <v>0</v>
      </c>
    </row>
    <row r="34" spans="1:8" ht="15">
      <c r="A34" s="69" t="s">
        <v>28</v>
      </c>
      <c r="B34" s="86">
        <v>0</v>
      </c>
      <c r="C34" s="86">
        <v>0</v>
      </c>
      <c r="D34" s="80">
        <f t="shared" si="0"/>
        <v>0</v>
      </c>
      <c r="E34" s="86">
        <v>379258405.22</v>
      </c>
      <c r="F34" s="86">
        <v>298211405.22</v>
      </c>
      <c r="G34" s="50">
        <f t="shared" si="1"/>
        <v>81047000</v>
      </c>
      <c r="H34" s="50">
        <f t="shared" si="2"/>
        <v>0</v>
      </c>
    </row>
    <row r="35" spans="1:8" ht="15">
      <c r="A35" s="69" t="s">
        <v>29</v>
      </c>
      <c r="B35" s="86">
        <v>23703000</v>
      </c>
      <c r="C35" s="86">
        <v>23703000</v>
      </c>
      <c r="D35" s="80">
        <f t="shared" si="0"/>
        <v>0</v>
      </c>
      <c r="E35" s="86">
        <v>242969629.4</v>
      </c>
      <c r="F35" s="86">
        <v>174491869.4</v>
      </c>
      <c r="G35" s="50">
        <f t="shared" si="1"/>
        <v>68477760</v>
      </c>
      <c r="H35" s="50">
        <f t="shared" si="2"/>
        <v>0</v>
      </c>
    </row>
    <row r="36" spans="1:8" ht="15">
      <c r="A36" s="69" t="s">
        <v>30</v>
      </c>
      <c r="B36" s="86">
        <v>50329750</v>
      </c>
      <c r="C36" s="86">
        <v>50329750</v>
      </c>
      <c r="D36" s="80">
        <f t="shared" si="0"/>
        <v>0</v>
      </c>
      <c r="E36" s="86">
        <v>856582232.53</v>
      </c>
      <c r="F36" s="86">
        <v>565043823.12</v>
      </c>
      <c r="G36" s="50">
        <f t="shared" si="1"/>
        <v>291538409.40999997</v>
      </c>
      <c r="H36" s="50">
        <f t="shared" si="2"/>
        <v>0</v>
      </c>
    </row>
    <row r="37" spans="1:8" ht="15">
      <c r="A37" s="69" t="s">
        <v>31</v>
      </c>
      <c r="B37" s="86">
        <v>0</v>
      </c>
      <c r="C37" s="86">
        <v>0</v>
      </c>
      <c r="D37" s="80">
        <f t="shared" si="0"/>
        <v>0</v>
      </c>
      <c r="E37" s="86">
        <v>874470352.66</v>
      </c>
      <c r="F37" s="86">
        <v>516445352.66</v>
      </c>
      <c r="G37" s="50">
        <f t="shared" si="1"/>
        <v>358024999.99999994</v>
      </c>
      <c r="H37" s="50">
        <f t="shared" si="2"/>
        <v>0</v>
      </c>
    </row>
    <row r="38" spans="1:8" ht="15">
      <c r="A38" s="69" t="s">
        <v>32</v>
      </c>
      <c r="B38" s="86">
        <v>6500000</v>
      </c>
      <c r="C38" s="86">
        <v>0</v>
      </c>
      <c r="D38" s="80">
        <f t="shared" si="0"/>
        <v>6500000</v>
      </c>
      <c r="E38" s="86">
        <v>284018520.2</v>
      </c>
      <c r="F38" s="86">
        <v>165518377.66</v>
      </c>
      <c r="G38" s="50">
        <f t="shared" si="1"/>
        <v>118500142.53999999</v>
      </c>
      <c r="H38" s="50">
        <f t="shared" si="2"/>
        <v>5.485225469501786</v>
      </c>
    </row>
    <row r="39" spans="1:8" ht="15">
      <c r="A39" s="69" t="s">
        <v>33</v>
      </c>
      <c r="B39" s="86">
        <v>25284750</v>
      </c>
      <c r="C39" s="86">
        <v>25284750</v>
      </c>
      <c r="D39" s="80">
        <f t="shared" si="0"/>
        <v>0</v>
      </c>
      <c r="E39" s="86">
        <v>204047125.23</v>
      </c>
      <c r="F39" s="86">
        <v>149893125.23</v>
      </c>
      <c r="G39" s="50">
        <f t="shared" si="1"/>
        <v>54154000</v>
      </c>
      <c r="H39" s="50">
        <f t="shared" si="2"/>
        <v>0</v>
      </c>
    </row>
    <row r="40" spans="1:8" ht="15">
      <c r="A40" s="69" t="s">
        <v>34</v>
      </c>
      <c r="B40" s="86">
        <v>0</v>
      </c>
      <c r="C40" s="86">
        <v>0</v>
      </c>
      <c r="D40" s="80">
        <f t="shared" si="0"/>
        <v>0</v>
      </c>
      <c r="E40" s="86">
        <v>278327556.75</v>
      </c>
      <c r="F40" s="86">
        <v>231637624.75</v>
      </c>
      <c r="G40" s="50">
        <f t="shared" si="1"/>
        <v>46689932</v>
      </c>
      <c r="H40" s="50">
        <f t="shared" si="2"/>
        <v>0</v>
      </c>
    </row>
    <row r="41" spans="1:8" ht="15">
      <c r="A41" s="69" t="s">
        <v>35</v>
      </c>
      <c r="B41" s="86">
        <v>0</v>
      </c>
      <c r="C41" s="86">
        <v>0</v>
      </c>
      <c r="D41" s="80">
        <f t="shared" si="0"/>
        <v>0</v>
      </c>
      <c r="E41" s="86">
        <v>200165979.1</v>
      </c>
      <c r="F41" s="86">
        <v>150969360.3</v>
      </c>
      <c r="G41" s="50">
        <f t="shared" si="1"/>
        <v>49196618.79999998</v>
      </c>
      <c r="H41" s="50">
        <f t="shared" si="2"/>
        <v>0</v>
      </c>
    </row>
    <row r="42" spans="1:8" ht="15">
      <c r="A42" s="69" t="s">
        <v>36</v>
      </c>
      <c r="B42" s="27">
        <v>11640000</v>
      </c>
      <c r="C42" s="27">
        <v>11640000</v>
      </c>
      <c r="D42" s="28">
        <f t="shared" si="0"/>
        <v>0</v>
      </c>
      <c r="E42" s="27">
        <v>234766416.54</v>
      </c>
      <c r="F42" s="27">
        <v>164802413.54</v>
      </c>
      <c r="G42" s="50">
        <f t="shared" si="1"/>
        <v>69964003</v>
      </c>
      <c r="H42" s="50">
        <f t="shared" si="2"/>
        <v>0</v>
      </c>
    </row>
    <row r="43" spans="1:8" s="72" customFormat="1" ht="15">
      <c r="A43" s="14" t="s">
        <v>44</v>
      </c>
      <c r="B43" s="71">
        <f aca="true" t="shared" si="3" ref="B43:G43">SUM(B$6:B$42)</f>
        <v>13411073294.279999</v>
      </c>
      <c r="C43" s="71">
        <f t="shared" si="3"/>
        <v>2623458120</v>
      </c>
      <c r="D43" s="71">
        <f t="shared" si="3"/>
        <v>10787615174.279999</v>
      </c>
      <c r="E43" s="71">
        <f t="shared" si="3"/>
        <v>57363383566.600006</v>
      </c>
      <c r="F43" s="71">
        <f t="shared" si="3"/>
        <v>29455092623.749996</v>
      </c>
      <c r="G43" s="71">
        <f t="shared" si="3"/>
        <v>27908290942.850002</v>
      </c>
      <c r="H43" s="73">
        <f>$D43/$G43*100</f>
        <v>38.65380075179324</v>
      </c>
    </row>
    <row r="45" spans="4:7" ht="15">
      <c r="D45" s="40">
        <f>$B$43-$C$43-$D$43</f>
        <v>0</v>
      </c>
      <c r="G45" s="40">
        <f>$E$43-$F$43-$G$43</f>
        <v>0</v>
      </c>
    </row>
  </sheetData>
  <sheetProtection/>
  <mergeCells count="5">
    <mergeCell ref="A1:H1"/>
    <mergeCell ref="A3:A4"/>
    <mergeCell ref="B3:D3"/>
    <mergeCell ref="E3:G3"/>
    <mergeCell ref="H3:H4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0" sqref="D10"/>
    </sheetView>
  </sheetViews>
  <sheetFormatPr defaultColWidth="8.7109375" defaultRowHeight="15"/>
  <cols>
    <col min="1" max="1" width="24.57421875" style="26" customWidth="1"/>
    <col min="2" max="2" width="17.140625" style="26" customWidth="1"/>
    <col min="3" max="3" width="18.140625" style="26" customWidth="1"/>
    <col min="4" max="4" width="18.421875" style="26" bestFit="1" customWidth="1"/>
    <col min="5" max="5" width="19.28125" style="26" customWidth="1"/>
    <col min="6" max="6" width="20.7109375" style="26" customWidth="1"/>
    <col min="7" max="16384" width="8.7109375" style="26" customWidth="1"/>
  </cols>
  <sheetData>
    <row r="1" spans="1:6" ht="39.75" customHeight="1">
      <c r="A1" s="105" t="s">
        <v>160</v>
      </c>
      <c r="B1" s="105"/>
      <c r="C1" s="105"/>
      <c r="D1" s="105"/>
      <c r="E1" s="105"/>
      <c r="F1" s="105"/>
    </row>
    <row r="2" spans="1:6" s="31" customFormat="1" ht="128.25" customHeight="1">
      <c r="A2" s="23" t="s">
        <v>39</v>
      </c>
      <c r="B2" s="23" t="s">
        <v>240</v>
      </c>
      <c r="C2" s="23" t="s">
        <v>241</v>
      </c>
      <c r="D2" s="23" t="s">
        <v>242</v>
      </c>
      <c r="E2" s="23" t="s">
        <v>243</v>
      </c>
      <c r="F2" s="23" t="s">
        <v>161</v>
      </c>
    </row>
    <row r="3" spans="1:6" s="29" customFormat="1" ht="15">
      <c r="A3" s="30">
        <v>1</v>
      </c>
      <c r="B3" s="30">
        <v>2</v>
      </c>
      <c r="C3" s="30">
        <v>3</v>
      </c>
      <c r="D3" s="30">
        <v>4</v>
      </c>
      <c r="E3" s="30" t="s">
        <v>150</v>
      </c>
      <c r="F3" s="30" t="s">
        <v>159</v>
      </c>
    </row>
    <row r="4" spans="1:6" ht="15">
      <c r="A4" s="69" t="s">
        <v>0</v>
      </c>
      <c r="B4" s="86">
        <v>835379200</v>
      </c>
      <c r="C4" s="86">
        <v>27483895576.41</v>
      </c>
      <c r="D4" s="86">
        <v>6238246156.44</v>
      </c>
      <c r="E4" s="27">
        <f>$C4-$D4</f>
        <v>21245649419.97</v>
      </c>
      <c r="F4" s="27">
        <f>$B4/$E4*100</f>
        <v>3.932001246404731</v>
      </c>
    </row>
    <row r="5" spans="1:6" ht="15">
      <c r="A5" s="69" t="s">
        <v>1</v>
      </c>
      <c r="B5" s="86">
        <v>633181000</v>
      </c>
      <c r="C5" s="86">
        <v>13297651724.51</v>
      </c>
      <c r="D5" s="86">
        <v>3881621282</v>
      </c>
      <c r="E5" s="27">
        <f aca="true" t="shared" si="0" ref="E5:E40">$C5-$D5</f>
        <v>9416030442.51</v>
      </c>
      <c r="F5" s="27">
        <f aca="true" t="shared" si="1" ref="F5:F40">$B5/$E5*100</f>
        <v>6.724500349334204</v>
      </c>
    </row>
    <row r="6" spans="1:6" ht="15">
      <c r="A6" s="69" t="s">
        <v>2</v>
      </c>
      <c r="B6" s="86">
        <v>10306365</v>
      </c>
      <c r="C6" s="86">
        <v>2124151674.68</v>
      </c>
      <c r="D6" s="86">
        <v>78103678</v>
      </c>
      <c r="E6" s="27">
        <f t="shared" si="0"/>
        <v>2046047996.68</v>
      </c>
      <c r="F6" s="27">
        <f t="shared" si="1"/>
        <v>0.5037205880176576</v>
      </c>
    </row>
    <row r="7" spans="1:6" ht="15">
      <c r="A7" s="69" t="s">
        <v>3</v>
      </c>
      <c r="B7" s="86">
        <v>16799000</v>
      </c>
      <c r="C7" s="86">
        <v>1876466134.61</v>
      </c>
      <c r="D7" s="86">
        <v>32293078.48</v>
      </c>
      <c r="E7" s="27">
        <f t="shared" si="0"/>
        <v>1844173056.1299999</v>
      </c>
      <c r="F7" s="27">
        <f t="shared" si="1"/>
        <v>0.9109231882637266</v>
      </c>
    </row>
    <row r="8" spans="1:6" ht="15">
      <c r="A8" s="69" t="s">
        <v>4</v>
      </c>
      <c r="B8" s="86">
        <v>200000</v>
      </c>
      <c r="C8" s="86">
        <v>1009700188.55</v>
      </c>
      <c r="D8" s="86">
        <v>33502370</v>
      </c>
      <c r="E8" s="27">
        <f t="shared" si="0"/>
        <v>976197818.55</v>
      </c>
      <c r="F8" s="27">
        <f t="shared" si="1"/>
        <v>0.020487650781382705</v>
      </c>
    </row>
    <row r="9" spans="1:6" ht="15">
      <c r="A9" s="69" t="s">
        <v>5</v>
      </c>
      <c r="B9" s="86">
        <v>951000</v>
      </c>
      <c r="C9" s="86">
        <v>627878610.74</v>
      </c>
      <c r="D9" s="86">
        <v>17540573</v>
      </c>
      <c r="E9" s="27">
        <f t="shared" si="0"/>
        <v>610338037.74</v>
      </c>
      <c r="F9" s="27">
        <f t="shared" si="1"/>
        <v>0.1558152927058955</v>
      </c>
    </row>
    <row r="10" spans="1:6" ht="15">
      <c r="A10" s="69" t="s">
        <v>6</v>
      </c>
      <c r="B10" s="86">
        <v>888475</v>
      </c>
      <c r="C10" s="86">
        <v>1361258964.6</v>
      </c>
      <c r="D10" s="86">
        <v>19435336</v>
      </c>
      <c r="E10" s="27">
        <f t="shared" si="0"/>
        <v>1341823628.6</v>
      </c>
      <c r="F10" s="27">
        <f t="shared" si="1"/>
        <v>0.06621399273815114</v>
      </c>
    </row>
    <row r="11" spans="1:6" ht="15">
      <c r="A11" s="69" t="s">
        <v>7</v>
      </c>
      <c r="B11" s="86">
        <v>7091200</v>
      </c>
      <c r="C11" s="86">
        <v>425746508.63</v>
      </c>
      <c r="D11" s="86">
        <v>17875226</v>
      </c>
      <c r="E11" s="27">
        <f t="shared" si="0"/>
        <v>407871282.63</v>
      </c>
      <c r="F11" s="27">
        <f t="shared" si="1"/>
        <v>1.7385877118573152</v>
      </c>
    </row>
    <row r="12" spans="1:6" ht="15">
      <c r="A12" s="69" t="s">
        <v>8</v>
      </c>
      <c r="B12" s="86">
        <v>4221000</v>
      </c>
      <c r="C12" s="86">
        <v>803117092.67</v>
      </c>
      <c r="D12" s="86">
        <v>18026527</v>
      </c>
      <c r="E12" s="27">
        <f t="shared" si="0"/>
        <v>785090565.67</v>
      </c>
      <c r="F12" s="27">
        <f t="shared" si="1"/>
        <v>0.5376449781176238</v>
      </c>
    </row>
    <row r="13" spans="1:6" ht="15">
      <c r="A13" s="69" t="s">
        <v>9</v>
      </c>
      <c r="B13" s="86">
        <v>0</v>
      </c>
      <c r="C13" s="86">
        <v>746381210.01</v>
      </c>
      <c r="D13" s="86">
        <v>26408959</v>
      </c>
      <c r="E13" s="27">
        <f t="shared" si="0"/>
        <v>719972251.01</v>
      </c>
      <c r="F13" s="27">
        <f t="shared" si="1"/>
        <v>0</v>
      </c>
    </row>
    <row r="14" spans="1:6" ht="15">
      <c r="A14" s="69" t="s">
        <v>10</v>
      </c>
      <c r="B14" s="86">
        <v>0</v>
      </c>
      <c r="C14" s="86">
        <v>140234127.65</v>
      </c>
      <c r="D14" s="86">
        <v>24599302</v>
      </c>
      <c r="E14" s="27">
        <f t="shared" si="0"/>
        <v>115634825.65</v>
      </c>
      <c r="F14" s="27">
        <f t="shared" si="1"/>
        <v>0</v>
      </c>
    </row>
    <row r="15" spans="1:6" ht="15">
      <c r="A15" s="69" t="s">
        <v>11</v>
      </c>
      <c r="B15" s="86">
        <v>1000000</v>
      </c>
      <c r="C15" s="86">
        <v>490779375.45</v>
      </c>
      <c r="D15" s="86">
        <v>99321807.16</v>
      </c>
      <c r="E15" s="27">
        <f t="shared" si="0"/>
        <v>391457568.28999996</v>
      </c>
      <c r="F15" s="27">
        <f t="shared" si="1"/>
        <v>0.2554555285182733</v>
      </c>
    </row>
    <row r="16" spans="1:6" ht="15">
      <c r="A16" s="69" t="s">
        <v>12</v>
      </c>
      <c r="B16" s="86">
        <v>75000</v>
      </c>
      <c r="C16" s="86">
        <v>178076498.96</v>
      </c>
      <c r="D16" s="86">
        <v>38880803</v>
      </c>
      <c r="E16" s="27">
        <f t="shared" si="0"/>
        <v>139195695.96</v>
      </c>
      <c r="F16" s="27">
        <f t="shared" si="1"/>
        <v>0.05388097633532605</v>
      </c>
    </row>
    <row r="17" spans="1:6" ht="15">
      <c r="A17" s="69" t="s">
        <v>13</v>
      </c>
      <c r="B17" s="86">
        <v>1605000</v>
      </c>
      <c r="C17" s="86">
        <v>399310866.91</v>
      </c>
      <c r="D17" s="86">
        <v>34513685</v>
      </c>
      <c r="E17" s="27">
        <f t="shared" si="0"/>
        <v>364797181.91</v>
      </c>
      <c r="F17" s="27">
        <f t="shared" si="1"/>
        <v>0.4399705040473622</v>
      </c>
    </row>
    <row r="18" spans="1:6" ht="15">
      <c r="A18" s="69" t="s">
        <v>14</v>
      </c>
      <c r="B18" s="86">
        <v>0</v>
      </c>
      <c r="C18" s="86">
        <v>207891516.72</v>
      </c>
      <c r="D18" s="86">
        <v>28592884</v>
      </c>
      <c r="E18" s="27">
        <f t="shared" si="0"/>
        <v>179298632.72</v>
      </c>
      <c r="F18" s="27">
        <f t="shared" si="1"/>
        <v>0</v>
      </c>
    </row>
    <row r="19" spans="1:6" ht="15">
      <c r="A19" s="69" t="s">
        <v>15</v>
      </c>
      <c r="B19" s="86">
        <v>0</v>
      </c>
      <c r="C19" s="86">
        <v>497678194.05</v>
      </c>
      <c r="D19" s="86">
        <v>31215344</v>
      </c>
      <c r="E19" s="27">
        <f t="shared" si="0"/>
        <v>466462850.05</v>
      </c>
      <c r="F19" s="27">
        <f t="shared" si="1"/>
        <v>0</v>
      </c>
    </row>
    <row r="20" spans="1:6" ht="15">
      <c r="A20" s="69" t="s">
        <v>16</v>
      </c>
      <c r="B20" s="86">
        <v>0</v>
      </c>
      <c r="C20" s="86">
        <v>2490290147.44</v>
      </c>
      <c r="D20" s="86">
        <v>54321768</v>
      </c>
      <c r="E20" s="27">
        <f t="shared" si="0"/>
        <v>2435968379.44</v>
      </c>
      <c r="F20" s="27">
        <f t="shared" si="1"/>
        <v>0</v>
      </c>
    </row>
    <row r="21" spans="1:6" ht="15">
      <c r="A21" s="69" t="s">
        <v>17</v>
      </c>
      <c r="B21" s="86">
        <v>200000</v>
      </c>
      <c r="C21" s="86">
        <v>105733757.06</v>
      </c>
      <c r="D21" s="86">
        <v>18014645</v>
      </c>
      <c r="E21" s="27">
        <f t="shared" si="0"/>
        <v>87719112.06</v>
      </c>
      <c r="F21" s="27">
        <f t="shared" si="1"/>
        <v>0.22800048393467515</v>
      </c>
    </row>
    <row r="22" spans="1:6" ht="15">
      <c r="A22" s="69" t="s">
        <v>18</v>
      </c>
      <c r="B22" s="86">
        <v>250000</v>
      </c>
      <c r="C22" s="86">
        <v>186671498.2</v>
      </c>
      <c r="D22" s="86">
        <v>35223982</v>
      </c>
      <c r="E22" s="27">
        <f t="shared" si="0"/>
        <v>151447516.2</v>
      </c>
      <c r="F22" s="27">
        <f t="shared" si="1"/>
        <v>0.16507368775190254</v>
      </c>
    </row>
    <row r="23" spans="1:6" ht="15">
      <c r="A23" s="69" t="s">
        <v>19</v>
      </c>
      <c r="B23" s="86">
        <v>0</v>
      </c>
      <c r="C23" s="86">
        <v>469608055.89</v>
      </c>
      <c r="D23" s="86">
        <v>46910003</v>
      </c>
      <c r="E23" s="27">
        <f t="shared" si="0"/>
        <v>422698052.89</v>
      </c>
      <c r="F23" s="27">
        <f t="shared" si="1"/>
        <v>0</v>
      </c>
    </row>
    <row r="24" spans="1:6" ht="15">
      <c r="A24" s="69" t="s">
        <v>20</v>
      </c>
      <c r="B24" s="86">
        <v>0</v>
      </c>
      <c r="C24" s="86">
        <v>517354523</v>
      </c>
      <c r="D24" s="86">
        <v>46712550</v>
      </c>
      <c r="E24" s="27">
        <f t="shared" si="0"/>
        <v>470641973</v>
      </c>
      <c r="F24" s="27">
        <f t="shared" si="1"/>
        <v>0</v>
      </c>
    </row>
    <row r="25" spans="1:6" ht="15">
      <c r="A25" s="69" t="s">
        <v>21</v>
      </c>
      <c r="B25" s="86">
        <v>2555340</v>
      </c>
      <c r="C25" s="86">
        <v>248346198.56</v>
      </c>
      <c r="D25" s="86">
        <v>25756752</v>
      </c>
      <c r="E25" s="27">
        <f t="shared" si="0"/>
        <v>222589446.56</v>
      </c>
      <c r="F25" s="27">
        <f t="shared" si="1"/>
        <v>1.1480059093058559</v>
      </c>
    </row>
    <row r="26" spans="1:6" ht="15">
      <c r="A26" s="69" t="s">
        <v>22</v>
      </c>
      <c r="B26" s="86">
        <v>0</v>
      </c>
      <c r="C26" s="86">
        <v>329033222.17</v>
      </c>
      <c r="D26" s="86">
        <v>38437231.16</v>
      </c>
      <c r="E26" s="27">
        <f t="shared" si="0"/>
        <v>290595991.01</v>
      </c>
      <c r="F26" s="27">
        <f t="shared" si="1"/>
        <v>0</v>
      </c>
    </row>
    <row r="27" spans="1:6" ht="15">
      <c r="A27" s="69" t="s">
        <v>23</v>
      </c>
      <c r="B27" s="86">
        <v>1514000</v>
      </c>
      <c r="C27" s="86">
        <v>453627706.15</v>
      </c>
      <c r="D27" s="86">
        <v>26905467</v>
      </c>
      <c r="E27" s="27">
        <f t="shared" si="0"/>
        <v>426722239.15</v>
      </c>
      <c r="F27" s="27">
        <f t="shared" si="1"/>
        <v>0.3547975383274561</v>
      </c>
    </row>
    <row r="28" spans="1:6" ht="15">
      <c r="A28" s="69" t="s">
        <v>24</v>
      </c>
      <c r="B28" s="86">
        <v>0</v>
      </c>
      <c r="C28" s="86">
        <v>598920470.87</v>
      </c>
      <c r="D28" s="86">
        <v>48378369.32</v>
      </c>
      <c r="E28" s="27">
        <f t="shared" si="0"/>
        <v>550542101.55</v>
      </c>
      <c r="F28" s="27">
        <f t="shared" si="1"/>
        <v>0</v>
      </c>
    </row>
    <row r="29" spans="1:6" ht="15">
      <c r="A29" s="69" t="s">
        <v>25</v>
      </c>
      <c r="B29" s="86">
        <v>1461000</v>
      </c>
      <c r="C29" s="86">
        <v>116170931.49</v>
      </c>
      <c r="D29" s="86">
        <v>25649351.6</v>
      </c>
      <c r="E29" s="27">
        <f t="shared" si="0"/>
        <v>90521579.88999999</v>
      </c>
      <c r="F29" s="27">
        <f t="shared" si="1"/>
        <v>1.6139797844617583</v>
      </c>
    </row>
    <row r="30" spans="1:6" ht="15">
      <c r="A30" s="69" t="s">
        <v>26</v>
      </c>
      <c r="B30" s="86">
        <v>820000</v>
      </c>
      <c r="C30" s="86">
        <v>360630072.17</v>
      </c>
      <c r="D30" s="86">
        <v>29908272</v>
      </c>
      <c r="E30" s="27">
        <f t="shared" si="0"/>
        <v>330721800.17</v>
      </c>
      <c r="F30" s="27">
        <f t="shared" si="1"/>
        <v>0.24794253042239658</v>
      </c>
    </row>
    <row r="31" spans="1:6" ht="15">
      <c r="A31" s="69" t="s">
        <v>27</v>
      </c>
      <c r="B31" s="86">
        <v>0</v>
      </c>
      <c r="C31" s="86">
        <v>336241816.51</v>
      </c>
      <c r="D31" s="86">
        <v>106589964</v>
      </c>
      <c r="E31" s="27">
        <f t="shared" si="0"/>
        <v>229651852.51</v>
      </c>
      <c r="F31" s="27">
        <f t="shared" si="1"/>
        <v>0</v>
      </c>
    </row>
    <row r="32" spans="1:6" ht="15">
      <c r="A32" s="69" t="s">
        <v>28</v>
      </c>
      <c r="B32" s="86">
        <v>0</v>
      </c>
      <c r="C32" s="86">
        <v>389206560.92</v>
      </c>
      <c r="D32" s="86">
        <v>48748209</v>
      </c>
      <c r="E32" s="27">
        <f t="shared" si="0"/>
        <v>340458351.92</v>
      </c>
      <c r="F32" s="27">
        <f t="shared" si="1"/>
        <v>0</v>
      </c>
    </row>
    <row r="33" spans="1:6" ht="15">
      <c r="A33" s="69" t="s">
        <v>29</v>
      </c>
      <c r="B33" s="86">
        <v>2523000</v>
      </c>
      <c r="C33" s="86">
        <v>237287172.8</v>
      </c>
      <c r="D33" s="86">
        <v>17865834</v>
      </c>
      <c r="E33" s="27">
        <f t="shared" si="0"/>
        <v>219421338.8</v>
      </c>
      <c r="F33" s="27">
        <f t="shared" si="1"/>
        <v>1.1498425876891059</v>
      </c>
    </row>
    <row r="34" spans="1:6" ht="15">
      <c r="A34" s="69" t="s">
        <v>30</v>
      </c>
      <c r="B34" s="86">
        <v>3487975.5</v>
      </c>
      <c r="C34" s="86">
        <v>886744609.95</v>
      </c>
      <c r="D34" s="86">
        <v>37001625.32</v>
      </c>
      <c r="E34" s="27">
        <f t="shared" si="0"/>
        <v>849742984.63</v>
      </c>
      <c r="F34" s="27">
        <f t="shared" si="1"/>
        <v>0.4104741743197509</v>
      </c>
    </row>
    <row r="35" spans="1:6" ht="15">
      <c r="A35" s="69" t="s">
        <v>31</v>
      </c>
      <c r="B35" s="86">
        <v>0</v>
      </c>
      <c r="C35" s="86">
        <v>912937949.06</v>
      </c>
      <c r="D35" s="86">
        <v>73798083</v>
      </c>
      <c r="E35" s="27">
        <f t="shared" si="0"/>
        <v>839139866.06</v>
      </c>
      <c r="F35" s="27">
        <f t="shared" si="1"/>
        <v>0</v>
      </c>
    </row>
    <row r="36" spans="1:6" ht="15">
      <c r="A36" s="69" t="s">
        <v>32</v>
      </c>
      <c r="B36" s="86">
        <v>1213424.41</v>
      </c>
      <c r="C36" s="86">
        <v>296433818.91</v>
      </c>
      <c r="D36" s="86">
        <v>33820632</v>
      </c>
      <c r="E36" s="27">
        <f t="shared" si="0"/>
        <v>262613186.91000003</v>
      </c>
      <c r="F36" s="27">
        <f t="shared" si="1"/>
        <v>0.4620576842608638</v>
      </c>
    </row>
    <row r="37" spans="1:6" ht="15">
      <c r="A37" s="69" t="s">
        <v>33</v>
      </c>
      <c r="B37" s="86">
        <v>700000</v>
      </c>
      <c r="C37" s="86">
        <v>198675072.2</v>
      </c>
      <c r="D37" s="86">
        <v>40070029</v>
      </c>
      <c r="E37" s="27">
        <f t="shared" si="0"/>
        <v>158605043.2</v>
      </c>
      <c r="F37" s="27">
        <f t="shared" si="1"/>
        <v>0.44134788268826</v>
      </c>
    </row>
    <row r="38" spans="1:6" ht="15">
      <c r="A38" s="69" t="s">
        <v>34</v>
      </c>
      <c r="B38" s="86">
        <v>0</v>
      </c>
      <c r="C38" s="86">
        <v>294767989.11</v>
      </c>
      <c r="D38" s="86">
        <v>25951484</v>
      </c>
      <c r="E38" s="27">
        <f t="shared" si="0"/>
        <v>268816505.11</v>
      </c>
      <c r="F38" s="27">
        <f t="shared" si="1"/>
        <v>0</v>
      </c>
    </row>
    <row r="39" spans="1:6" ht="15">
      <c r="A39" s="69" t="s">
        <v>35</v>
      </c>
      <c r="B39" s="86">
        <v>160000</v>
      </c>
      <c r="C39" s="86">
        <v>205120679.1</v>
      </c>
      <c r="D39" s="86">
        <v>24904891</v>
      </c>
      <c r="E39" s="27">
        <f t="shared" si="0"/>
        <v>180215788.1</v>
      </c>
      <c r="F39" s="27">
        <f t="shared" si="1"/>
        <v>0.08878245446021497</v>
      </c>
    </row>
    <row r="40" spans="1:6" ht="15">
      <c r="A40" s="69" t="s">
        <v>36</v>
      </c>
      <c r="B40" s="27">
        <v>280000</v>
      </c>
      <c r="C40" s="27">
        <v>255664307.46</v>
      </c>
      <c r="D40" s="27">
        <v>30947074.16</v>
      </c>
      <c r="E40" s="27">
        <f t="shared" si="0"/>
        <v>224717233.3</v>
      </c>
      <c r="F40" s="27">
        <f t="shared" si="1"/>
        <v>0.12460103566075721</v>
      </c>
    </row>
    <row r="41" spans="1:6" s="72" customFormat="1" ht="15">
      <c r="A41" s="14" t="s">
        <v>44</v>
      </c>
      <c r="B41" s="71">
        <f>SUM(B$4:B$40)</f>
        <v>1526861979.91</v>
      </c>
      <c r="C41" s="71">
        <f>SUM(C$4:C$40)</f>
        <v>61559684824.16999</v>
      </c>
      <c r="D41" s="71">
        <f>SUM(D$4:D$40)</f>
        <v>11456093227.639997</v>
      </c>
      <c r="E41" s="71">
        <f>SUM(E$4:E$40)</f>
        <v>50103591596.53001</v>
      </c>
      <c r="F41" s="71">
        <f>$B41/$E41*100</f>
        <v>3.0474102379833083</v>
      </c>
    </row>
    <row r="43" spans="5:6" ht="15">
      <c r="E43" s="40">
        <f>$C$41-$D$41-$E$41</f>
        <v>0</v>
      </c>
      <c r="F43" s="40"/>
    </row>
  </sheetData>
  <sheetProtection/>
  <mergeCells count="1">
    <mergeCell ref="A1:F1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3"/>
  <sheetViews>
    <sheetView view="pageBreakPreview" zoomScaleSheetLayoutView="100" zoomScalePageLayoutView="0" workbookViewId="0" topLeftCell="A4">
      <selection activeCell="A21" sqref="A21:IV21"/>
    </sheetView>
  </sheetViews>
  <sheetFormatPr defaultColWidth="8.7109375" defaultRowHeight="15"/>
  <cols>
    <col min="1" max="1" width="24.140625" style="26" customWidth="1"/>
    <col min="2" max="2" width="33.8515625" style="26" customWidth="1"/>
    <col min="3" max="3" width="15.7109375" style="26" customWidth="1"/>
    <col min="4" max="4" width="9.8515625" style="26" customWidth="1"/>
    <col min="5" max="5" width="9.7109375" style="26" customWidth="1"/>
    <col min="6" max="6" width="12.7109375" style="26" customWidth="1"/>
    <col min="7" max="7" width="8.7109375" style="26" customWidth="1"/>
    <col min="8" max="16384" width="8.7109375" style="26" customWidth="1"/>
  </cols>
  <sheetData>
    <row r="1" spans="1:6" ht="33" customHeight="1">
      <c r="A1" s="106" t="s">
        <v>204</v>
      </c>
      <c r="B1" s="106"/>
      <c r="C1" s="106"/>
      <c r="D1" s="106"/>
      <c r="E1" s="106"/>
      <c r="F1" s="106"/>
    </row>
    <row r="3" spans="1:3" ht="15">
      <c r="A3" s="37" t="s">
        <v>205</v>
      </c>
      <c r="B3" s="36">
        <f>MAX($D$10:$D$22)</f>
        <v>0.9985927988008199</v>
      </c>
      <c r="C3" s="43"/>
    </row>
    <row r="4" spans="1:3" ht="15">
      <c r="A4" s="35" t="s">
        <v>206</v>
      </c>
      <c r="B4" s="34">
        <f>MIN($D$10:$D$22)</f>
        <v>0.0971163407358303</v>
      </c>
      <c r="C4" s="44"/>
    </row>
    <row r="5" spans="1:3" ht="15">
      <c r="A5" s="33" t="s">
        <v>207</v>
      </c>
      <c r="B5" s="32" t="s">
        <v>42</v>
      </c>
      <c r="C5" s="39"/>
    </row>
    <row r="7" spans="1:7" s="31" customFormat="1" ht="96" customHeight="1">
      <c r="A7" s="90" t="s">
        <v>39</v>
      </c>
      <c r="B7" s="23" t="s">
        <v>208</v>
      </c>
      <c r="C7" s="23" t="s">
        <v>228</v>
      </c>
      <c r="D7" s="30" t="s">
        <v>209</v>
      </c>
      <c r="E7" s="30" t="s">
        <v>210</v>
      </c>
      <c r="F7" s="30" t="s">
        <v>211</v>
      </c>
      <c r="G7" s="107"/>
    </row>
    <row r="8" spans="1:7" s="29" customFormat="1" ht="15">
      <c r="A8" s="91">
        <v>1</v>
      </c>
      <c r="B8" s="95">
        <v>2</v>
      </c>
      <c r="C8" s="91">
        <v>3</v>
      </c>
      <c r="D8" s="91" t="s">
        <v>49</v>
      </c>
      <c r="E8" s="91">
        <v>5</v>
      </c>
      <c r="F8" s="91">
        <v>6</v>
      </c>
      <c r="G8" s="107"/>
    </row>
    <row r="9" spans="1:7" s="29" customFormat="1" ht="15">
      <c r="A9" s="16" t="s">
        <v>231</v>
      </c>
      <c r="B9" s="53">
        <v>42693</v>
      </c>
      <c r="C9" s="53">
        <v>58747</v>
      </c>
      <c r="D9" s="93">
        <f aca="true" t="shared" si="0" ref="D9:D22">$B9/$C9</f>
        <v>0.7267264711389517</v>
      </c>
      <c r="E9" s="27">
        <f aca="true" t="shared" si="1" ref="E9:E22">($D9-$B$4)/($B$3-$B$4)</f>
        <v>0.6984210455751373</v>
      </c>
      <c r="F9" s="42">
        <f>$E9*$B$5</f>
        <v>-0.6984210455751373</v>
      </c>
      <c r="G9" s="98"/>
    </row>
    <row r="10" spans="1:7" ht="15">
      <c r="A10" s="16" t="s">
        <v>232</v>
      </c>
      <c r="B10" s="53">
        <v>41742</v>
      </c>
      <c r="C10" s="53">
        <v>105161</v>
      </c>
      <c r="D10" s="93">
        <f t="shared" si="0"/>
        <v>0.3969342246650374</v>
      </c>
      <c r="E10" s="27">
        <f t="shared" si="1"/>
        <v>0.33258537285905754</v>
      </c>
      <c r="F10" s="42">
        <f aca="true" t="shared" si="2" ref="F10:F22">$E10*$B$5</f>
        <v>-0.33258537285905754</v>
      </c>
      <c r="G10" s="45"/>
    </row>
    <row r="11" spans="1:7" ht="15">
      <c r="A11" s="16" t="s">
        <v>214</v>
      </c>
      <c r="B11" s="53">
        <v>7511</v>
      </c>
      <c r="C11" s="53">
        <v>29256</v>
      </c>
      <c r="D11" s="93">
        <f t="shared" si="0"/>
        <v>0.25673366147115123</v>
      </c>
      <c r="E11" s="27">
        <f t="shared" si="1"/>
        <v>0.17706210662221614</v>
      </c>
      <c r="F11" s="42">
        <f t="shared" si="2"/>
        <v>-0.17706210662221614</v>
      </c>
      <c r="G11" s="45"/>
    </row>
    <row r="12" spans="1:7" ht="15">
      <c r="A12" s="16" t="s">
        <v>215</v>
      </c>
      <c r="B12" s="53">
        <v>3748</v>
      </c>
      <c r="C12" s="53">
        <v>11728</v>
      </c>
      <c r="D12" s="93">
        <f t="shared" si="0"/>
        <v>0.3195770804911323</v>
      </c>
      <c r="E12" s="27">
        <f t="shared" si="1"/>
        <v>0.2467737651550123</v>
      </c>
      <c r="F12" s="42">
        <f t="shared" si="2"/>
        <v>-0.2467737651550123</v>
      </c>
      <c r="G12" s="45"/>
    </row>
    <row r="13" spans="1:7" ht="15">
      <c r="A13" s="16" t="s">
        <v>216</v>
      </c>
      <c r="B13" s="53">
        <v>27542</v>
      </c>
      <c r="C13" s="53">
        <v>40152</v>
      </c>
      <c r="D13" s="93">
        <f t="shared" si="0"/>
        <v>0.6859434150229129</v>
      </c>
      <c r="E13" s="27">
        <f t="shared" si="1"/>
        <v>0.6531807558801859</v>
      </c>
      <c r="F13" s="42">
        <f t="shared" si="2"/>
        <v>-0.6531807558801859</v>
      </c>
      <c r="G13" s="45"/>
    </row>
    <row r="14" spans="1:7" ht="15">
      <c r="A14" s="16" t="s">
        <v>217</v>
      </c>
      <c r="B14" s="53">
        <v>8603</v>
      </c>
      <c r="C14" s="53">
        <v>14292</v>
      </c>
      <c r="D14" s="93">
        <f t="shared" si="0"/>
        <v>0.60194514413658</v>
      </c>
      <c r="E14" s="27">
        <f t="shared" si="1"/>
        <v>0.5600022040335471</v>
      </c>
      <c r="F14" s="42">
        <f t="shared" si="2"/>
        <v>-0.5600022040335471</v>
      </c>
      <c r="G14" s="45"/>
    </row>
    <row r="15" spans="1:7" ht="15">
      <c r="A15" s="16" t="s">
        <v>218</v>
      </c>
      <c r="B15" s="53">
        <v>6807</v>
      </c>
      <c r="C15" s="53">
        <v>18774</v>
      </c>
      <c r="D15" s="93">
        <f t="shared" si="0"/>
        <v>0.3625759028443592</v>
      </c>
      <c r="E15" s="27">
        <f t="shared" si="1"/>
        <v>0.29447198507916145</v>
      </c>
      <c r="F15" s="42">
        <f t="shared" si="2"/>
        <v>-0.29447198507916145</v>
      </c>
      <c r="G15" s="45"/>
    </row>
    <row r="16" spans="1:7" ht="15">
      <c r="A16" s="16" t="s">
        <v>219</v>
      </c>
      <c r="B16" s="53">
        <v>7029</v>
      </c>
      <c r="C16" s="53">
        <v>23942</v>
      </c>
      <c r="D16" s="93">
        <f t="shared" si="0"/>
        <v>0.2935844958650071</v>
      </c>
      <c r="E16" s="27">
        <f t="shared" si="1"/>
        <v>0.2179404169365596</v>
      </c>
      <c r="F16" s="42">
        <f t="shared" si="2"/>
        <v>-0.2179404169365596</v>
      </c>
      <c r="G16" s="45"/>
    </row>
    <row r="17" spans="1:7" ht="15">
      <c r="A17" s="16" t="s">
        <v>244</v>
      </c>
      <c r="B17" s="53">
        <v>32643</v>
      </c>
      <c r="C17" s="53">
        <v>32689</v>
      </c>
      <c r="D17" s="93">
        <f t="shared" si="0"/>
        <v>0.9985927988008199</v>
      </c>
      <c r="E17" s="27">
        <f t="shared" si="1"/>
        <v>1</v>
      </c>
      <c r="F17" s="42">
        <f t="shared" si="2"/>
        <v>-1</v>
      </c>
      <c r="G17" s="45"/>
    </row>
    <row r="18" spans="1:7" ht="15">
      <c r="A18" s="16" t="s">
        <v>245</v>
      </c>
      <c r="B18" s="53">
        <v>12702</v>
      </c>
      <c r="C18" s="53">
        <v>44490</v>
      </c>
      <c r="D18" s="93">
        <f t="shared" si="0"/>
        <v>0.28550236008091706</v>
      </c>
      <c r="E18" s="27">
        <f t="shared" si="1"/>
        <v>0.20897497395490006</v>
      </c>
      <c r="F18" s="42">
        <f t="shared" si="2"/>
        <v>-0.20897497395490006</v>
      </c>
      <c r="G18" s="45"/>
    </row>
    <row r="19" spans="1:7" ht="15">
      <c r="A19" s="16" t="s">
        <v>246</v>
      </c>
      <c r="B19" s="53">
        <v>3147</v>
      </c>
      <c r="C19" s="53">
        <v>27693</v>
      </c>
      <c r="D19" s="93">
        <f t="shared" si="0"/>
        <v>0.11363882569602426</v>
      </c>
      <c r="E19" s="27">
        <f t="shared" si="1"/>
        <v>0.018328248965768137</v>
      </c>
      <c r="F19" s="42">
        <f t="shared" si="2"/>
        <v>-0.018328248965768137</v>
      </c>
      <c r="G19" s="45"/>
    </row>
    <row r="20" spans="1:7" ht="15">
      <c r="A20" s="16" t="s">
        <v>247</v>
      </c>
      <c r="B20" s="53">
        <v>9995</v>
      </c>
      <c r="C20" s="53">
        <v>45339</v>
      </c>
      <c r="D20" s="93">
        <f t="shared" si="0"/>
        <v>0.2204503848783608</v>
      </c>
      <c r="E20" s="27">
        <f t="shared" si="1"/>
        <v>0.13681338324382405</v>
      </c>
      <c r="F20" s="42">
        <f t="shared" si="2"/>
        <v>-0.13681338324382405</v>
      </c>
      <c r="G20" s="45"/>
    </row>
    <row r="21" spans="1:7" ht="15">
      <c r="A21" s="16" t="s">
        <v>248</v>
      </c>
      <c r="B21" s="53">
        <v>1465</v>
      </c>
      <c r="C21" s="53">
        <v>15085</v>
      </c>
      <c r="D21" s="93">
        <f t="shared" si="0"/>
        <v>0.0971163407358303</v>
      </c>
      <c r="E21" s="27">
        <f t="shared" si="1"/>
        <v>0</v>
      </c>
      <c r="F21" s="42">
        <f t="shared" si="2"/>
        <v>0</v>
      </c>
      <c r="G21" s="45"/>
    </row>
    <row r="22" spans="1:7" ht="15">
      <c r="A22" s="16" t="s">
        <v>249</v>
      </c>
      <c r="B22" s="53">
        <v>2114</v>
      </c>
      <c r="C22" s="53">
        <v>15597</v>
      </c>
      <c r="D22" s="93">
        <f t="shared" si="0"/>
        <v>0.1355388856831442</v>
      </c>
      <c r="E22" s="27">
        <f t="shared" si="1"/>
        <v>0.04262179517121005</v>
      </c>
      <c r="F22" s="42">
        <f t="shared" si="2"/>
        <v>-0.04262179517121005</v>
      </c>
      <c r="G22" s="45"/>
    </row>
    <row r="23" spans="1:7" ht="15">
      <c r="A23" s="5" t="s">
        <v>40</v>
      </c>
      <c r="B23" s="92"/>
      <c r="G23" s="40"/>
    </row>
  </sheetData>
  <sheetProtection/>
  <mergeCells count="2">
    <mergeCell ref="A1:F1"/>
    <mergeCell ref="G7:G8"/>
  </mergeCells>
  <printOptions horizontalCentered="1" verticalCentered="1"/>
  <pageMargins left="0.23" right="0.15748031496062992" top="0.17" bottom="0.15748031496062992" header="0.15748031496062992" footer="0.1574803149606299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7"/>
  <sheetViews>
    <sheetView view="pageBreakPreview" zoomScaleSheetLayoutView="100" zoomScalePageLayoutView="0" workbookViewId="0" topLeftCell="A1">
      <selection activeCell="A18" sqref="A18:IV18"/>
    </sheetView>
  </sheetViews>
  <sheetFormatPr defaultColWidth="8.7109375" defaultRowHeight="15"/>
  <cols>
    <col min="1" max="1" width="24.57421875" style="26" customWidth="1"/>
    <col min="2" max="2" width="15.421875" style="26" bestFit="1" customWidth="1"/>
    <col min="3" max="3" width="14.28125" style="26" bestFit="1" customWidth="1"/>
    <col min="4" max="4" width="10.28125" style="26" customWidth="1"/>
    <col min="5" max="6" width="15.421875" style="26" bestFit="1" customWidth="1"/>
    <col min="7" max="7" width="10.00390625" style="26" customWidth="1"/>
    <col min="8" max="8" width="15.140625" style="26" customWidth="1"/>
    <col min="9" max="9" width="7.28125" style="26" customWidth="1"/>
    <col min="10" max="10" width="6.140625" style="26" customWidth="1"/>
    <col min="11" max="11" width="8.7109375" style="26" customWidth="1"/>
    <col min="12" max="16384" width="8.7109375" style="26" customWidth="1"/>
  </cols>
  <sheetData>
    <row r="1" spans="1:11" ht="18" customHeight="1">
      <c r="A1" s="103" t="s">
        <v>163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3" spans="1:2" ht="15">
      <c r="A3" s="37" t="s">
        <v>56</v>
      </c>
      <c r="B3" s="36">
        <f>MAX($I$11:$I$24)</f>
        <v>100</v>
      </c>
    </row>
    <row r="4" spans="1:2" ht="15">
      <c r="A4" s="35" t="s">
        <v>57</v>
      </c>
      <c r="B4" s="34">
        <f>MIN($I$11:$I$24)</f>
        <v>9.536040474734236</v>
      </c>
    </row>
    <row r="5" spans="1:2" ht="15">
      <c r="A5" s="33" t="s">
        <v>58</v>
      </c>
      <c r="B5" s="32" t="s">
        <v>46</v>
      </c>
    </row>
    <row r="6" spans="1:5" ht="15">
      <c r="A6" s="38"/>
      <c r="B6" s="39"/>
      <c r="E6" s="39"/>
    </row>
    <row r="7" spans="1:11" s="29" customFormat="1" ht="18" customHeight="1">
      <c r="A7" s="104" t="s">
        <v>39</v>
      </c>
      <c r="B7" s="104" t="s">
        <v>62</v>
      </c>
      <c r="C7" s="104"/>
      <c r="D7" s="104"/>
      <c r="E7" s="104"/>
      <c r="F7" s="104"/>
      <c r="G7" s="104"/>
      <c r="H7" s="104"/>
      <c r="I7" s="110" t="s">
        <v>59</v>
      </c>
      <c r="J7" s="110" t="s">
        <v>60</v>
      </c>
      <c r="K7" s="110" t="s">
        <v>61</v>
      </c>
    </row>
    <row r="8" spans="1:11" s="29" customFormat="1" ht="22.5" customHeight="1">
      <c r="A8" s="104"/>
      <c r="B8" s="104" t="s">
        <v>229</v>
      </c>
      <c r="C8" s="104"/>
      <c r="D8" s="104"/>
      <c r="E8" s="104" t="s">
        <v>230</v>
      </c>
      <c r="F8" s="104"/>
      <c r="G8" s="104"/>
      <c r="H8" s="108" t="s">
        <v>124</v>
      </c>
      <c r="I8" s="110"/>
      <c r="J8" s="110"/>
      <c r="K8" s="110"/>
    </row>
    <row r="9" spans="1:11" s="31" customFormat="1" ht="49.5" customHeight="1">
      <c r="A9" s="109"/>
      <c r="B9" s="23" t="s">
        <v>121</v>
      </c>
      <c r="C9" s="23" t="s">
        <v>122</v>
      </c>
      <c r="D9" s="23" t="s">
        <v>125</v>
      </c>
      <c r="E9" s="23" t="s">
        <v>121</v>
      </c>
      <c r="F9" s="23" t="s">
        <v>122</v>
      </c>
      <c r="G9" s="23" t="s">
        <v>125</v>
      </c>
      <c r="H9" s="108"/>
      <c r="I9" s="111"/>
      <c r="J9" s="111"/>
      <c r="K9" s="111"/>
    </row>
    <row r="10" spans="1:11" s="29" customFormat="1" ht="15">
      <c r="A10" s="30">
        <v>1</v>
      </c>
      <c r="B10" s="30">
        <v>2</v>
      </c>
      <c r="C10" s="30">
        <v>3</v>
      </c>
      <c r="D10" s="56" t="s">
        <v>63</v>
      </c>
      <c r="E10" s="30">
        <v>5</v>
      </c>
      <c r="F10" s="30">
        <v>6</v>
      </c>
      <c r="G10" s="56" t="s">
        <v>123</v>
      </c>
      <c r="H10" s="30">
        <v>14</v>
      </c>
      <c r="I10" s="30">
        <v>15</v>
      </c>
      <c r="J10" s="30">
        <v>16</v>
      </c>
      <c r="K10" s="30">
        <v>17</v>
      </c>
    </row>
    <row r="11" spans="1:11" ht="15">
      <c r="A11" s="16" t="s">
        <v>231</v>
      </c>
      <c r="B11" s="21">
        <v>9263890.6</v>
      </c>
      <c r="C11" s="21">
        <v>5137423.69</v>
      </c>
      <c r="D11" s="86">
        <f>C11/B11*100</f>
        <v>55.4564373849579</v>
      </c>
      <c r="E11" s="21">
        <v>10263890.6</v>
      </c>
      <c r="F11" s="21">
        <v>8084067.76</v>
      </c>
      <c r="G11" s="86">
        <f>F11/E11*100</f>
        <v>78.7622167367996</v>
      </c>
      <c r="H11" s="27">
        <f>AVERAGE($D11,$G11)</f>
        <v>67.10932706087875</v>
      </c>
      <c r="I11" s="27">
        <f>IF(H11&gt;100,100,H11)</f>
        <v>67.10932706087875</v>
      </c>
      <c r="J11" s="27">
        <f>($I11-$B$4)/($B$3-$B$4)</f>
        <v>0.6364223596698177</v>
      </c>
      <c r="K11" s="27">
        <f>$J11*$B$5</f>
        <v>0.6364223596698177</v>
      </c>
    </row>
    <row r="12" spans="1:11" ht="15">
      <c r="A12" s="16" t="s">
        <v>232</v>
      </c>
      <c r="B12" s="21">
        <v>63270000</v>
      </c>
      <c r="C12" s="21">
        <v>3452020.82</v>
      </c>
      <c r="D12" s="86">
        <f aca="true" t="shared" si="0" ref="D12:D24">C12/B12*100</f>
        <v>5.456015204678363</v>
      </c>
      <c r="E12" s="21">
        <v>82670000</v>
      </c>
      <c r="F12" s="21">
        <v>12825803.98</v>
      </c>
      <c r="G12" s="86">
        <f aca="true" t="shared" si="1" ref="G12:G24">F12/E12*100</f>
        <v>15.514459876617877</v>
      </c>
      <c r="H12" s="27">
        <f aca="true" t="shared" si="2" ref="H12:H24">AVERAGE($D12,$G12)</f>
        <v>10.48523754064812</v>
      </c>
      <c r="I12" s="27">
        <f aca="true" t="shared" si="3" ref="I12:I24">IF(H12&gt;100,100,H12)</f>
        <v>10.48523754064812</v>
      </c>
      <c r="J12" s="27">
        <f aca="true" t="shared" si="4" ref="J12:J24">($I12-$B$4)/($B$3-$B$4)</f>
        <v>0.010492543891457479</v>
      </c>
      <c r="K12" s="27">
        <f aca="true" t="shared" si="5" ref="K12:K24">$J12*$B$5</f>
        <v>0.010492543891457479</v>
      </c>
    </row>
    <row r="13" spans="1:11" ht="15">
      <c r="A13" s="16" t="s">
        <v>214</v>
      </c>
      <c r="B13" s="21">
        <v>325000</v>
      </c>
      <c r="C13" s="21">
        <v>334614.21</v>
      </c>
      <c r="D13" s="86">
        <f t="shared" si="0"/>
        <v>102.95821846153848</v>
      </c>
      <c r="E13" s="21">
        <v>2600000</v>
      </c>
      <c r="F13" s="21">
        <v>2568655.04</v>
      </c>
      <c r="G13" s="86">
        <f t="shared" si="1"/>
        <v>98.79442461538461</v>
      </c>
      <c r="H13" s="27">
        <f t="shared" si="2"/>
        <v>100.87632153846155</v>
      </c>
      <c r="I13" s="27">
        <f t="shared" si="3"/>
        <v>100</v>
      </c>
      <c r="J13" s="27">
        <f t="shared" si="4"/>
        <v>1</v>
      </c>
      <c r="K13" s="27">
        <f t="shared" si="5"/>
        <v>1</v>
      </c>
    </row>
    <row r="14" spans="1:11" ht="15">
      <c r="A14" s="16" t="s">
        <v>215</v>
      </c>
      <c r="B14" s="21">
        <v>680000</v>
      </c>
      <c r="C14" s="21">
        <v>568103.24</v>
      </c>
      <c r="D14" s="86">
        <f t="shared" si="0"/>
        <v>83.54459411764705</v>
      </c>
      <c r="E14" s="21">
        <v>1475000</v>
      </c>
      <c r="F14" s="21">
        <v>789537.49</v>
      </c>
      <c r="G14" s="86">
        <f t="shared" si="1"/>
        <v>53.527965423728816</v>
      </c>
      <c r="H14" s="27">
        <f t="shared" si="2"/>
        <v>68.53627977068794</v>
      </c>
      <c r="I14" s="27">
        <f t="shared" si="3"/>
        <v>68.53627977068794</v>
      </c>
      <c r="J14" s="27">
        <f t="shared" si="4"/>
        <v>0.6521960746088664</v>
      </c>
      <c r="K14" s="27">
        <f t="shared" si="5"/>
        <v>0.6521960746088664</v>
      </c>
    </row>
    <row r="15" spans="1:11" ht="15">
      <c r="A15" s="16" t="s">
        <v>216</v>
      </c>
      <c r="B15" s="21">
        <v>1830000</v>
      </c>
      <c r="C15" s="21">
        <v>902031.76</v>
      </c>
      <c r="D15" s="86">
        <f t="shared" si="0"/>
        <v>49.29135300546449</v>
      </c>
      <c r="E15" s="21">
        <v>5398645</v>
      </c>
      <c r="F15" s="21">
        <v>8202458.41</v>
      </c>
      <c r="G15" s="86">
        <f t="shared" si="1"/>
        <v>151.93550251961372</v>
      </c>
      <c r="H15" s="27">
        <f t="shared" si="2"/>
        <v>100.6134277625391</v>
      </c>
      <c r="I15" s="27">
        <f t="shared" si="3"/>
        <v>100</v>
      </c>
      <c r="J15" s="27">
        <f t="shared" si="4"/>
        <v>1</v>
      </c>
      <c r="K15" s="27">
        <f t="shared" si="5"/>
        <v>1</v>
      </c>
    </row>
    <row r="16" spans="1:11" ht="15">
      <c r="A16" s="16" t="s">
        <v>217</v>
      </c>
      <c r="B16" s="21">
        <v>598000</v>
      </c>
      <c r="C16" s="21">
        <v>598491.34</v>
      </c>
      <c r="D16" s="86">
        <f t="shared" si="0"/>
        <v>100.08216387959865</v>
      </c>
      <c r="E16" s="21">
        <v>3247061</v>
      </c>
      <c r="F16" s="21">
        <v>3467289.93</v>
      </c>
      <c r="G16" s="86">
        <f t="shared" si="1"/>
        <v>106.78240815309599</v>
      </c>
      <c r="H16" s="27">
        <f t="shared" si="2"/>
        <v>103.43228601634732</v>
      </c>
      <c r="I16" s="27">
        <f t="shared" si="3"/>
        <v>100</v>
      </c>
      <c r="J16" s="27">
        <f t="shared" si="4"/>
        <v>1</v>
      </c>
      <c r="K16" s="27">
        <f t="shared" si="5"/>
        <v>1</v>
      </c>
    </row>
    <row r="17" spans="1:11" ht="15">
      <c r="A17" s="16" t="s">
        <v>218</v>
      </c>
      <c r="B17" s="21">
        <v>1300334</v>
      </c>
      <c r="C17" s="21">
        <v>1300333.38</v>
      </c>
      <c r="D17" s="86">
        <f t="shared" si="0"/>
        <v>99.99995231994241</v>
      </c>
      <c r="E17" s="21">
        <v>3564696</v>
      </c>
      <c r="F17" s="21">
        <v>3564692.45</v>
      </c>
      <c r="G17" s="86">
        <f t="shared" si="1"/>
        <v>99.99990041226518</v>
      </c>
      <c r="H17" s="27">
        <f t="shared" si="2"/>
        <v>99.9999263661038</v>
      </c>
      <c r="I17" s="27">
        <f t="shared" si="3"/>
        <v>99.9999263661038</v>
      </c>
      <c r="J17" s="27">
        <f t="shared" si="4"/>
        <v>0.9999991860416392</v>
      </c>
      <c r="K17" s="27">
        <f t="shared" si="5"/>
        <v>0.9999991860416392</v>
      </c>
    </row>
    <row r="18" spans="1:11" ht="15">
      <c r="A18" s="16" t="s">
        <v>219</v>
      </c>
      <c r="B18" s="21">
        <v>270000</v>
      </c>
      <c r="C18" s="21">
        <v>967857.05</v>
      </c>
      <c r="D18" s="86">
        <f t="shared" si="0"/>
        <v>358.4655740740741</v>
      </c>
      <c r="E18" s="21">
        <v>4292990</v>
      </c>
      <c r="F18" s="21">
        <v>5429379.95</v>
      </c>
      <c r="G18" s="86">
        <f t="shared" si="1"/>
        <v>126.47082685960136</v>
      </c>
      <c r="H18" s="27">
        <f t="shared" si="2"/>
        <v>242.46820046683771</v>
      </c>
      <c r="I18" s="27">
        <f t="shared" si="3"/>
        <v>100</v>
      </c>
      <c r="J18" s="27">
        <f t="shared" si="4"/>
        <v>1</v>
      </c>
      <c r="K18" s="27">
        <f t="shared" si="5"/>
        <v>1</v>
      </c>
    </row>
    <row r="19" spans="1:11" ht="15">
      <c r="A19" s="16" t="s">
        <v>244</v>
      </c>
      <c r="B19" s="21">
        <v>21849036</v>
      </c>
      <c r="C19" s="21">
        <v>4668367.44</v>
      </c>
      <c r="D19" s="86">
        <f t="shared" si="0"/>
        <v>21.366468708276194</v>
      </c>
      <c r="E19" s="21">
        <v>23036036</v>
      </c>
      <c r="F19" s="21">
        <v>8997138.58</v>
      </c>
      <c r="G19" s="86">
        <f t="shared" si="1"/>
        <v>39.056800310609</v>
      </c>
      <c r="H19" s="27">
        <f t="shared" si="2"/>
        <v>30.211634509442597</v>
      </c>
      <c r="I19" s="27">
        <f t="shared" si="3"/>
        <v>30.211634509442597</v>
      </c>
      <c r="J19" s="27">
        <f t="shared" si="4"/>
        <v>0.22855061997296122</v>
      </c>
      <c r="K19" s="27">
        <f t="shared" si="5"/>
        <v>0.22855061997296122</v>
      </c>
    </row>
    <row r="20" spans="1:11" ht="15">
      <c r="A20" s="16" t="s">
        <v>245</v>
      </c>
      <c r="B20" s="21">
        <v>3716100</v>
      </c>
      <c r="C20" s="21">
        <v>1341559.64</v>
      </c>
      <c r="D20" s="86">
        <f t="shared" si="0"/>
        <v>36.101279298188956</v>
      </c>
      <c r="E20" s="21">
        <v>3740900</v>
      </c>
      <c r="F20" s="21">
        <v>2532087.35</v>
      </c>
      <c r="G20" s="86">
        <f t="shared" si="1"/>
        <v>67.68658210591035</v>
      </c>
      <c r="H20" s="27">
        <f t="shared" si="2"/>
        <v>51.89393070204965</v>
      </c>
      <c r="I20" s="27">
        <f t="shared" si="3"/>
        <v>51.89393070204965</v>
      </c>
      <c r="J20" s="27">
        <f t="shared" si="4"/>
        <v>0.46822945236533936</v>
      </c>
      <c r="K20" s="27">
        <f t="shared" si="5"/>
        <v>0.46822945236533936</v>
      </c>
    </row>
    <row r="21" spans="1:11" ht="15">
      <c r="A21" s="16" t="s">
        <v>246</v>
      </c>
      <c r="B21" s="21">
        <v>4500000</v>
      </c>
      <c r="C21" s="21">
        <v>282993.8</v>
      </c>
      <c r="D21" s="86">
        <f t="shared" si="0"/>
        <v>6.288751111111111</v>
      </c>
      <c r="E21" s="21">
        <v>4578000</v>
      </c>
      <c r="F21" s="21">
        <v>585220.84</v>
      </c>
      <c r="G21" s="86">
        <f t="shared" si="1"/>
        <v>12.78332983835736</v>
      </c>
      <c r="H21" s="27">
        <f t="shared" si="2"/>
        <v>9.536040474734236</v>
      </c>
      <c r="I21" s="27">
        <f t="shared" si="3"/>
        <v>9.536040474734236</v>
      </c>
      <c r="J21" s="27">
        <f t="shared" si="4"/>
        <v>0</v>
      </c>
      <c r="K21" s="27">
        <f t="shared" si="5"/>
        <v>0</v>
      </c>
    </row>
    <row r="22" spans="1:11" ht="15">
      <c r="A22" s="16" t="s">
        <v>247</v>
      </c>
      <c r="B22" s="21">
        <v>5787500</v>
      </c>
      <c r="C22" s="21">
        <v>6183719</v>
      </c>
      <c r="D22" s="86">
        <f t="shared" si="0"/>
        <v>106.84611663066954</v>
      </c>
      <c r="E22" s="21">
        <v>16375693</v>
      </c>
      <c r="F22" s="21">
        <v>20220099.01</v>
      </c>
      <c r="G22" s="86">
        <f t="shared" si="1"/>
        <v>123.47629507954261</v>
      </c>
      <c r="H22" s="27">
        <f t="shared" si="2"/>
        <v>115.16120585510608</v>
      </c>
      <c r="I22" s="27">
        <f t="shared" si="3"/>
        <v>100</v>
      </c>
      <c r="J22" s="27">
        <f t="shared" si="4"/>
        <v>1</v>
      </c>
      <c r="K22" s="27">
        <f t="shared" si="5"/>
        <v>1</v>
      </c>
    </row>
    <row r="23" spans="1:11" ht="15">
      <c r="A23" s="16" t="s">
        <v>248</v>
      </c>
      <c r="B23" s="21">
        <v>835000</v>
      </c>
      <c r="C23" s="21">
        <v>121950.23</v>
      </c>
      <c r="D23" s="86">
        <f t="shared" si="0"/>
        <v>14.604817964071856</v>
      </c>
      <c r="E23" s="21">
        <v>1757420</v>
      </c>
      <c r="F23" s="21">
        <v>497892.16</v>
      </c>
      <c r="G23" s="86">
        <f t="shared" si="1"/>
        <v>28.330857734633724</v>
      </c>
      <c r="H23" s="27">
        <f t="shared" si="2"/>
        <v>21.46783784935279</v>
      </c>
      <c r="I23" s="27">
        <f t="shared" si="3"/>
        <v>21.46783784935279</v>
      </c>
      <c r="J23" s="27">
        <f t="shared" si="4"/>
        <v>0.1318955906554821</v>
      </c>
      <c r="K23" s="27">
        <f t="shared" si="5"/>
        <v>0.1318955906554821</v>
      </c>
    </row>
    <row r="24" spans="1:11" ht="15">
      <c r="A24" s="16" t="s">
        <v>249</v>
      </c>
      <c r="B24" s="21">
        <v>3291000</v>
      </c>
      <c r="C24" s="21">
        <v>125374.2</v>
      </c>
      <c r="D24" s="86">
        <f t="shared" si="0"/>
        <v>3.8096080218778487</v>
      </c>
      <c r="E24" s="21">
        <v>82000</v>
      </c>
      <c r="F24" s="21">
        <v>195597.96</v>
      </c>
      <c r="G24" s="86">
        <f t="shared" si="1"/>
        <v>238.5340975609756</v>
      </c>
      <c r="H24" s="27">
        <f t="shared" si="2"/>
        <v>121.17185279142672</v>
      </c>
      <c r="I24" s="27">
        <f t="shared" si="3"/>
        <v>100</v>
      </c>
      <c r="J24" s="27">
        <f t="shared" si="4"/>
        <v>1</v>
      </c>
      <c r="K24" s="27">
        <f t="shared" si="5"/>
        <v>1</v>
      </c>
    </row>
    <row r="25" ht="15">
      <c r="A25" s="5" t="s">
        <v>40</v>
      </c>
    </row>
    <row r="26" ht="15">
      <c r="I26" s="40"/>
    </row>
    <row r="27" spans="2:8" ht="15">
      <c r="B27" s="40"/>
      <c r="C27" s="40"/>
      <c r="D27" s="40"/>
      <c r="E27" s="40"/>
      <c r="F27" s="40"/>
      <c r="G27" s="40"/>
      <c r="H27" s="40"/>
    </row>
  </sheetData>
  <sheetProtection/>
  <mergeCells count="9">
    <mergeCell ref="B8:D8"/>
    <mergeCell ref="E8:G8"/>
    <mergeCell ref="H8:H9"/>
    <mergeCell ref="B7:H7"/>
    <mergeCell ref="A1:K1"/>
    <mergeCell ref="A7:A9"/>
    <mergeCell ref="I7:I9"/>
    <mergeCell ref="J7:J9"/>
    <mergeCell ref="K7:K9"/>
  </mergeCells>
  <printOptions horizontalCentered="1" verticalCentered="1"/>
  <pageMargins left="0.23" right="0.15748031496062992" top="0.17" bottom="0.31496062992125984" header="0.17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4"/>
  <sheetViews>
    <sheetView view="pageBreakPreview" zoomScaleSheetLayoutView="100" zoomScalePageLayoutView="0" workbookViewId="0" topLeftCell="A1">
      <selection activeCell="G10" sqref="G10:G23"/>
    </sheetView>
  </sheetViews>
  <sheetFormatPr defaultColWidth="9.140625" defaultRowHeight="15"/>
  <cols>
    <col min="1" max="1" width="24.7109375" style="26" customWidth="1"/>
    <col min="2" max="2" width="17.28125" style="26" customWidth="1"/>
    <col min="3" max="3" width="20.57421875" style="26" customWidth="1"/>
    <col min="4" max="4" width="19.28125" style="26" customWidth="1"/>
    <col min="5" max="5" width="9.8515625" style="41" customWidth="1"/>
    <col min="6" max="6" width="8.8515625" style="41" customWidth="1"/>
    <col min="7" max="7" width="12.57421875" style="41" customWidth="1"/>
    <col min="8" max="16384" width="9.140625" style="26" customWidth="1"/>
  </cols>
  <sheetData>
    <row r="1" spans="1:7" ht="15">
      <c r="A1" s="106" t="s">
        <v>201</v>
      </c>
      <c r="B1" s="112"/>
      <c r="C1" s="112"/>
      <c r="D1" s="112"/>
      <c r="E1" s="112"/>
      <c r="F1" s="112"/>
      <c r="G1" s="112"/>
    </row>
    <row r="3" spans="1:4" ht="15">
      <c r="A3" s="37" t="s">
        <v>164</v>
      </c>
      <c r="B3" s="61">
        <f>MAX($E$10:$E$23)</f>
        <v>0.09087981753203846</v>
      </c>
      <c r="C3" s="51"/>
      <c r="D3" s="51"/>
    </row>
    <row r="4" spans="1:4" ht="15">
      <c r="A4" s="35" t="s">
        <v>165</v>
      </c>
      <c r="B4" s="94">
        <f>MIN($E$10:$E$23)</f>
        <v>0.04434143552618915</v>
      </c>
      <c r="C4" s="52"/>
      <c r="D4" s="52"/>
    </row>
    <row r="5" spans="1:4" ht="15">
      <c r="A5" s="33" t="s">
        <v>166</v>
      </c>
      <c r="B5" s="32" t="s">
        <v>41</v>
      </c>
      <c r="C5" s="39"/>
      <c r="D5" s="39"/>
    </row>
    <row r="7" spans="1:7" s="31" customFormat="1" ht="32.25" customHeight="1">
      <c r="A7" s="104" t="s">
        <v>39</v>
      </c>
      <c r="B7" s="104" t="s">
        <v>169</v>
      </c>
      <c r="C7" s="104"/>
      <c r="D7" s="104" t="s">
        <v>168</v>
      </c>
      <c r="E7" s="110" t="s">
        <v>171</v>
      </c>
      <c r="F7" s="110" t="s">
        <v>172</v>
      </c>
      <c r="G7" s="110" t="s">
        <v>173</v>
      </c>
    </row>
    <row r="8" spans="1:7" s="31" customFormat="1" ht="64.5" customHeight="1">
      <c r="A8" s="104"/>
      <c r="B8" s="23" t="s">
        <v>51</v>
      </c>
      <c r="C8" s="23" t="s">
        <v>167</v>
      </c>
      <c r="D8" s="104"/>
      <c r="E8" s="110"/>
      <c r="F8" s="110"/>
      <c r="G8" s="110"/>
    </row>
    <row r="9" spans="1:7" s="29" customFormat="1" ht="15">
      <c r="A9" s="30">
        <v>1</v>
      </c>
      <c r="B9" s="30">
        <v>2</v>
      </c>
      <c r="C9" s="30">
        <v>3</v>
      </c>
      <c r="D9" s="30">
        <v>4</v>
      </c>
      <c r="E9" s="30" t="s">
        <v>170</v>
      </c>
      <c r="F9" s="30">
        <v>6</v>
      </c>
      <c r="G9" s="30">
        <v>7</v>
      </c>
    </row>
    <row r="10" spans="1:7" ht="15">
      <c r="A10" s="16" t="s">
        <v>231</v>
      </c>
      <c r="B10" s="85">
        <v>81974789.56</v>
      </c>
      <c r="C10" s="85">
        <v>-8757842.47</v>
      </c>
      <c r="D10" s="85">
        <v>1999764000</v>
      </c>
      <c r="E10" s="63">
        <f>($B10-$C10)/$D10</f>
        <v>0.045371669872044905</v>
      </c>
      <c r="F10" s="47">
        <f aca="true" t="shared" si="0" ref="F10:F23">($E10-$B$4)/($B$3-$B$4)</f>
        <v>0.02213730476762737</v>
      </c>
      <c r="G10" s="47">
        <f aca="true" t="shared" si="1" ref="G10:G23">$F10*$B$5</f>
        <v>0.04427460953525474</v>
      </c>
    </row>
    <row r="11" spans="1:7" ht="15">
      <c r="A11" s="16" t="s">
        <v>232</v>
      </c>
      <c r="B11" s="85">
        <v>277804808.08</v>
      </c>
      <c r="C11" s="85">
        <v>-20964835.79</v>
      </c>
      <c r="D11" s="85">
        <v>6737933500</v>
      </c>
      <c r="E11" s="63">
        <f aca="true" t="shared" si="2" ref="E11:E23">($B11-$C11)/$D11</f>
        <v>0.04434143552618915</v>
      </c>
      <c r="F11" s="47">
        <f t="shared" si="0"/>
        <v>0</v>
      </c>
      <c r="G11" s="47">
        <f t="shared" si="1"/>
        <v>0</v>
      </c>
    </row>
    <row r="12" spans="1:7" ht="15">
      <c r="A12" s="16" t="s">
        <v>214</v>
      </c>
      <c r="B12" s="85">
        <v>45125906.04</v>
      </c>
      <c r="C12" s="85">
        <v>-1598633.84</v>
      </c>
      <c r="D12" s="85">
        <v>1033657400</v>
      </c>
      <c r="E12" s="63">
        <f t="shared" si="2"/>
        <v>0.045203120376248455</v>
      </c>
      <c r="F12" s="47">
        <f t="shared" si="0"/>
        <v>0.018515573875151032</v>
      </c>
      <c r="G12" s="47">
        <f t="shared" si="1"/>
        <v>0.037031147750302064</v>
      </c>
    </row>
    <row r="13" spans="1:7" ht="15">
      <c r="A13" s="16" t="s">
        <v>215</v>
      </c>
      <c r="B13" s="85">
        <v>13493014.47</v>
      </c>
      <c r="C13" s="85">
        <v>-265480.16</v>
      </c>
      <c r="D13" s="85">
        <v>188054900</v>
      </c>
      <c r="E13" s="63">
        <f t="shared" si="2"/>
        <v>0.07316211717961085</v>
      </c>
      <c r="F13" s="47">
        <f t="shared" si="0"/>
        <v>0.6192884327134384</v>
      </c>
      <c r="G13" s="47">
        <f t="shared" si="1"/>
        <v>1.2385768654268767</v>
      </c>
    </row>
    <row r="14" spans="1:7" ht="15">
      <c r="A14" s="16" t="s">
        <v>216</v>
      </c>
      <c r="B14" s="85">
        <v>66536163.89</v>
      </c>
      <c r="C14" s="85">
        <v>-2826438.04</v>
      </c>
      <c r="D14" s="85">
        <v>1297277000</v>
      </c>
      <c r="E14" s="63">
        <f t="shared" si="2"/>
        <v>0.05346784220332281</v>
      </c>
      <c r="F14" s="47">
        <f t="shared" si="0"/>
        <v>0.1961049414220413</v>
      </c>
      <c r="G14" s="47">
        <f t="shared" si="1"/>
        <v>0.3922098828440826</v>
      </c>
    </row>
    <row r="15" spans="1:7" ht="15">
      <c r="A15" s="16" t="s">
        <v>217</v>
      </c>
      <c r="B15" s="85">
        <v>31659475.86</v>
      </c>
      <c r="C15" s="85">
        <v>-886547.68</v>
      </c>
      <c r="D15" s="85">
        <v>428967900</v>
      </c>
      <c r="E15" s="63">
        <f t="shared" si="2"/>
        <v>0.0758705337625496</v>
      </c>
      <c r="F15" s="47">
        <f t="shared" si="0"/>
        <v>0.6774859132919065</v>
      </c>
      <c r="G15" s="47">
        <f t="shared" si="1"/>
        <v>1.354971826583813</v>
      </c>
    </row>
    <row r="16" spans="1:7" ht="15">
      <c r="A16" s="16" t="s">
        <v>218</v>
      </c>
      <c r="B16" s="85">
        <v>24667524.36</v>
      </c>
      <c r="C16" s="85">
        <v>-1169759.52</v>
      </c>
      <c r="D16" s="85">
        <v>395785100</v>
      </c>
      <c r="E16" s="63">
        <f t="shared" si="2"/>
        <v>0.06528109289611964</v>
      </c>
      <c r="F16" s="47">
        <f t="shared" si="0"/>
        <v>0.4499438198624659</v>
      </c>
      <c r="G16" s="47">
        <f t="shared" si="1"/>
        <v>0.8998876397249318</v>
      </c>
    </row>
    <row r="17" spans="1:7" ht="15">
      <c r="A17" s="16" t="s">
        <v>219</v>
      </c>
      <c r="B17" s="85">
        <v>22719343.18</v>
      </c>
      <c r="C17" s="85">
        <v>-401298.88</v>
      </c>
      <c r="D17" s="85">
        <v>381995900</v>
      </c>
      <c r="E17" s="63">
        <f t="shared" si="2"/>
        <v>0.06052589061819773</v>
      </c>
      <c r="F17" s="47">
        <f t="shared" si="0"/>
        <v>0.3477657450569379</v>
      </c>
      <c r="G17" s="47">
        <f t="shared" si="1"/>
        <v>0.6955314901138758</v>
      </c>
    </row>
    <row r="18" spans="1:7" ht="15">
      <c r="A18" s="16" t="s">
        <v>244</v>
      </c>
      <c r="B18" s="85">
        <v>67277603.22</v>
      </c>
      <c r="C18" s="85">
        <v>-2895784.9</v>
      </c>
      <c r="D18" s="85">
        <v>849314800</v>
      </c>
      <c r="E18" s="63">
        <f t="shared" si="2"/>
        <v>0.08262353148679383</v>
      </c>
      <c r="F18" s="47">
        <f t="shared" si="0"/>
        <v>0.8225918974964167</v>
      </c>
      <c r="G18" s="47">
        <f t="shared" si="1"/>
        <v>1.6451837949928334</v>
      </c>
    </row>
    <row r="19" spans="1:7" ht="15">
      <c r="A19" s="16" t="s">
        <v>245</v>
      </c>
      <c r="B19" s="85">
        <v>67597213.89</v>
      </c>
      <c r="C19" s="85">
        <v>-2005905.98</v>
      </c>
      <c r="D19" s="85">
        <v>1049516200</v>
      </c>
      <c r="E19" s="63">
        <f t="shared" si="2"/>
        <v>0.06631924297118996</v>
      </c>
      <c r="F19" s="47">
        <f t="shared" si="0"/>
        <v>0.47225121497001055</v>
      </c>
      <c r="G19" s="47">
        <f t="shared" si="1"/>
        <v>0.9445024299400211</v>
      </c>
    </row>
    <row r="20" spans="1:7" ht="15">
      <c r="A20" s="16" t="s">
        <v>246</v>
      </c>
      <c r="B20" s="85">
        <v>23012682.04</v>
      </c>
      <c r="C20" s="85">
        <v>-822431.32</v>
      </c>
      <c r="D20" s="85">
        <v>262270700</v>
      </c>
      <c r="E20" s="63">
        <f t="shared" si="2"/>
        <v>0.09087981753203846</v>
      </c>
      <c r="F20" s="47">
        <f t="shared" si="0"/>
        <v>1</v>
      </c>
      <c r="G20" s="47">
        <f t="shared" si="1"/>
        <v>2</v>
      </c>
    </row>
    <row r="21" spans="1:7" ht="15">
      <c r="A21" s="16" t="s">
        <v>247</v>
      </c>
      <c r="B21" s="85">
        <v>122138707.73</v>
      </c>
      <c r="C21" s="85">
        <v>-5427130.38</v>
      </c>
      <c r="D21" s="85">
        <v>1760696400</v>
      </c>
      <c r="E21" s="63">
        <f t="shared" si="2"/>
        <v>0.07245192192702841</v>
      </c>
      <c r="F21" s="47">
        <f t="shared" si="0"/>
        <v>0.6040280127767682</v>
      </c>
      <c r="G21" s="47">
        <f t="shared" si="1"/>
        <v>1.2080560255535364</v>
      </c>
    </row>
    <row r="22" spans="1:7" ht="15">
      <c r="A22" s="16" t="s">
        <v>248</v>
      </c>
      <c r="B22" s="85">
        <v>16409110.66</v>
      </c>
      <c r="C22" s="85">
        <v>-943071.5</v>
      </c>
      <c r="D22" s="85">
        <v>294960800</v>
      </c>
      <c r="E22" s="63">
        <f t="shared" si="2"/>
        <v>0.058828773721796256</v>
      </c>
      <c r="F22" s="47">
        <f t="shared" si="0"/>
        <v>0.31129870810261995</v>
      </c>
      <c r="G22" s="47">
        <f t="shared" si="1"/>
        <v>0.6225974162052399</v>
      </c>
    </row>
    <row r="23" spans="1:7" ht="15">
      <c r="A23" s="16" t="s">
        <v>249</v>
      </c>
      <c r="B23" s="85">
        <v>16446416.46</v>
      </c>
      <c r="C23" s="85">
        <v>-871049.88</v>
      </c>
      <c r="D23" s="85">
        <v>302070400</v>
      </c>
      <c r="E23" s="63">
        <f t="shared" si="2"/>
        <v>0.057329239607720586</v>
      </c>
      <c r="F23" s="47">
        <f t="shared" si="0"/>
        <v>0.27907725885053386</v>
      </c>
      <c r="G23" s="47">
        <f t="shared" si="1"/>
        <v>0.5581545177010677</v>
      </c>
    </row>
    <row r="24" ht="15">
      <c r="A24" s="5" t="s">
        <v>40</v>
      </c>
    </row>
  </sheetData>
  <sheetProtection/>
  <mergeCells count="7">
    <mergeCell ref="A1:G1"/>
    <mergeCell ref="B7:C7"/>
    <mergeCell ref="A7:A8"/>
    <mergeCell ref="D7:D8"/>
    <mergeCell ref="E7:E8"/>
    <mergeCell ref="F7:F8"/>
    <mergeCell ref="G7:G8"/>
  </mergeCells>
  <printOptions horizontalCentered="1" verticalCentered="1"/>
  <pageMargins left="0.15748031496062992" right="0.2362204724409449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3"/>
  <sheetViews>
    <sheetView view="pageBreakPreview" zoomScaleSheetLayoutView="100" zoomScalePageLayoutView="0" workbookViewId="0" topLeftCell="A1">
      <selection activeCell="E19" sqref="E19"/>
    </sheetView>
  </sheetViews>
  <sheetFormatPr defaultColWidth="8.7109375" defaultRowHeight="15"/>
  <cols>
    <col min="1" max="1" width="24.140625" style="26" customWidth="1"/>
    <col min="2" max="2" width="18.00390625" style="26" customWidth="1"/>
    <col min="3" max="3" width="15.7109375" style="26" customWidth="1"/>
    <col min="4" max="4" width="12.421875" style="26" customWidth="1"/>
    <col min="5" max="5" width="7.28125" style="26" customWidth="1"/>
    <col min="6" max="6" width="12.7109375" style="26" customWidth="1"/>
    <col min="7" max="7" width="8.7109375" style="26" customWidth="1"/>
    <col min="8" max="16384" width="8.7109375" style="26" customWidth="1"/>
  </cols>
  <sheetData>
    <row r="1" spans="1:6" ht="33" customHeight="1">
      <c r="A1" s="106" t="s">
        <v>182</v>
      </c>
      <c r="B1" s="106"/>
      <c r="C1" s="106"/>
      <c r="D1" s="106"/>
      <c r="E1" s="106"/>
      <c r="F1" s="106"/>
    </row>
    <row r="3" spans="1:3" ht="15">
      <c r="A3" s="37" t="s">
        <v>174</v>
      </c>
      <c r="B3" s="36">
        <f>MAX($D$9:$D$22)</f>
        <v>16.851244189226144</v>
      </c>
      <c r="C3" s="43"/>
    </row>
    <row r="4" spans="1:3" ht="15">
      <c r="A4" s="35" t="s">
        <v>175</v>
      </c>
      <c r="B4" s="34">
        <f>MIN($D$9:$D$22)</f>
        <v>5.6693027118766475</v>
      </c>
      <c r="C4" s="44"/>
    </row>
    <row r="5" spans="1:3" ht="15">
      <c r="A5" s="33" t="s">
        <v>176</v>
      </c>
      <c r="B5" s="32" t="s">
        <v>46</v>
      </c>
      <c r="C5" s="39"/>
    </row>
    <row r="7" spans="1:7" s="31" customFormat="1" ht="63.75" customHeight="1">
      <c r="A7" s="82" t="s">
        <v>39</v>
      </c>
      <c r="B7" s="23" t="s">
        <v>177</v>
      </c>
      <c r="C7" s="23" t="s">
        <v>228</v>
      </c>
      <c r="D7" s="30" t="s">
        <v>178</v>
      </c>
      <c r="E7" s="30" t="s">
        <v>179</v>
      </c>
      <c r="F7" s="30" t="s">
        <v>180</v>
      </c>
      <c r="G7" s="107"/>
    </row>
    <row r="8" spans="1:7" s="29" customFormat="1" ht="15">
      <c r="A8" s="83">
        <v>1</v>
      </c>
      <c r="B8" s="83">
        <v>2</v>
      </c>
      <c r="C8" s="83">
        <v>3</v>
      </c>
      <c r="D8" s="83" t="s">
        <v>181</v>
      </c>
      <c r="E8" s="83">
        <v>5</v>
      </c>
      <c r="F8" s="83">
        <v>6</v>
      </c>
      <c r="G8" s="107"/>
    </row>
    <row r="9" spans="1:7" ht="15">
      <c r="A9" s="16" t="s">
        <v>231</v>
      </c>
      <c r="B9" s="53">
        <v>828</v>
      </c>
      <c r="C9" s="53">
        <v>58747</v>
      </c>
      <c r="D9" s="27">
        <f>$B9/$C9*1000</f>
        <v>14.094336732088449</v>
      </c>
      <c r="E9" s="27">
        <f>($D9-$B$4)/($B$3-$B$4)</f>
        <v>0.7534500191471957</v>
      </c>
      <c r="F9" s="27">
        <f aca="true" t="shared" si="0" ref="F9:F22">$E9*$B$5</f>
        <v>0.7534500191471957</v>
      </c>
      <c r="G9" s="45"/>
    </row>
    <row r="10" spans="1:7" ht="15">
      <c r="A10" s="16" t="s">
        <v>232</v>
      </c>
      <c r="B10" s="53">
        <v>1460</v>
      </c>
      <c r="C10" s="53">
        <v>105161</v>
      </c>
      <c r="D10" s="27">
        <f aca="true" t="shared" si="1" ref="D10:D22">$B10/$C10*1000</f>
        <v>13.883473911431043</v>
      </c>
      <c r="E10" s="27">
        <f aca="true" t="shared" si="2" ref="E10:E22">($D10-$B$4)/($B$3-$B$4)</f>
        <v>0.7345925764495627</v>
      </c>
      <c r="F10" s="27">
        <f t="shared" si="0"/>
        <v>0.7345925764495627</v>
      </c>
      <c r="G10" s="45"/>
    </row>
    <row r="11" spans="1:7" ht="15">
      <c r="A11" s="16" t="s">
        <v>214</v>
      </c>
      <c r="B11" s="53">
        <v>493</v>
      </c>
      <c r="C11" s="53">
        <v>29256</v>
      </c>
      <c r="D11" s="27">
        <f t="shared" si="1"/>
        <v>16.851244189226144</v>
      </c>
      <c r="E11" s="27">
        <f t="shared" si="2"/>
        <v>1</v>
      </c>
      <c r="F11" s="27">
        <f t="shared" si="0"/>
        <v>1</v>
      </c>
      <c r="G11" s="45"/>
    </row>
    <row r="12" spans="1:7" ht="15">
      <c r="A12" s="16" t="s">
        <v>215</v>
      </c>
      <c r="B12" s="53">
        <v>109</v>
      </c>
      <c r="C12" s="53">
        <v>11728</v>
      </c>
      <c r="D12" s="27">
        <f t="shared" si="1"/>
        <v>9.29399727148704</v>
      </c>
      <c r="E12" s="27">
        <f t="shared" si="2"/>
        <v>0.3241561017782727</v>
      </c>
      <c r="F12" s="27">
        <f t="shared" si="0"/>
        <v>0.3241561017782727</v>
      </c>
      <c r="G12" s="45"/>
    </row>
    <row r="13" spans="1:7" ht="15">
      <c r="A13" s="16" t="s">
        <v>216</v>
      </c>
      <c r="B13" s="53">
        <v>464</v>
      </c>
      <c r="C13" s="53">
        <v>40152</v>
      </c>
      <c r="D13" s="27">
        <f t="shared" si="1"/>
        <v>11.5560868698944</v>
      </c>
      <c r="E13" s="27">
        <f t="shared" si="2"/>
        <v>0.5264545669410106</v>
      </c>
      <c r="F13" s="27">
        <f t="shared" si="0"/>
        <v>0.5264545669410106</v>
      </c>
      <c r="G13" s="45"/>
    </row>
    <row r="14" spans="1:7" ht="15">
      <c r="A14" s="16" t="s">
        <v>217</v>
      </c>
      <c r="B14" s="53">
        <v>230</v>
      </c>
      <c r="C14" s="53">
        <v>14292</v>
      </c>
      <c r="D14" s="27">
        <f t="shared" si="1"/>
        <v>16.09291911558914</v>
      </c>
      <c r="E14" s="27">
        <f t="shared" si="2"/>
        <v>0.9321830582664834</v>
      </c>
      <c r="F14" s="27">
        <f t="shared" si="0"/>
        <v>0.9321830582664834</v>
      </c>
      <c r="G14" s="45"/>
    </row>
    <row r="15" spans="1:7" ht="15">
      <c r="A15" s="16" t="s">
        <v>218</v>
      </c>
      <c r="B15" s="53">
        <v>281</v>
      </c>
      <c r="C15" s="53">
        <v>18774</v>
      </c>
      <c r="D15" s="27">
        <f t="shared" si="1"/>
        <v>14.96750825609886</v>
      </c>
      <c r="E15" s="27">
        <f t="shared" si="2"/>
        <v>0.8315376683965803</v>
      </c>
      <c r="F15" s="27">
        <f t="shared" si="0"/>
        <v>0.8315376683965803</v>
      </c>
      <c r="G15" s="45"/>
    </row>
    <row r="16" spans="1:7" ht="15">
      <c r="A16" s="16" t="s">
        <v>219</v>
      </c>
      <c r="B16" s="53">
        <v>299</v>
      </c>
      <c r="C16" s="53">
        <v>23942</v>
      </c>
      <c r="D16" s="27">
        <f t="shared" si="1"/>
        <v>12.48851390861248</v>
      </c>
      <c r="E16" s="27">
        <f t="shared" si="2"/>
        <v>0.6098414314320146</v>
      </c>
      <c r="F16" s="27">
        <f t="shared" si="0"/>
        <v>0.6098414314320146</v>
      </c>
      <c r="G16" s="45"/>
    </row>
    <row r="17" spans="1:7" ht="15">
      <c r="A17" s="16" t="s">
        <v>244</v>
      </c>
      <c r="B17" s="53">
        <v>302</v>
      </c>
      <c r="C17" s="53">
        <v>32689</v>
      </c>
      <c r="D17" s="27">
        <f t="shared" si="1"/>
        <v>9.23858178592187</v>
      </c>
      <c r="E17" s="27">
        <f t="shared" si="2"/>
        <v>0.3192002999904149</v>
      </c>
      <c r="F17" s="27">
        <f t="shared" si="0"/>
        <v>0.3192002999904149</v>
      </c>
      <c r="G17" s="45"/>
    </row>
    <row r="18" spans="1:7" ht="15">
      <c r="A18" s="16" t="s">
        <v>245</v>
      </c>
      <c r="B18" s="53">
        <v>565</v>
      </c>
      <c r="C18" s="53">
        <v>44490</v>
      </c>
      <c r="D18" s="27">
        <f t="shared" si="1"/>
        <v>12.699483029894358</v>
      </c>
      <c r="E18" s="27">
        <f t="shared" si="2"/>
        <v>0.6287083805847375</v>
      </c>
      <c r="F18" s="27">
        <f t="shared" si="0"/>
        <v>0.6287083805847375</v>
      </c>
      <c r="G18" s="45"/>
    </row>
    <row r="19" spans="1:7" ht="15">
      <c r="A19" s="16" t="s">
        <v>246</v>
      </c>
      <c r="B19" s="53">
        <v>157</v>
      </c>
      <c r="C19" s="53">
        <v>27693</v>
      </c>
      <c r="D19" s="27">
        <f t="shared" si="1"/>
        <v>5.6693027118766475</v>
      </c>
      <c r="E19" s="27">
        <f t="shared" si="2"/>
        <v>0</v>
      </c>
      <c r="F19" s="27">
        <f t="shared" si="0"/>
        <v>0</v>
      </c>
      <c r="G19" s="45"/>
    </row>
    <row r="20" spans="1:7" ht="15">
      <c r="A20" s="16" t="s">
        <v>247</v>
      </c>
      <c r="B20" s="53">
        <v>499</v>
      </c>
      <c r="C20" s="53">
        <v>45339</v>
      </c>
      <c r="D20" s="27">
        <f t="shared" si="1"/>
        <v>11.005977194027219</v>
      </c>
      <c r="E20" s="27">
        <f t="shared" si="2"/>
        <v>0.4772583091192806</v>
      </c>
      <c r="F20" s="27">
        <f t="shared" si="0"/>
        <v>0.4772583091192806</v>
      </c>
      <c r="G20" s="45"/>
    </row>
    <row r="21" spans="1:7" ht="15">
      <c r="A21" s="16" t="s">
        <v>248</v>
      </c>
      <c r="B21" s="53">
        <v>193</v>
      </c>
      <c r="C21" s="53">
        <v>15085</v>
      </c>
      <c r="D21" s="27">
        <f t="shared" si="1"/>
        <v>12.794166390454093</v>
      </c>
      <c r="E21" s="27">
        <f t="shared" si="2"/>
        <v>0.6371759048292106</v>
      </c>
      <c r="F21" s="27">
        <f t="shared" si="0"/>
        <v>0.6371759048292106</v>
      </c>
      <c r="G21" s="45"/>
    </row>
    <row r="22" spans="1:7" ht="15">
      <c r="A22" s="16" t="s">
        <v>249</v>
      </c>
      <c r="B22" s="53">
        <v>231</v>
      </c>
      <c r="C22" s="53">
        <v>15597</v>
      </c>
      <c r="D22" s="27">
        <f t="shared" si="1"/>
        <v>14.810540488555493</v>
      </c>
      <c r="E22" s="27">
        <f t="shared" si="2"/>
        <v>0.8175000553522511</v>
      </c>
      <c r="F22" s="27">
        <f t="shared" si="0"/>
        <v>0.8175000553522511</v>
      </c>
      <c r="G22" s="45"/>
    </row>
    <row r="23" spans="1:7" ht="15">
      <c r="A23" s="5"/>
      <c r="G23" s="40"/>
    </row>
  </sheetData>
  <sheetProtection/>
  <mergeCells count="2">
    <mergeCell ref="G7:G8"/>
    <mergeCell ref="A1:F1"/>
  </mergeCells>
  <printOptions horizontalCentered="1" verticalCentered="1"/>
  <pageMargins left="0.23" right="0.15748031496062992" top="0.17" bottom="0.15748031496062992" header="0.15748031496062992" footer="0.1574803149606299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3"/>
  <sheetViews>
    <sheetView view="pageBreakPreview" zoomScaleSheetLayoutView="100" zoomScalePageLayoutView="0" workbookViewId="0" topLeftCell="A1">
      <selection activeCell="F9" sqref="F9"/>
    </sheetView>
  </sheetViews>
  <sheetFormatPr defaultColWidth="8.7109375" defaultRowHeight="15"/>
  <cols>
    <col min="1" max="1" width="24.421875" style="26" customWidth="1"/>
    <col min="2" max="3" width="18.421875" style="26" customWidth="1"/>
    <col min="4" max="4" width="7.140625" style="26" customWidth="1"/>
    <col min="5" max="5" width="6.57421875" style="26" customWidth="1"/>
    <col min="6" max="6" width="9.00390625" style="26" bestFit="1" customWidth="1"/>
    <col min="7" max="8" width="8.57421875" style="26" customWidth="1"/>
    <col min="9" max="16384" width="8.7109375" style="26" customWidth="1"/>
  </cols>
  <sheetData>
    <row r="1" spans="1:6" ht="33.75" customHeight="1">
      <c r="A1" s="106" t="s">
        <v>126</v>
      </c>
      <c r="B1" s="106"/>
      <c r="C1" s="106"/>
      <c r="D1" s="106"/>
      <c r="E1" s="106"/>
      <c r="F1" s="106"/>
    </row>
    <row r="3" spans="1:2" ht="15">
      <c r="A3" s="37" t="s">
        <v>64</v>
      </c>
      <c r="B3" s="61">
        <f>MAX($D$9:$D$22)</f>
        <v>0.10434257317122252</v>
      </c>
    </row>
    <row r="4" spans="1:2" ht="15">
      <c r="A4" s="35" t="s">
        <v>65</v>
      </c>
      <c r="B4" s="60">
        <f>MIN($D$9:$D$22)</f>
        <v>-0.0002807444272429088</v>
      </c>
    </row>
    <row r="5" spans="1:2" ht="15">
      <c r="A5" s="33" t="s">
        <v>66</v>
      </c>
      <c r="B5" s="32" t="s">
        <v>43</v>
      </c>
    </row>
    <row r="7" spans="1:6" s="31" customFormat="1" ht="62.25">
      <c r="A7" s="23" t="s">
        <v>39</v>
      </c>
      <c r="B7" s="23" t="s">
        <v>250</v>
      </c>
      <c r="C7" s="23" t="s">
        <v>251</v>
      </c>
      <c r="D7" s="30" t="s">
        <v>67</v>
      </c>
      <c r="E7" s="30" t="s">
        <v>68</v>
      </c>
      <c r="F7" s="30" t="s">
        <v>69</v>
      </c>
    </row>
    <row r="8" spans="1:6" s="29" customFormat="1" ht="15">
      <c r="A8" s="30">
        <v>1</v>
      </c>
      <c r="B8" s="30">
        <v>2</v>
      </c>
      <c r="C8" s="30">
        <v>3</v>
      </c>
      <c r="D8" s="30" t="s">
        <v>48</v>
      </c>
      <c r="E8" s="30">
        <v>5</v>
      </c>
      <c r="F8" s="30">
        <v>6</v>
      </c>
    </row>
    <row r="9" spans="1:7" ht="15">
      <c r="A9" s="16" t="s">
        <v>231</v>
      </c>
      <c r="B9" s="80">
        <v>1361258964.6</v>
      </c>
      <c r="C9" s="80">
        <v>11513105.180073857</v>
      </c>
      <c r="D9" s="62">
        <f>$C9/$B9</f>
        <v>0.008457689153552744</v>
      </c>
      <c r="E9" s="27">
        <f>($D9-$B$4)/($B$3-$B$4)</f>
        <v>0.08352281098877928</v>
      </c>
      <c r="F9" s="27">
        <f>$E9*$B$5</f>
        <v>-0.16704562197755857</v>
      </c>
      <c r="G9" s="45"/>
    </row>
    <row r="10" spans="1:7" ht="15">
      <c r="A10" s="16" t="s">
        <v>232</v>
      </c>
      <c r="B10" s="80">
        <v>1876466134.61</v>
      </c>
      <c r="C10" s="80">
        <v>47655005.45131557</v>
      </c>
      <c r="D10" s="62">
        <f aca="true" t="shared" si="0" ref="D10:D22">$C10/$B10</f>
        <v>0.025396144685137133</v>
      </c>
      <c r="E10" s="27">
        <f aca="true" t="shared" si="1" ref="E10:E22">($D10-$B$4)/($B$3-$B$4)</f>
        <v>0.24542224144454639</v>
      </c>
      <c r="F10" s="27">
        <f aca="true" t="shared" si="2" ref="F10:F22">$E10*$B$5</f>
        <v>-0.49084448288909277</v>
      </c>
      <c r="G10" s="45"/>
    </row>
    <row r="11" spans="1:7" ht="15">
      <c r="A11" s="16" t="s">
        <v>214</v>
      </c>
      <c r="B11" s="80">
        <v>746381210.01</v>
      </c>
      <c r="C11" s="80">
        <v>-209542.36530912668</v>
      </c>
      <c r="D11" s="62">
        <f t="shared" si="0"/>
        <v>-0.0002807444272429088</v>
      </c>
      <c r="E11" s="27">
        <f t="shared" si="1"/>
        <v>0</v>
      </c>
      <c r="F11" s="27">
        <f t="shared" si="2"/>
        <v>0</v>
      </c>
      <c r="G11" s="45"/>
    </row>
    <row r="12" spans="1:7" ht="15">
      <c r="A12" s="16" t="s">
        <v>215</v>
      </c>
      <c r="B12" s="80">
        <v>170900135.18</v>
      </c>
      <c r="C12" s="80">
        <v>17832159.85999097</v>
      </c>
      <c r="D12" s="62">
        <f t="shared" si="0"/>
        <v>0.10434257317122252</v>
      </c>
      <c r="E12" s="27">
        <f t="shared" si="1"/>
        <v>1</v>
      </c>
      <c r="F12" s="27">
        <f t="shared" si="2"/>
        <v>-2</v>
      </c>
      <c r="G12" s="45"/>
    </row>
    <row r="13" spans="1:7" ht="15">
      <c r="A13" s="16" t="s">
        <v>216</v>
      </c>
      <c r="B13" s="80">
        <v>582234007.1</v>
      </c>
      <c r="C13" s="80">
        <v>28266073.25522708</v>
      </c>
      <c r="D13" s="62">
        <f t="shared" si="0"/>
        <v>0.04854761644036419</v>
      </c>
      <c r="E13" s="27">
        <f t="shared" si="1"/>
        <v>0.46670629443243056</v>
      </c>
      <c r="F13" s="27">
        <f t="shared" si="2"/>
        <v>-0.9334125888648611</v>
      </c>
      <c r="G13" s="45"/>
    </row>
    <row r="14" spans="1:7" ht="15">
      <c r="A14" s="16" t="s">
        <v>217</v>
      </c>
      <c r="B14" s="80">
        <v>223327209.3</v>
      </c>
      <c r="C14" s="80">
        <v>22106008.57903448</v>
      </c>
      <c r="D14" s="62">
        <f t="shared" si="0"/>
        <v>0.09898484223361707</v>
      </c>
      <c r="E14" s="27">
        <f t="shared" si="1"/>
        <v>0.9487902786817761</v>
      </c>
      <c r="F14" s="27">
        <f t="shared" si="2"/>
        <v>-1.8975805573635522</v>
      </c>
      <c r="G14" s="45"/>
    </row>
    <row r="15" spans="1:7" ht="15">
      <c r="A15" s="16" t="s">
        <v>218</v>
      </c>
      <c r="B15" s="80">
        <v>431387568.88</v>
      </c>
      <c r="C15" s="80">
        <v>6990944.776736878</v>
      </c>
      <c r="D15" s="62">
        <f t="shared" si="0"/>
        <v>0.016205716810262477</v>
      </c>
      <c r="E15" s="27">
        <f t="shared" si="1"/>
        <v>0.15757922436352947</v>
      </c>
      <c r="F15" s="27">
        <f t="shared" si="2"/>
        <v>-0.31515844872705895</v>
      </c>
      <c r="G15" s="45"/>
    </row>
    <row r="16" spans="1:7" ht="15">
      <c r="A16" s="16" t="s">
        <v>219</v>
      </c>
      <c r="B16" s="80">
        <v>547744890.66</v>
      </c>
      <c r="C16" s="80">
        <v>4796630.384521708</v>
      </c>
      <c r="D16" s="62">
        <f t="shared" si="0"/>
        <v>0.008757051806986377</v>
      </c>
      <c r="E16" s="27">
        <f t="shared" si="1"/>
        <v>0.08638414878904441</v>
      </c>
      <c r="F16" s="27">
        <f t="shared" si="2"/>
        <v>-0.17276829757808881</v>
      </c>
      <c r="G16" s="45"/>
    </row>
    <row r="17" spans="1:7" ht="15">
      <c r="A17" s="16" t="s">
        <v>244</v>
      </c>
      <c r="B17" s="80">
        <v>590475107.98</v>
      </c>
      <c r="C17" s="80">
        <v>21679587.025120072</v>
      </c>
      <c r="D17" s="62">
        <f t="shared" si="0"/>
        <v>0.036715496948356345</v>
      </c>
      <c r="E17" s="27">
        <f t="shared" si="1"/>
        <v>0.3536137280370652</v>
      </c>
      <c r="F17" s="27">
        <f t="shared" si="2"/>
        <v>-0.7072274560741304</v>
      </c>
      <c r="G17" s="45"/>
    </row>
    <row r="18" spans="1:7" ht="15">
      <c r="A18" s="16" t="s">
        <v>245</v>
      </c>
      <c r="B18" s="80">
        <v>749704339.52</v>
      </c>
      <c r="C18" s="80">
        <v>13666702.455886334</v>
      </c>
      <c r="D18" s="62">
        <f t="shared" si="0"/>
        <v>0.018229456247560838</v>
      </c>
      <c r="E18" s="27">
        <f t="shared" si="1"/>
        <v>0.1769223257270829</v>
      </c>
      <c r="F18" s="27">
        <f t="shared" si="2"/>
        <v>-0.3538446514541658</v>
      </c>
      <c r="G18" s="45"/>
    </row>
    <row r="19" spans="1:7" ht="15">
      <c r="A19" s="16" t="s">
        <v>246</v>
      </c>
      <c r="B19" s="80">
        <v>495806024.81</v>
      </c>
      <c r="C19" s="80">
        <v>16832026.1680967</v>
      </c>
      <c r="D19" s="62">
        <f t="shared" si="0"/>
        <v>0.03394881329759349</v>
      </c>
      <c r="E19" s="27">
        <f t="shared" si="1"/>
        <v>0.32716949252370553</v>
      </c>
      <c r="F19" s="27">
        <f t="shared" si="2"/>
        <v>-0.6543389850474111</v>
      </c>
      <c r="G19" s="45"/>
    </row>
    <row r="20" spans="1:7" ht="15">
      <c r="A20" s="16" t="s">
        <v>247</v>
      </c>
      <c r="B20" s="80">
        <v>962942327.65</v>
      </c>
      <c r="C20" s="80">
        <v>3085487.9575966895</v>
      </c>
      <c r="D20" s="62">
        <f t="shared" si="0"/>
        <v>0.0032042292347108973</v>
      </c>
      <c r="E20" s="27">
        <f t="shared" si="1"/>
        <v>0.033309722363506114</v>
      </c>
      <c r="F20" s="27">
        <f t="shared" si="2"/>
        <v>-0.06661944472701223</v>
      </c>
      <c r="G20" s="45"/>
    </row>
    <row r="21" spans="1:7" ht="15">
      <c r="A21" s="16" t="s">
        <v>248</v>
      </c>
      <c r="B21" s="80">
        <v>356766834</v>
      </c>
      <c r="C21" s="80">
        <v>14761602.335656427</v>
      </c>
      <c r="D21" s="62">
        <f t="shared" si="0"/>
        <v>0.04137604992636851</v>
      </c>
      <c r="E21" s="27">
        <f t="shared" si="1"/>
        <v>0.39815975357889455</v>
      </c>
      <c r="F21" s="27">
        <f t="shared" si="2"/>
        <v>-0.7963195071577891</v>
      </c>
      <c r="G21" s="45"/>
    </row>
    <row r="22" spans="1:7" ht="15">
      <c r="A22" s="16" t="s">
        <v>249</v>
      </c>
      <c r="B22" s="80">
        <v>269321085.1</v>
      </c>
      <c r="C22" s="80">
        <v>20099753.569912866</v>
      </c>
      <c r="D22" s="62">
        <f t="shared" si="0"/>
        <v>0.07463119184467025</v>
      </c>
      <c r="E22" s="27">
        <f t="shared" si="1"/>
        <v>0.7160156836109729</v>
      </c>
      <c r="F22" s="27">
        <f t="shared" si="2"/>
        <v>-1.4320313672219458</v>
      </c>
      <c r="G22" s="45"/>
    </row>
    <row r="23" ht="15">
      <c r="A23" s="5" t="s">
        <v>40</v>
      </c>
    </row>
  </sheetData>
  <sheetProtection/>
  <mergeCells count="1">
    <mergeCell ref="A1:F1"/>
  </mergeCells>
  <printOptions horizontalCentered="1" vertic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2017-10-31T08:22:58Z</dcterms:modified>
  <cp:category/>
  <cp:version/>
  <cp:contentType/>
  <cp:contentStatus/>
</cp:coreProperties>
</file>