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3020" windowHeight="8010" activeTab="17"/>
  </bookViews>
  <sheets>
    <sheet name="Критерии" sheetId="1" r:id="rId1"/>
    <sheet name="ст.92.1" sheetId="2" r:id="rId2"/>
    <sheet name="ст.107" sheetId="3" r:id="rId3"/>
    <sheet name="ст.111" sheetId="4" r:id="rId4"/>
    <sheet name="1.1" sheetId="5" r:id="rId5"/>
    <sheet name="2" sheetId="6" r:id="rId6"/>
    <sheet name="3" sheetId="7" r:id="rId7"/>
    <sheet name="4.1" sheetId="8" r:id="rId8"/>
    <sheet name="5.1" sheetId="9" r:id="rId9"/>
    <sheet name="7" sheetId="10" r:id="rId10"/>
    <sheet name="7.1" sheetId="11" r:id="rId11"/>
    <sheet name="9" sheetId="12" r:id="rId12"/>
    <sheet name="10" sheetId="13" r:id="rId13"/>
    <sheet name="12" sheetId="14" r:id="rId14"/>
    <sheet name="13" sheetId="15" r:id="rId15"/>
    <sheet name="14" sheetId="16" r:id="rId16"/>
    <sheet name="15" sheetId="17" r:id="rId17"/>
    <sheet name="рейтинг" sheetId="18" r:id="rId18"/>
    <sheet name="дотации" sheetId="19" r:id="rId19"/>
  </sheets>
  <definedNames>
    <definedName name="_xlnm.Print_Area" localSheetId="4">'1.1'!$A$1:$F$22</definedName>
    <definedName name="_xlnm.Print_Area" localSheetId="12">'10'!$A$1:$F$22</definedName>
    <definedName name="_xlnm.Print_Area" localSheetId="13">'12'!$A$1:$F$22</definedName>
    <definedName name="_xlnm.Print_Area" localSheetId="14">'13'!$A$1:$L$22</definedName>
    <definedName name="_xlnm.Print_Area" localSheetId="15">'14'!$A$1:$J$22</definedName>
    <definedName name="_xlnm.Print_Area" localSheetId="16">'15'!$A$1:$M$23</definedName>
    <definedName name="_xlnm.Print_Area" localSheetId="5">'2'!$A$1:$K$24</definedName>
    <definedName name="_xlnm.Print_Area" localSheetId="6">'3'!$A$1:$G$21</definedName>
    <definedName name="_xlnm.Print_Area" localSheetId="7">'4.1'!$A$1:$G$23</definedName>
    <definedName name="_xlnm.Print_Area" localSheetId="8">'5.1'!$A$1:$F$21</definedName>
    <definedName name="_xlnm.Print_Area" localSheetId="9">'7'!$A$1:$F$22</definedName>
    <definedName name="_xlnm.Print_Area" localSheetId="10">'7.1'!$A$1:$F$22</definedName>
    <definedName name="_xlnm.Print_Area" localSheetId="18">'дотации'!$A$1:$D$12</definedName>
    <definedName name="_xlnm.Print_Area" localSheetId="17">'рейтинг'!$A$1:$P$18</definedName>
    <definedName name="_xlnm.Print_Area" localSheetId="2">'ст.107'!$A$1:$H$43</definedName>
    <definedName name="_xlnm.Print_Area" localSheetId="3">'ст.111'!$A$1:$F$41</definedName>
    <definedName name="_xlnm.Print_Area" localSheetId="1">'ст.92.1'!$A$1:$J$43</definedName>
  </definedNames>
  <calcPr fullCalcOnLoad="1"/>
</workbook>
</file>

<file path=xl/sharedStrings.xml><?xml version="1.0" encoding="utf-8"?>
<sst xmlns="http://schemas.openxmlformats.org/spreadsheetml/2006/main" count="900" uniqueCount="284">
  <si>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</si>
  <si>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</si>
  <si>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</si>
  <si>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</si>
  <si>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</si>
  <si>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</si>
  <si>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</si>
  <si>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</si>
  <si>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</si>
  <si>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</si>
  <si>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</si>
  <si>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</si>
  <si>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</si>
  <si>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</si>
  <si>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</si>
  <si>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</si>
  <si>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</si>
  <si>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</si>
  <si>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</si>
  <si>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</si>
  <si>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</si>
  <si>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</si>
  <si>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</si>
  <si>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</si>
  <si>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</si>
  <si>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</si>
  <si>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</si>
  <si>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</si>
  <si>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</si>
  <si>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</si>
  <si>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</si>
  <si>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</si>
  <si>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</si>
  <si>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</si>
  <si>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</si>
  <si>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</si>
  <si>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</si>
  <si>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"+" - муниципальное образование удовлетворяет критериям отбора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</si>
  <si>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</si>
  <si>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</si>
  <si>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</si>
  <si>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</si>
  <si>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</si>
  <si>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-2</t>
  </si>
  <si>
    <t>Всего</t>
  </si>
  <si>
    <t>Рейтинг муниципального образования</t>
  </si>
  <si>
    <t>+1</t>
  </si>
  <si>
    <t>Размер дотации из фонда стимулирования</t>
  </si>
  <si>
    <t>4=3/2</t>
  </si>
  <si>
    <t>4=2/3</t>
  </si>
  <si>
    <t>Рейтинг муниципального образования, 
баллов</t>
  </si>
  <si>
    <t>всего</t>
  </si>
  <si>
    <t>Дотации</t>
  </si>
  <si>
    <t>среднее значение</t>
  </si>
  <si>
    <t>Налоговые и неналоговые доходы</t>
  </si>
  <si>
    <t>в т.ч. обслуживаемых в централизованной бухгалтерии</t>
  </si>
  <si>
    <t>П2 макс</t>
  </si>
  <si>
    <t>П2 мин</t>
  </si>
  <si>
    <t>В2</t>
  </si>
  <si>
    <t>П2</t>
  </si>
  <si>
    <t>О2</t>
  </si>
  <si>
    <t>О2 х В2</t>
  </si>
  <si>
    <t>Доходы от продажи имущества</t>
  </si>
  <si>
    <t>4=3/2*100%</t>
  </si>
  <si>
    <t>П3 макс</t>
  </si>
  <si>
    <t>П3 мин</t>
  </si>
  <si>
    <t>В3</t>
  </si>
  <si>
    <t>П3</t>
  </si>
  <si>
    <t>О3</t>
  </si>
  <si>
    <t>О3 х В3</t>
  </si>
  <si>
    <t>П7 макс</t>
  </si>
  <si>
    <t>П7 мин</t>
  </si>
  <si>
    <t>В7</t>
  </si>
  <si>
    <t>П7</t>
  </si>
  <si>
    <t>О7</t>
  </si>
  <si>
    <t>О7 х В7</t>
  </si>
  <si>
    <t>П9 макс</t>
  </si>
  <si>
    <t>П9 мин</t>
  </si>
  <si>
    <t>В9</t>
  </si>
  <si>
    <t>П9</t>
  </si>
  <si>
    <t>О9</t>
  </si>
  <si>
    <t>О9 х В9</t>
  </si>
  <si>
    <t>П10 макс</t>
  </si>
  <si>
    <t>П10 мин</t>
  </si>
  <si>
    <t>В10</t>
  </si>
  <si>
    <t>П10</t>
  </si>
  <si>
    <t>О10</t>
  </si>
  <si>
    <t>О10 х В10</t>
  </si>
  <si>
    <t>П12 макс</t>
  </si>
  <si>
    <t>П12 мин</t>
  </si>
  <si>
    <t>В12</t>
  </si>
  <si>
    <t>П13 макс</t>
  </si>
  <si>
    <t>П13 мин</t>
  </si>
  <si>
    <t>В13</t>
  </si>
  <si>
    <t>П13</t>
  </si>
  <si>
    <t>О13</t>
  </si>
  <si>
    <t>О13 х В13</t>
  </si>
  <si>
    <t>Дефицит бюджета, всего</t>
  </si>
  <si>
    <t>Доходы бюджета, всего</t>
  </si>
  <si>
    <t>Доходы бюджета без учета безвозмездных поступлений</t>
  </si>
  <si>
    <t>9=7-8</t>
  </si>
  <si>
    <t>П14 макс</t>
  </si>
  <si>
    <t>П14 мин</t>
  </si>
  <si>
    <t>В14</t>
  </si>
  <si>
    <t>Снижение остатков средств на счетах по учету средств бюджета</t>
  </si>
  <si>
    <t>Средства от продажи акций и иных форм участия в капитале, находящихся в муниципальной собственности</t>
  </si>
  <si>
    <t>Безвозмездные поступления</t>
  </si>
  <si>
    <t>П14</t>
  </si>
  <si>
    <t>О14</t>
  </si>
  <si>
    <t>О14 х В14</t>
  </si>
  <si>
    <t>П15 макс</t>
  </si>
  <si>
    <t>П15 мин</t>
  </si>
  <si>
    <t>В15</t>
  </si>
  <si>
    <t>П15</t>
  </si>
  <si>
    <t>О15</t>
  </si>
  <si>
    <t>О15 х В15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</si>
  <si>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</si>
  <si>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</si>
  <si>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III. Показатели, характеризующие качество работы с источниками финансирования дефицита бюджета</t>
  </si>
  <si>
    <t>П12</t>
  </si>
  <si>
    <t>О12</t>
  </si>
  <si>
    <t>О12 х В12</t>
  </si>
  <si>
    <t>6=2-3-4-5</t>
  </si>
  <si>
    <t>10=6/9*100</t>
  </si>
  <si>
    <t>Скорректи-рованный дефицит бюджета</t>
  </si>
  <si>
    <t>Положительное значение остатков средств бюджета, не имеющих целевого назначения</t>
  </si>
  <si>
    <t>в баллах</t>
  </si>
  <si>
    <t>ранг</t>
  </si>
  <si>
    <t>Критерии отбора муниципальных образований</t>
  </si>
  <si>
    <t>Бюджет муниципального образования отчетного и текущего финансового годов утверждён на 3 года</t>
  </si>
  <si>
    <t>Годовой план</t>
  </si>
  <si>
    <t>Исполнение</t>
  </si>
  <si>
    <t>7=6/5*100%</t>
  </si>
  <si>
    <t>Среднее ежеквартальное значение исполнения годового плана</t>
  </si>
  <si>
    <t>%
 испол-нения</t>
  </si>
  <si>
    <t>7. Доля неэффективных расходов на содержание органов местного самоуправления в общем объеме расходов местного бюджета*</t>
  </si>
  <si>
    <t>9. Размер кредиторской задолженности на одного жителя муниципального образования*</t>
  </si>
  <si>
    <t>12. Доля муниципальных учреждений, обслуживаемых в централизованной бухгалтерии</t>
  </si>
  <si>
    <t>Количество муниципальных учреждений (с учетом поселений)</t>
  </si>
  <si>
    <t>13. Дефицит местного бюджета</t>
  </si>
  <si>
    <t>14. Уровень долговой нагрузки местного бюджета</t>
  </si>
  <si>
    <t>в т.ч. по бюджетным кредитам инвестиционного характера</t>
  </si>
  <si>
    <t>15. Соотношение остатков собственных средств и доходов бюджета*</t>
  </si>
  <si>
    <t>тыс.рублей</t>
  </si>
  <si>
    <t>Доходы бюджета</t>
  </si>
  <si>
    <t>Дефицит бюджета</t>
  </si>
  <si>
    <t>Документы надлежащим образом оформлены, представлены 
в полном объеме и в установленный срок</t>
  </si>
  <si>
    <t>7.1. Превышение штатной численности работников органов местного самоуправления над оптимальным (расчетным) значением*</t>
  </si>
  <si>
    <t>П7.1 макс</t>
  </si>
  <si>
    <t>П7.1 мин</t>
  </si>
  <si>
    <t>В7.1</t>
  </si>
  <si>
    <t>4=2-3</t>
  </si>
  <si>
    <t>П7.1</t>
  </si>
  <si>
    <t>О7.1</t>
  </si>
  <si>
    <t>О7.1 х В7.1</t>
  </si>
  <si>
    <t>Бюджетные кредиты инвестицион-ного характера</t>
  </si>
  <si>
    <t>7.1</t>
  </si>
  <si>
    <t>10. Доля расходов местного бюджета, осуществляемых в рамках программ</t>
  </si>
  <si>
    <t>6.Кинельский</t>
  </si>
  <si>
    <t>7.Кинель-Черкасский</t>
  </si>
  <si>
    <t>6=2+3+4+5</t>
  </si>
  <si>
    <t xml:space="preserve">Объем основного долга по бюджетным кредитам, привлеченным в местный бюджет </t>
  </si>
  <si>
    <t>7=5-6</t>
  </si>
  <si>
    <t>5=3-4</t>
  </si>
  <si>
    <t xml:space="preserve">Средства от продажи акций и иных форм участия в капитале, находящихся в муниципальной собственности </t>
  </si>
  <si>
    <t>Бюджетные кредиты от других бюджетов бюджетной системы РФ</t>
  </si>
  <si>
    <t>Скорректирован-ный дефицит бюджета</t>
  </si>
  <si>
    <t>10=(-6)/9*100%</t>
  </si>
  <si>
    <t>Соблюдение ограничения размера дефицита бюджета муниципального образования, установленного п. 3 ст. 92.1 Бюджетного кодекса РФ</t>
  </si>
  <si>
    <t>Муниципаль-ный долг, всего</t>
  </si>
  <si>
    <t>Муниципаль-ный долг, скорректиро-ванный на величину бюджетных кредитов</t>
  </si>
  <si>
    <t>8=4/7*100%</t>
  </si>
  <si>
    <t>Соблюдение ограничения предельного объема муниципального долга, установленного п. 3 ст. 107 Бюджетного кодекса РФ</t>
  </si>
  <si>
    <t>6=2/5*100%</t>
  </si>
  <si>
    <t>Соблюдение ограничения предельного объема расходов на обслуживание муниципального долга,
установленного ст. 111 Бюджетного кодекса РФ</t>
  </si>
  <si>
    <r>
      <t xml:space="preserve">Доля расходов на обслуживание муниципального долга в общем объеме расходов  бюджета без учета субвенций, % </t>
    </r>
    <r>
      <rPr>
        <sz val="12"/>
        <color indexed="8"/>
        <rFont val="Times New Roman"/>
        <family val="1"/>
      </rPr>
      <t>(ограничение - 15%)</t>
    </r>
  </si>
  <si>
    <t>2. Степень исполнения годового плана по доходам от продажи имущества*</t>
  </si>
  <si>
    <t>3. Эффективность муниципального земельного контроля</t>
  </si>
  <si>
    <t>Количество проверок в рамках МЗК</t>
  </si>
  <si>
    <t>Количество состоящих на кадастровом учете земельных участков</t>
  </si>
  <si>
    <t>Количество принятых решений о наложении санкций по административным делам</t>
  </si>
  <si>
    <t>5=2/3*4</t>
  </si>
  <si>
    <t>П4.1 макс</t>
  </si>
  <si>
    <t>П4.1 мин</t>
  </si>
  <si>
    <t>В4.1</t>
  </si>
  <si>
    <t>в том числе суммы, заявленные путем декларирования</t>
  </si>
  <si>
    <t>Фонд оплаты труда</t>
  </si>
  <si>
    <t>Фактическое поступление
налога на доходы физических лиц</t>
  </si>
  <si>
    <t>5=(2-3)/4</t>
  </si>
  <si>
    <t>П4.1</t>
  </si>
  <si>
    <t>О4.1</t>
  </si>
  <si>
    <t>О4.1 х В4.1</t>
  </si>
  <si>
    <t>П5.1 макс</t>
  </si>
  <si>
    <t>П5.1 мин</t>
  </si>
  <si>
    <t>В5.1</t>
  </si>
  <si>
    <t>Количество "ненулевых" деклараций
по ЕНВД</t>
  </si>
  <si>
    <t>П5.1</t>
  </si>
  <si>
    <t>О5.1</t>
  </si>
  <si>
    <t>О5.1 х В5.1</t>
  </si>
  <si>
    <t>4=2/3*1000</t>
  </si>
  <si>
    <t>5.1. Количество «ненулевых» деклараций по единому налогу на вмененный доход
в расчете на 1000 жителей</t>
  </si>
  <si>
    <t>в т.ч. в рамках программ</t>
  </si>
  <si>
    <t>Муниципальный долг, всего</t>
  </si>
  <si>
    <t>Скорректи-рованный размер долга</t>
  </si>
  <si>
    <t>8=4/7*100</t>
  </si>
  <si>
    <t>Доходы бюджета, не имеющие целевого назначения</t>
  </si>
  <si>
    <t>Степень исполнения годового плана по доходам от продажи имущества</t>
  </si>
  <si>
    <t>Эффективность МЗК</t>
  </si>
  <si>
    <t>4.1</t>
  </si>
  <si>
    <t>5.1</t>
  </si>
  <si>
    <t>Соотношение поступлений НДФЛ и ФОТ</t>
  </si>
  <si>
    <t>Количество "ненулевых" деклараций по ЕНВД в расчете на 1000 жителей</t>
  </si>
  <si>
    <t>Доля неэффективных расходов на содержание ОМСУ</t>
  </si>
  <si>
    <t>Превышение штатной численности работников ОМСУ над оптимальным (расчетным) значением</t>
  </si>
  <si>
    <t>Размер кредиторской задолженности на 1 жителя</t>
  </si>
  <si>
    <t>Доля расходов местного бюджета, осуществляемых
в рамках программ</t>
  </si>
  <si>
    <t>Доля муниц. учреждений, обслуживаемых в централиз. бухгалтерии</t>
  </si>
  <si>
    <t>Дефицит местного бюджета</t>
  </si>
  <si>
    <t>Уровень долговой нагрузки местного бюджета</t>
  </si>
  <si>
    <t>Соотношение остатков собственных средств и доходов бюджета</t>
  </si>
  <si>
    <t>4.1. Соотношение поступлений налога на доходы физических лиц и фонда оплаты труда*</t>
  </si>
  <si>
    <t>Муниципальное образование допущено 
к участию 
в распределении 
дотаций на стимулирование по итогам 
за 2014 год</t>
  </si>
  <si>
    <t>2.Кинель</t>
  </si>
  <si>
    <t>Численность населения
на 01.01.2015</t>
  </si>
  <si>
    <t>Численность населения на 01.01.2015, человек</t>
  </si>
  <si>
    <t>2.Безенчукский</t>
  </si>
  <si>
    <t>4.Большеглушицкий</t>
  </si>
  <si>
    <t>1.Новокуйбышевск</t>
  </si>
  <si>
    <t>В течение 
I полугодия 2015 года отсутствовала просроченная кредиторская задолженность бюджета</t>
  </si>
  <si>
    <t>В I полугодии 2015 года соблюдены сроки возврата бюджетного кредита и уплаты процентов по кредиту, предоставленному из областного бюджета</t>
  </si>
  <si>
    <t>По итогам 
за I полугодие 2015 года соблюден норматив формирования расходов на содержание ОМСУ</t>
  </si>
  <si>
    <t>В 1 полугодии 2015 года муниципальное образование не обращалось в МУФ СО с просьбой о досрочном перечислении дотаций на выравнивание бюджетной обеспеченности</t>
  </si>
  <si>
    <t>По состоянию на 01.07.2015 задолженность по налогам не превышала 1000 рублей (по данным УФНС России по Самарской области)</t>
  </si>
  <si>
    <t>По состоянию на 01.07.2015 соблюдены ограничения, установленные пп. 3 и 4 ст.92.1, пп. 3 и 4 ст.107 и ст. 111 БК РФ</t>
  </si>
  <si>
    <t>Дефицит бюджета (утверждено на 2015 год)</t>
  </si>
  <si>
    <t>Доходы бюджета (утверждено на 2015 год)</t>
  </si>
  <si>
    <r>
      <t xml:space="preserve">Скорректирован-ный дефицит в % к доходам бюджета без учета безвозмездных поступлений </t>
    </r>
    <r>
      <rPr>
        <sz val="12"/>
        <color indexed="8"/>
        <rFont val="Times New Roman"/>
        <family val="1"/>
      </rPr>
      <t>(ограничение - 10%)</t>
    </r>
  </si>
  <si>
    <t>Муниципальный долг (на 01.07.2015)</t>
  </si>
  <si>
    <r>
      <t xml:space="preserve">Скорректированный объем муниципаль-ного долга в % 
к доходам бюджета без учета безвозмездных поступлений </t>
    </r>
    <r>
      <rPr>
        <sz val="12"/>
        <color indexed="8"/>
        <rFont val="Times New Roman"/>
        <family val="1"/>
      </rPr>
      <t>(ограничение - 100%)</t>
    </r>
  </si>
  <si>
    <t>Расходы бюджета на обслуживание муниципаль-ного долга 
(утверждено 
на 2015 год)</t>
  </si>
  <si>
    <t>Общий объем расходов бюджета муниципального образования (утверждено 
на 2015 год)</t>
  </si>
  <si>
    <t>Общий объем расходов бюджета муниципального образования без учета субвенций (утверждено 
на 2015 год)</t>
  </si>
  <si>
    <t>Субвенции
(утверждено 
на 2015 год)</t>
  </si>
  <si>
    <t>1.1. Задолженность по имущественным налогам перед местным бюджетом в расчете на 1 жителя муниципального образования</t>
  </si>
  <si>
    <t>П1.1 макс</t>
  </si>
  <si>
    <t>П1.1 мин</t>
  </si>
  <si>
    <t>В1.1</t>
  </si>
  <si>
    <t>Задолженность по имущественным налогам (земельному налогу и налогу на имущество физических лиц) перед местным бюджетом</t>
  </si>
  <si>
    <t>П1.1</t>
  </si>
  <si>
    <t>О1.1</t>
  </si>
  <si>
    <t>О1.1 х В1.1</t>
  </si>
  <si>
    <t>на 01.04.2015</t>
  </si>
  <si>
    <t>на 01.07.2015</t>
  </si>
  <si>
    <t>Расходы бюджета 
на 2015 год</t>
  </si>
  <si>
    <t>Неэффективные расходы 
на управление 
на 01.07.2015</t>
  </si>
  <si>
    <t>Штатная численность работников ОМСУ на 01.07.2015</t>
  </si>
  <si>
    <t>Нормированная штатная численность работников ОМСУ на 01.07.2015</t>
  </si>
  <si>
    <t>Кредиторская задолженность по бюджетной деятельности 
на 01.07.2015</t>
  </si>
  <si>
    <t>Расходы бюджета на 2015 год</t>
  </si>
  <si>
    <t>Муниципальный долг на 01.07.2015</t>
  </si>
  <si>
    <t>на 01.02.2015</t>
  </si>
  <si>
    <t>на 01.03.2015</t>
  </si>
  <si>
    <t>на 01.05.2015</t>
  </si>
  <si>
    <t>на 01.06.2015</t>
  </si>
  <si>
    <t>11=8/(9+10)</t>
  </si>
  <si>
    <t>3.Безенчукский</t>
  </si>
  <si>
    <t>5.Исаклинский</t>
  </si>
  <si>
    <t>8.Клявлинский</t>
  </si>
  <si>
    <t>9.Красноармейский</t>
  </si>
  <si>
    <t>10.Нефтегорский</t>
  </si>
  <si>
    <t>11.Похвистневский</t>
  </si>
  <si>
    <t>12.Сергиевский</t>
  </si>
  <si>
    <t>13.Шенталинский</t>
  </si>
  <si>
    <t>Расчет рейтинга муниципальных образований Самарской области за I полугодие 2015 года</t>
  </si>
  <si>
    <t>1.1</t>
  </si>
  <si>
    <t>Задолженность по имущественным налогам перед местным бюджетом
на 1 жителя</t>
  </si>
  <si>
    <t>Распределение дотаций на стимулирование повышения качества управления муниципальными финансами в части дотаций на стимулирование организации лучшей практики управления муниципальными финансами за I полугодие 2015 года</t>
  </si>
  <si>
    <r>
      <t xml:space="preserve">На сайте МО работает раздел "Бюджет для граждан" </t>
    </r>
    <r>
      <rPr>
        <sz val="12"/>
        <color indexed="8"/>
        <rFont val="Times New Roman"/>
        <family val="1"/>
      </rPr>
      <t>(по тем МО, в которых соблюдены другие критерии отбора)</t>
    </r>
  </si>
  <si>
    <t>1.Большеглушицкий</t>
  </si>
  <si>
    <t>3.Кинель-Черкасский</t>
  </si>
  <si>
    <t>4.Сергиевский</t>
  </si>
  <si>
    <t>5.Кинель</t>
  </si>
  <si>
    <t>6.Похвистневский</t>
  </si>
  <si>
    <t>7.Новокуйбышевск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</si>
</sst>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[Red]\-#,##0.00\ "/>
    <numFmt numFmtId="183" formatCode="#,##0.000"/>
    <numFmt numFmtId="184" formatCode="#,##0.0000"/>
    <numFmt numFmtId="185" formatCode="0.0"/>
    <numFmt numFmtId="186" formatCode="0.00000"/>
    <numFmt numFmtId="187" formatCode="0.0000"/>
    <numFmt numFmtId="188" formatCode="0.000"/>
    <numFmt numFmtId="189" formatCode="#,##0.00000"/>
    <numFmt numFmtId="190" formatCode="#,##0.000000"/>
    <numFmt numFmtId="191" formatCode="#,##0.0000000"/>
    <numFmt numFmtId="192" formatCode="0.00000000"/>
    <numFmt numFmtId="193" formatCode="0.0000000"/>
    <numFmt numFmtId="194" formatCode="0.000000"/>
    <numFmt numFmtId="195" formatCode="#,##0_ ;[Red]\-#,##0\ "/>
    <numFmt numFmtId="196" formatCode="#,##0.0_ ;[Red]\-#,##0.0\ "/>
    <numFmt numFmtId="197" formatCode="#,##0.00_ ;\-#,##0.0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00000_ ;[Red]\-#,##0.0000000\ "/>
    <numFmt numFmtId="203" formatCode="#,##0.00000000_ ;[Red]\-#,##0.00000000\ "/>
    <numFmt numFmtId="204" formatCode="#,##0.0_ ;\-#,##0.0\ "/>
    <numFmt numFmtId="205" formatCode="#,##0_ ;\-#,##0\ "/>
    <numFmt numFmtId="206" formatCode="#,##0.000_ ;\-#,##0.000\ 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  <numFmt numFmtId="211" formatCode="[$-10419]###\ ###\ ###\ ###\ ##0.00"/>
    <numFmt numFmtId="212" formatCode="_-* #,##0_р_._-;\-* #,##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2"/>
      <color indexed="36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00B050"/>
      <name val="Times New Roman"/>
      <family val="1"/>
    </font>
    <font>
      <i/>
      <sz val="11"/>
      <color theme="1"/>
      <name val="Times New Roman"/>
      <family val="1"/>
    </font>
    <font>
      <sz val="12"/>
      <color rgb="FF7030A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0" fillId="0" borderId="0">
      <alignment vertical="center" wrapText="1"/>
      <protection/>
    </xf>
    <xf numFmtId="0" fontId="11" fillId="0" borderId="0">
      <alignment vertical="top" wrapText="1"/>
      <protection/>
    </xf>
    <xf numFmtId="0" fontId="10" fillId="0" borderId="0">
      <alignment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56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55" fillId="0" borderId="10" xfId="0" applyNumberFormat="1" applyFont="1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56" fillId="0" borderId="10" xfId="0" applyNumberFormat="1" applyFont="1" applyBorder="1" applyAlignment="1">
      <alignment/>
    </xf>
    <xf numFmtId="0" fontId="59" fillId="0" borderId="0" xfId="0" applyFont="1" applyFill="1" applyBorder="1" applyAlignment="1" quotePrefix="1">
      <alignment horizontal="right"/>
    </xf>
    <xf numFmtId="0" fontId="55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4" fontId="57" fillId="0" borderId="10" xfId="0" applyNumberFormat="1" applyFont="1" applyFill="1" applyBorder="1" applyAlignment="1">
      <alignment horizontal="right"/>
    </xf>
    <xf numFmtId="0" fontId="60" fillId="0" borderId="0" xfId="0" applyFont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4" fontId="57" fillId="0" borderId="0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right"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183" fontId="8" fillId="0" borderId="0" xfId="0" applyNumberFormat="1" applyFont="1" applyFill="1" applyBorder="1" applyAlignment="1">
      <alignment horizontal="right"/>
    </xf>
    <xf numFmtId="182" fontId="3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right"/>
    </xf>
    <xf numFmtId="197" fontId="3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183" fontId="61" fillId="0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55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3" fillId="0" borderId="10" xfId="0" applyNumberFormat="1" applyFont="1" applyBorder="1" applyAlignment="1">
      <alignment/>
    </xf>
    <xf numFmtId="183" fontId="3" fillId="0" borderId="10" xfId="0" applyNumberFormat="1" applyFont="1" applyBorder="1" applyAlignment="1">
      <alignment horizontal="right"/>
    </xf>
    <xf numFmtId="16" fontId="56" fillId="34" borderId="10" xfId="0" applyNumberFormat="1" applyFont="1" applyFill="1" applyBorder="1" applyAlignment="1" quotePrefix="1">
      <alignment horizontal="center" vertical="center" wrapText="1"/>
    </xf>
    <xf numFmtId="182" fontId="3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textRotation="90" wrapText="1"/>
    </xf>
    <xf numFmtId="16" fontId="62" fillId="34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/>
    </xf>
    <xf numFmtId="18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10" xfId="0" applyNumberFormat="1" applyFont="1" applyBorder="1" applyAlignment="1">
      <alignment/>
    </xf>
    <xf numFmtId="184" fontId="57" fillId="0" borderId="0" xfId="0" applyNumberFormat="1" applyFont="1" applyFill="1" applyBorder="1" applyAlignment="1">
      <alignment horizontal="right"/>
    </xf>
    <xf numFmtId="184" fontId="58" fillId="0" borderId="0" xfId="0" applyNumberFormat="1" applyFont="1" applyFill="1" applyBorder="1" applyAlignment="1">
      <alignment horizontal="right"/>
    </xf>
    <xf numFmtId="16" fontId="56" fillId="34" borderId="10" xfId="0" applyNumberFormat="1" applyFont="1" applyFill="1" applyBorder="1" applyAlignment="1" quotePrefix="1">
      <alignment horizontal="center" vertical="center"/>
    </xf>
    <xf numFmtId="3" fontId="3" fillId="0" borderId="10" xfId="0" applyNumberFormat="1" applyFont="1" applyBorder="1" applyAlignment="1">
      <alignment horizontal="right"/>
    </xf>
    <xf numFmtId="4" fontId="55" fillId="0" borderId="0" xfId="0" applyNumberFormat="1" applyFont="1" applyAlignment="1">
      <alignment/>
    </xf>
    <xf numFmtId="182" fontId="3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181" fontId="3" fillId="0" borderId="0" xfId="0" applyNumberFormat="1" applyFont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82" fontId="2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183" fontId="8" fillId="0" borderId="10" xfId="0" applyNumberFormat="1" applyFont="1" applyFill="1" applyBorder="1" applyAlignment="1">
      <alignment horizontal="right"/>
    </xf>
    <xf numFmtId="3" fontId="58" fillId="0" borderId="10" xfId="0" applyNumberFormat="1" applyFont="1" applyFill="1" applyBorder="1" applyAlignment="1">
      <alignment horizontal="right"/>
    </xf>
    <xf numFmtId="183" fontId="5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" fontId="55" fillId="0" borderId="10" xfId="0" applyNumberFormat="1" applyFont="1" applyFill="1" applyBorder="1" applyAlignment="1">
      <alignment/>
    </xf>
    <xf numFmtId="3" fontId="55" fillId="0" borderId="10" xfId="0" applyNumberFormat="1" applyFont="1" applyFill="1" applyBorder="1" applyAlignment="1">
      <alignment/>
    </xf>
    <xf numFmtId="0" fontId="5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6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56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56" fillId="0" borderId="0" xfId="0" applyFont="1" applyBorder="1" applyAlignment="1">
      <alignment horizontal="center" wrapText="1"/>
    </xf>
    <xf numFmtId="0" fontId="63" fillId="0" borderId="0" xfId="0" applyFont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5"/>
  <cols>
    <col min="1" max="1" width="24.140625" style="1" customWidth="1"/>
    <col min="2" max="2" width="18.57421875" style="1" customWidth="1"/>
    <col min="3" max="3" width="16.28125" style="1" customWidth="1"/>
    <col min="4" max="4" width="19.8515625" style="1" customWidth="1"/>
    <col min="5" max="5" width="16.140625" style="1" customWidth="1"/>
    <col min="6" max="6" width="22.421875" style="1" customWidth="1"/>
    <col min="7" max="7" width="16.57421875" style="1" customWidth="1"/>
    <col min="8" max="8" width="17.57421875" style="1" customWidth="1"/>
    <col min="9" max="9" width="17.140625" style="1" customWidth="1"/>
    <col min="10" max="10" width="14.421875" style="1" customWidth="1"/>
    <col min="11" max="11" width="18.8515625" style="1" customWidth="1"/>
    <col min="12" max="16384" width="9.140625" style="1" customWidth="1"/>
  </cols>
  <sheetData>
    <row r="1" spans="1:11" ht="15" customHeight="1">
      <c r="A1" s="108" t="s">
        <v>128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ht="15.75">
      <c r="A3" s="1" t="s">
        <v>37</v>
      </c>
    </row>
    <row r="4" spans="1:11" s="15" customFormat="1" ht="172.5" customHeight="1">
      <c r="A4" s="86" t="s">
        <v>39</v>
      </c>
      <c r="B4" s="86" t="s">
        <v>129</v>
      </c>
      <c r="C4" s="86" t="s">
        <v>228</v>
      </c>
      <c r="D4" s="86" t="s">
        <v>229</v>
      </c>
      <c r="E4" s="86" t="s">
        <v>230</v>
      </c>
      <c r="F4" s="86" t="s">
        <v>231</v>
      </c>
      <c r="G4" s="86" t="s">
        <v>232</v>
      </c>
      <c r="H4" s="86" t="s">
        <v>233</v>
      </c>
      <c r="I4" s="86" t="s">
        <v>146</v>
      </c>
      <c r="J4" s="97" t="s">
        <v>277</v>
      </c>
      <c r="K4" s="86" t="s">
        <v>221</v>
      </c>
    </row>
    <row r="5" spans="1:11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</row>
    <row r="6" spans="1:11" ht="15.75">
      <c r="A6" s="3" t="s">
        <v>0</v>
      </c>
      <c r="B6" s="16" t="s">
        <v>38</v>
      </c>
      <c r="C6" s="20" t="s">
        <v>38</v>
      </c>
      <c r="D6" s="20" t="s">
        <v>38</v>
      </c>
      <c r="E6" s="20" t="s">
        <v>38</v>
      </c>
      <c r="F6" s="20" t="s">
        <v>38</v>
      </c>
      <c r="G6" s="20"/>
      <c r="H6" s="20" t="s">
        <v>38</v>
      </c>
      <c r="I6" s="20"/>
      <c r="J6" s="20"/>
      <c r="K6" s="20" t="str">
        <f>IF(AND($B6="+",$C6="+",$D6="+",$E6="+",$F6="+",$G6="+",$J6="+",$H6="+",$I6="+"),"+"," ")</f>
        <v> </v>
      </c>
    </row>
    <row r="7" spans="1:11" ht="15.75">
      <c r="A7" s="3" t="s">
        <v>1</v>
      </c>
      <c r="B7" s="16" t="s">
        <v>38</v>
      </c>
      <c r="C7" s="20" t="s">
        <v>38</v>
      </c>
      <c r="D7" s="20" t="s">
        <v>38</v>
      </c>
      <c r="E7" s="20" t="s">
        <v>38</v>
      </c>
      <c r="F7" s="20" t="s">
        <v>38</v>
      </c>
      <c r="G7" s="20"/>
      <c r="H7" s="20" t="s">
        <v>38</v>
      </c>
      <c r="I7" s="20"/>
      <c r="J7" s="20"/>
      <c r="K7" s="20" t="str">
        <f aca="true" t="shared" si="0" ref="K7:K42">IF(AND($B7="+",$C7="+",$D7="+",$E7="+",$F7="+",$G7="+",$J7="+",$H7="+",$I7="+"),"+"," ")</f>
        <v> </v>
      </c>
    </row>
    <row r="8" spans="1:11" ht="15.75">
      <c r="A8" s="3" t="s">
        <v>2</v>
      </c>
      <c r="B8" s="16" t="s">
        <v>38</v>
      </c>
      <c r="C8" s="20" t="s">
        <v>38</v>
      </c>
      <c r="D8" s="20" t="s">
        <v>38</v>
      </c>
      <c r="E8" s="20" t="s">
        <v>38</v>
      </c>
      <c r="F8" s="20" t="s">
        <v>38</v>
      </c>
      <c r="G8" s="20"/>
      <c r="H8" s="20" t="s">
        <v>38</v>
      </c>
      <c r="I8" s="20"/>
      <c r="J8" s="20"/>
      <c r="K8" s="20" t="str">
        <f t="shared" si="0"/>
        <v> </v>
      </c>
    </row>
    <row r="9" spans="1:11" ht="15.75">
      <c r="A9" s="3" t="s">
        <v>3</v>
      </c>
      <c r="B9" s="16" t="s">
        <v>38</v>
      </c>
      <c r="C9" s="20" t="s">
        <v>38</v>
      </c>
      <c r="D9" s="20" t="s">
        <v>38</v>
      </c>
      <c r="E9" s="20" t="s">
        <v>38</v>
      </c>
      <c r="F9" s="20" t="s">
        <v>38</v>
      </c>
      <c r="G9" s="20" t="s">
        <v>38</v>
      </c>
      <c r="H9" s="20" t="s">
        <v>38</v>
      </c>
      <c r="I9" s="20" t="s">
        <v>38</v>
      </c>
      <c r="J9" s="20" t="s">
        <v>38</v>
      </c>
      <c r="K9" s="20" t="str">
        <f t="shared" si="0"/>
        <v>+</v>
      </c>
    </row>
    <row r="10" spans="1:11" ht="15.75">
      <c r="A10" s="3" t="s">
        <v>4</v>
      </c>
      <c r="B10" s="16" t="s">
        <v>38</v>
      </c>
      <c r="C10" s="20" t="s">
        <v>38</v>
      </c>
      <c r="D10" s="20" t="s">
        <v>38</v>
      </c>
      <c r="E10" s="20" t="s">
        <v>38</v>
      </c>
      <c r="F10" s="20" t="s">
        <v>38</v>
      </c>
      <c r="G10" s="20"/>
      <c r="H10" s="20" t="s">
        <v>38</v>
      </c>
      <c r="I10" s="20"/>
      <c r="J10" s="20"/>
      <c r="K10" s="20" t="str">
        <f t="shared" si="0"/>
        <v> </v>
      </c>
    </row>
    <row r="11" spans="1:11" ht="15.75">
      <c r="A11" s="3" t="s">
        <v>5</v>
      </c>
      <c r="B11" s="16" t="s">
        <v>38</v>
      </c>
      <c r="C11" s="20" t="s">
        <v>38</v>
      </c>
      <c r="D11" s="20" t="s">
        <v>38</v>
      </c>
      <c r="E11" s="20" t="s">
        <v>38</v>
      </c>
      <c r="F11" s="20" t="s">
        <v>38</v>
      </c>
      <c r="G11" s="20"/>
      <c r="H11" s="20" t="s">
        <v>38</v>
      </c>
      <c r="I11" s="20" t="s">
        <v>38</v>
      </c>
      <c r="J11" s="20"/>
      <c r="K11" s="20" t="str">
        <f t="shared" si="0"/>
        <v> </v>
      </c>
    </row>
    <row r="12" spans="1:11" ht="15.75">
      <c r="A12" s="3" t="s">
        <v>6</v>
      </c>
      <c r="B12" s="16" t="s">
        <v>38</v>
      </c>
      <c r="C12" s="20" t="s">
        <v>38</v>
      </c>
      <c r="D12" s="20" t="s">
        <v>38</v>
      </c>
      <c r="E12" s="20" t="s">
        <v>38</v>
      </c>
      <c r="F12" s="20" t="s">
        <v>38</v>
      </c>
      <c r="G12" s="20"/>
      <c r="H12" s="20" t="s">
        <v>38</v>
      </c>
      <c r="I12" s="20" t="s">
        <v>38</v>
      </c>
      <c r="J12" s="20"/>
      <c r="K12" s="20" t="str">
        <f t="shared" si="0"/>
        <v> </v>
      </c>
    </row>
    <row r="13" spans="1:11" ht="15.75">
      <c r="A13" s="3" t="s">
        <v>7</v>
      </c>
      <c r="B13" s="16" t="s">
        <v>38</v>
      </c>
      <c r="C13" s="20" t="s">
        <v>38</v>
      </c>
      <c r="D13" s="20" t="s">
        <v>38</v>
      </c>
      <c r="E13" s="20" t="s">
        <v>38</v>
      </c>
      <c r="F13" s="20"/>
      <c r="G13" s="20"/>
      <c r="H13" s="20" t="s">
        <v>38</v>
      </c>
      <c r="I13" s="20"/>
      <c r="J13" s="20"/>
      <c r="K13" s="20" t="str">
        <f t="shared" si="0"/>
        <v> </v>
      </c>
    </row>
    <row r="14" spans="1:11" ht="15.75">
      <c r="A14" s="3" t="s">
        <v>8</v>
      </c>
      <c r="B14" s="16" t="s">
        <v>38</v>
      </c>
      <c r="C14" s="20" t="s">
        <v>38</v>
      </c>
      <c r="D14" s="20" t="s">
        <v>38</v>
      </c>
      <c r="E14" s="20" t="s">
        <v>38</v>
      </c>
      <c r="F14" s="20" t="s">
        <v>38</v>
      </c>
      <c r="G14" s="20" t="s">
        <v>38</v>
      </c>
      <c r="H14" s="20" t="s">
        <v>38</v>
      </c>
      <c r="I14" s="20" t="s">
        <v>38</v>
      </c>
      <c r="J14" s="20" t="s">
        <v>38</v>
      </c>
      <c r="K14" s="20" t="str">
        <f t="shared" si="0"/>
        <v>+</v>
      </c>
    </row>
    <row r="15" spans="1:11" ht="15.75">
      <c r="A15" s="3" t="s">
        <v>9</v>
      </c>
      <c r="B15" s="16" t="s">
        <v>38</v>
      </c>
      <c r="C15" s="20" t="s">
        <v>38</v>
      </c>
      <c r="D15" s="20" t="s">
        <v>38</v>
      </c>
      <c r="E15" s="20" t="s">
        <v>38</v>
      </c>
      <c r="F15" s="20" t="s">
        <v>38</v>
      </c>
      <c r="G15" s="20"/>
      <c r="H15" s="20" t="s">
        <v>38</v>
      </c>
      <c r="I15" s="20" t="s">
        <v>38</v>
      </c>
      <c r="J15" s="20"/>
      <c r="K15" s="20" t="str">
        <f t="shared" si="0"/>
        <v> </v>
      </c>
    </row>
    <row r="16" spans="1:11" ht="15.75">
      <c r="A16" s="3" t="s">
        <v>10</v>
      </c>
      <c r="B16" s="16" t="s">
        <v>38</v>
      </c>
      <c r="C16" s="20" t="s">
        <v>38</v>
      </c>
      <c r="D16" s="20" t="s">
        <v>38</v>
      </c>
      <c r="E16" s="20" t="s">
        <v>38</v>
      </c>
      <c r="F16" s="20" t="s">
        <v>38</v>
      </c>
      <c r="G16" s="20" t="s">
        <v>38</v>
      </c>
      <c r="H16" s="20" t="s">
        <v>38</v>
      </c>
      <c r="I16" s="20"/>
      <c r="J16" s="20"/>
      <c r="K16" s="20" t="str">
        <f t="shared" si="0"/>
        <v> </v>
      </c>
    </row>
    <row r="17" spans="1:11" ht="15.75">
      <c r="A17" s="3" t="s">
        <v>11</v>
      </c>
      <c r="B17" s="16" t="s">
        <v>38</v>
      </c>
      <c r="C17" s="20" t="s">
        <v>38</v>
      </c>
      <c r="D17" s="20" t="s">
        <v>38</v>
      </c>
      <c r="E17" s="20" t="s">
        <v>38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 t="str">
        <f t="shared" si="0"/>
        <v>+</v>
      </c>
    </row>
    <row r="18" spans="1:11" ht="15.75">
      <c r="A18" s="3" t="s">
        <v>12</v>
      </c>
      <c r="B18" s="16" t="s">
        <v>38</v>
      </c>
      <c r="C18" s="20" t="s">
        <v>38</v>
      </c>
      <c r="D18" s="20" t="s">
        <v>38</v>
      </c>
      <c r="E18" s="20" t="s">
        <v>38</v>
      </c>
      <c r="F18" s="20" t="s">
        <v>38</v>
      </c>
      <c r="G18" s="20"/>
      <c r="H18" s="20" t="s">
        <v>38</v>
      </c>
      <c r="I18" s="20" t="s">
        <v>38</v>
      </c>
      <c r="J18" s="20"/>
      <c r="K18" s="20" t="str">
        <f t="shared" si="0"/>
        <v> </v>
      </c>
    </row>
    <row r="19" spans="1:11" ht="15.75">
      <c r="A19" s="3" t="s">
        <v>13</v>
      </c>
      <c r="B19" s="16" t="s">
        <v>38</v>
      </c>
      <c r="C19" s="20" t="s">
        <v>38</v>
      </c>
      <c r="D19" s="20" t="s">
        <v>38</v>
      </c>
      <c r="E19" s="20" t="s">
        <v>38</v>
      </c>
      <c r="F19" s="20" t="s">
        <v>38</v>
      </c>
      <c r="G19" s="20" t="s">
        <v>38</v>
      </c>
      <c r="H19" s="20" t="s">
        <v>38</v>
      </c>
      <c r="I19" s="20" t="s">
        <v>38</v>
      </c>
      <c r="J19" s="20" t="s">
        <v>38</v>
      </c>
      <c r="K19" s="20" t="str">
        <f t="shared" si="0"/>
        <v>+</v>
      </c>
    </row>
    <row r="20" spans="1:11" ht="15.75">
      <c r="A20" s="3" t="s">
        <v>14</v>
      </c>
      <c r="B20" s="16" t="s">
        <v>38</v>
      </c>
      <c r="C20" s="20" t="s">
        <v>38</v>
      </c>
      <c r="D20" s="20" t="s">
        <v>38</v>
      </c>
      <c r="E20" s="20" t="s">
        <v>38</v>
      </c>
      <c r="F20" s="20" t="s">
        <v>38</v>
      </c>
      <c r="G20" s="20"/>
      <c r="H20" s="20" t="s">
        <v>38</v>
      </c>
      <c r="I20" s="20"/>
      <c r="J20" s="20"/>
      <c r="K20" s="20" t="str">
        <f t="shared" si="0"/>
        <v> </v>
      </c>
    </row>
    <row r="21" spans="1:11" ht="15.75">
      <c r="A21" s="3" t="s">
        <v>15</v>
      </c>
      <c r="B21" s="16" t="s">
        <v>38</v>
      </c>
      <c r="C21" s="20" t="s">
        <v>38</v>
      </c>
      <c r="D21" s="20" t="s">
        <v>38</v>
      </c>
      <c r="E21" s="20" t="s">
        <v>38</v>
      </c>
      <c r="F21" s="20" t="s">
        <v>38</v>
      </c>
      <c r="G21" s="20"/>
      <c r="H21" s="20" t="s">
        <v>38</v>
      </c>
      <c r="I21" s="20" t="s">
        <v>38</v>
      </c>
      <c r="J21" s="20"/>
      <c r="K21" s="20" t="str">
        <f t="shared" si="0"/>
        <v> </v>
      </c>
    </row>
    <row r="22" spans="1:11" ht="15.75">
      <c r="A22" s="3" t="s">
        <v>16</v>
      </c>
      <c r="B22" s="16" t="s">
        <v>38</v>
      </c>
      <c r="C22" s="20" t="s">
        <v>38</v>
      </c>
      <c r="D22" s="20" t="s">
        <v>38</v>
      </c>
      <c r="E22" s="20" t="s">
        <v>38</v>
      </c>
      <c r="F22" s="20" t="s">
        <v>38</v>
      </c>
      <c r="G22" s="20"/>
      <c r="H22" s="20" t="s">
        <v>38</v>
      </c>
      <c r="I22" s="20"/>
      <c r="J22" s="20"/>
      <c r="K22" s="20" t="str">
        <f t="shared" si="0"/>
        <v> </v>
      </c>
    </row>
    <row r="23" spans="1:11" ht="15.75">
      <c r="A23" s="3" t="s">
        <v>17</v>
      </c>
      <c r="B23" s="16" t="s">
        <v>38</v>
      </c>
      <c r="C23" s="20" t="s">
        <v>38</v>
      </c>
      <c r="D23" s="20" t="s">
        <v>38</v>
      </c>
      <c r="E23" s="20" t="s">
        <v>38</v>
      </c>
      <c r="F23" s="20" t="s">
        <v>38</v>
      </c>
      <c r="G23" s="20"/>
      <c r="H23" s="20" t="s">
        <v>38</v>
      </c>
      <c r="I23" s="20"/>
      <c r="J23" s="20"/>
      <c r="K23" s="20" t="str">
        <f t="shared" si="0"/>
        <v> </v>
      </c>
    </row>
    <row r="24" spans="1:11" ht="15.75">
      <c r="A24" s="3" t="s">
        <v>18</v>
      </c>
      <c r="B24" s="16" t="s">
        <v>38</v>
      </c>
      <c r="C24" s="20" t="s">
        <v>38</v>
      </c>
      <c r="D24" s="20" t="s">
        <v>38</v>
      </c>
      <c r="E24" s="20" t="s">
        <v>38</v>
      </c>
      <c r="F24" s="20" t="s">
        <v>38</v>
      </c>
      <c r="G24" s="20" t="s">
        <v>38</v>
      </c>
      <c r="H24" s="20" t="s">
        <v>38</v>
      </c>
      <c r="I24" s="20" t="s">
        <v>38</v>
      </c>
      <c r="J24" s="20" t="s">
        <v>38</v>
      </c>
      <c r="K24" s="20" t="str">
        <f t="shared" si="0"/>
        <v>+</v>
      </c>
    </row>
    <row r="25" spans="1:11" ht="15.75">
      <c r="A25" s="3" t="s">
        <v>19</v>
      </c>
      <c r="B25" s="16" t="s">
        <v>38</v>
      </c>
      <c r="C25" s="20" t="s">
        <v>38</v>
      </c>
      <c r="D25" s="20" t="s">
        <v>38</v>
      </c>
      <c r="E25" s="20" t="s">
        <v>38</v>
      </c>
      <c r="F25" s="20" t="s">
        <v>38</v>
      </c>
      <c r="G25" s="20" t="s">
        <v>38</v>
      </c>
      <c r="H25" s="20" t="s">
        <v>38</v>
      </c>
      <c r="I25" s="20" t="s">
        <v>38</v>
      </c>
      <c r="J25" s="20" t="s">
        <v>38</v>
      </c>
      <c r="K25" s="20" t="str">
        <f t="shared" si="0"/>
        <v>+</v>
      </c>
    </row>
    <row r="26" spans="1:11" ht="15.75">
      <c r="A26" s="3" t="s">
        <v>20</v>
      </c>
      <c r="B26" s="16" t="s">
        <v>38</v>
      </c>
      <c r="C26" s="20" t="s">
        <v>38</v>
      </c>
      <c r="D26" s="20" t="s">
        <v>38</v>
      </c>
      <c r="E26" s="20" t="s">
        <v>38</v>
      </c>
      <c r="F26" s="20" t="s">
        <v>38</v>
      </c>
      <c r="G26" s="20" t="s">
        <v>38</v>
      </c>
      <c r="H26" s="20" t="s">
        <v>38</v>
      </c>
      <c r="I26" s="20" t="s">
        <v>38</v>
      </c>
      <c r="J26" s="20" t="s">
        <v>38</v>
      </c>
      <c r="K26" s="20" t="str">
        <f t="shared" si="0"/>
        <v>+</v>
      </c>
    </row>
    <row r="27" spans="1:11" ht="15.75">
      <c r="A27" s="3" t="s">
        <v>21</v>
      </c>
      <c r="B27" s="16" t="s">
        <v>38</v>
      </c>
      <c r="C27" s="20" t="s">
        <v>38</v>
      </c>
      <c r="D27" s="20" t="s">
        <v>38</v>
      </c>
      <c r="E27" s="20" t="s">
        <v>38</v>
      </c>
      <c r="F27" s="20" t="s">
        <v>38</v>
      </c>
      <c r="G27" s="20" t="s">
        <v>38</v>
      </c>
      <c r="H27" s="20" t="s">
        <v>38</v>
      </c>
      <c r="I27" s="20" t="s">
        <v>38</v>
      </c>
      <c r="J27" s="20" t="s">
        <v>38</v>
      </c>
      <c r="K27" s="20" t="str">
        <f t="shared" si="0"/>
        <v>+</v>
      </c>
    </row>
    <row r="28" spans="1:11" ht="15.75">
      <c r="A28" s="3" t="s">
        <v>22</v>
      </c>
      <c r="B28" s="16" t="s">
        <v>38</v>
      </c>
      <c r="C28" s="20" t="s">
        <v>38</v>
      </c>
      <c r="D28" s="20" t="s">
        <v>38</v>
      </c>
      <c r="E28" s="20" t="s">
        <v>38</v>
      </c>
      <c r="F28" s="20" t="s">
        <v>38</v>
      </c>
      <c r="G28" s="20" t="s">
        <v>38</v>
      </c>
      <c r="H28" s="20" t="s">
        <v>38</v>
      </c>
      <c r="I28" s="20"/>
      <c r="J28" s="20"/>
      <c r="K28" s="20" t="str">
        <f t="shared" si="0"/>
        <v> </v>
      </c>
    </row>
    <row r="29" spans="1:11" ht="15.75">
      <c r="A29" s="3" t="s">
        <v>23</v>
      </c>
      <c r="B29" s="16" t="s">
        <v>38</v>
      </c>
      <c r="C29" s="20" t="s">
        <v>38</v>
      </c>
      <c r="D29" s="20" t="s">
        <v>38</v>
      </c>
      <c r="E29" s="20" t="s">
        <v>38</v>
      </c>
      <c r="F29" s="20" t="s">
        <v>38</v>
      </c>
      <c r="G29" s="20" t="s">
        <v>38</v>
      </c>
      <c r="H29" s="20" t="s">
        <v>38</v>
      </c>
      <c r="I29" s="20" t="s">
        <v>38</v>
      </c>
      <c r="J29" s="20" t="s">
        <v>38</v>
      </c>
      <c r="K29" s="20" t="str">
        <f t="shared" si="0"/>
        <v>+</v>
      </c>
    </row>
    <row r="30" spans="1:11" ht="15.75">
      <c r="A30" s="3" t="s">
        <v>24</v>
      </c>
      <c r="B30" s="16" t="s">
        <v>38</v>
      </c>
      <c r="C30" s="20" t="s">
        <v>38</v>
      </c>
      <c r="D30" s="20" t="s">
        <v>38</v>
      </c>
      <c r="E30" s="20" t="s">
        <v>38</v>
      </c>
      <c r="F30" s="20" t="s">
        <v>38</v>
      </c>
      <c r="G30" s="20"/>
      <c r="H30" s="20" t="s">
        <v>38</v>
      </c>
      <c r="I30" s="20"/>
      <c r="J30" s="20"/>
      <c r="K30" s="20" t="str">
        <f t="shared" si="0"/>
        <v> </v>
      </c>
    </row>
    <row r="31" spans="1:11" ht="15.75">
      <c r="A31" s="3" t="s">
        <v>25</v>
      </c>
      <c r="B31" s="16" t="s">
        <v>38</v>
      </c>
      <c r="C31" s="20" t="s">
        <v>38</v>
      </c>
      <c r="D31" s="20" t="s">
        <v>38</v>
      </c>
      <c r="E31" s="20" t="s">
        <v>38</v>
      </c>
      <c r="F31" s="20" t="s">
        <v>38</v>
      </c>
      <c r="G31" s="20"/>
      <c r="H31" s="20" t="s">
        <v>38</v>
      </c>
      <c r="I31" s="20"/>
      <c r="J31" s="20"/>
      <c r="K31" s="20" t="str">
        <f t="shared" si="0"/>
        <v> </v>
      </c>
    </row>
    <row r="32" spans="1:11" ht="15.75">
      <c r="A32" s="3" t="s">
        <v>26</v>
      </c>
      <c r="B32" s="16" t="s">
        <v>38</v>
      </c>
      <c r="C32" s="20" t="s">
        <v>38</v>
      </c>
      <c r="D32" s="20" t="s">
        <v>38</v>
      </c>
      <c r="E32" s="20" t="s">
        <v>38</v>
      </c>
      <c r="F32" s="20" t="s">
        <v>38</v>
      </c>
      <c r="G32" s="20" t="s">
        <v>38</v>
      </c>
      <c r="H32" s="20" t="s">
        <v>38</v>
      </c>
      <c r="I32" s="20" t="s">
        <v>38</v>
      </c>
      <c r="J32" s="20" t="s">
        <v>38</v>
      </c>
      <c r="K32" s="20" t="str">
        <f t="shared" si="0"/>
        <v>+</v>
      </c>
    </row>
    <row r="33" spans="1:11" ht="15.75">
      <c r="A33" s="3" t="s">
        <v>27</v>
      </c>
      <c r="B33" s="16" t="s">
        <v>38</v>
      </c>
      <c r="C33" s="20" t="s">
        <v>38</v>
      </c>
      <c r="D33" s="20" t="s">
        <v>38</v>
      </c>
      <c r="E33" s="20" t="s">
        <v>38</v>
      </c>
      <c r="F33" s="20" t="s">
        <v>38</v>
      </c>
      <c r="G33" s="20" t="s">
        <v>38</v>
      </c>
      <c r="H33" s="20" t="s">
        <v>38</v>
      </c>
      <c r="I33" s="20"/>
      <c r="J33" s="20"/>
      <c r="K33" s="20" t="str">
        <f t="shared" si="0"/>
        <v> </v>
      </c>
    </row>
    <row r="34" spans="1:11" ht="15.75">
      <c r="A34" s="3" t="s">
        <v>28</v>
      </c>
      <c r="B34" s="16" t="s">
        <v>38</v>
      </c>
      <c r="C34" s="20" t="s">
        <v>38</v>
      </c>
      <c r="D34" s="20" t="s">
        <v>38</v>
      </c>
      <c r="E34" s="20" t="s">
        <v>38</v>
      </c>
      <c r="F34" s="20" t="s">
        <v>38</v>
      </c>
      <c r="G34" s="20" t="s">
        <v>38</v>
      </c>
      <c r="H34" s="20" t="s">
        <v>38</v>
      </c>
      <c r="I34" s="20" t="s">
        <v>38</v>
      </c>
      <c r="J34" s="20" t="s">
        <v>38</v>
      </c>
      <c r="K34" s="20" t="str">
        <f t="shared" si="0"/>
        <v>+</v>
      </c>
    </row>
    <row r="35" spans="1:11" ht="15.75">
      <c r="A35" s="3" t="s">
        <v>29</v>
      </c>
      <c r="B35" s="16" t="s">
        <v>38</v>
      </c>
      <c r="C35" s="20" t="s">
        <v>38</v>
      </c>
      <c r="D35" s="20" t="s">
        <v>38</v>
      </c>
      <c r="E35" s="20" t="s">
        <v>38</v>
      </c>
      <c r="F35" s="20" t="s">
        <v>38</v>
      </c>
      <c r="G35" s="20"/>
      <c r="H35" s="20" t="s">
        <v>38</v>
      </c>
      <c r="I35" s="20"/>
      <c r="J35" s="20"/>
      <c r="K35" s="20" t="str">
        <f t="shared" si="0"/>
        <v> </v>
      </c>
    </row>
    <row r="36" spans="1:11" ht="15.75">
      <c r="A36" s="3" t="s">
        <v>30</v>
      </c>
      <c r="B36" s="16" t="s">
        <v>38</v>
      </c>
      <c r="C36" s="20" t="s">
        <v>38</v>
      </c>
      <c r="D36" s="20" t="s">
        <v>38</v>
      </c>
      <c r="E36" s="20" t="s">
        <v>38</v>
      </c>
      <c r="F36" s="20" t="s">
        <v>38</v>
      </c>
      <c r="G36" s="20" t="s">
        <v>38</v>
      </c>
      <c r="H36" s="20" t="s">
        <v>38</v>
      </c>
      <c r="I36" s="20" t="s">
        <v>38</v>
      </c>
      <c r="J36" s="20" t="s">
        <v>38</v>
      </c>
      <c r="K36" s="20" t="str">
        <f t="shared" si="0"/>
        <v>+</v>
      </c>
    </row>
    <row r="37" spans="1:11" ht="15.75">
      <c r="A37" s="3" t="s">
        <v>31</v>
      </c>
      <c r="B37" s="16" t="s">
        <v>38</v>
      </c>
      <c r="C37" s="20" t="s">
        <v>38</v>
      </c>
      <c r="D37" s="20" t="s">
        <v>38</v>
      </c>
      <c r="E37" s="20" t="s">
        <v>38</v>
      </c>
      <c r="F37" s="20" t="s">
        <v>38</v>
      </c>
      <c r="G37" s="20" t="s">
        <v>38</v>
      </c>
      <c r="H37" s="20" t="s">
        <v>38</v>
      </c>
      <c r="I37" s="20"/>
      <c r="J37" s="20"/>
      <c r="K37" s="20" t="str">
        <f t="shared" si="0"/>
        <v> </v>
      </c>
    </row>
    <row r="38" spans="1:11" ht="15.75">
      <c r="A38" s="3" t="s">
        <v>32</v>
      </c>
      <c r="B38" s="20" t="s">
        <v>38</v>
      </c>
      <c r="C38" s="20" t="s">
        <v>38</v>
      </c>
      <c r="D38" s="20" t="s">
        <v>38</v>
      </c>
      <c r="E38" s="20" t="s">
        <v>38</v>
      </c>
      <c r="F38" s="20" t="s">
        <v>38</v>
      </c>
      <c r="G38" s="20" t="s">
        <v>38</v>
      </c>
      <c r="H38" s="20" t="s">
        <v>38</v>
      </c>
      <c r="I38" s="20"/>
      <c r="J38" s="20"/>
      <c r="K38" s="20" t="str">
        <f t="shared" si="0"/>
        <v> </v>
      </c>
    </row>
    <row r="39" spans="1:11" ht="15.75">
      <c r="A39" s="3" t="s">
        <v>33</v>
      </c>
      <c r="B39" s="16" t="s">
        <v>38</v>
      </c>
      <c r="C39" s="20" t="s">
        <v>38</v>
      </c>
      <c r="D39" s="20" t="s">
        <v>38</v>
      </c>
      <c r="E39" s="20" t="s">
        <v>38</v>
      </c>
      <c r="F39" s="20" t="s">
        <v>38</v>
      </c>
      <c r="G39" s="20"/>
      <c r="H39" s="20" t="s">
        <v>38</v>
      </c>
      <c r="I39" s="20"/>
      <c r="J39" s="20"/>
      <c r="K39" s="20" t="str">
        <f t="shared" si="0"/>
        <v> </v>
      </c>
    </row>
    <row r="40" spans="1:11" ht="15.75">
      <c r="A40" s="3" t="s">
        <v>34</v>
      </c>
      <c r="B40" s="16" t="s">
        <v>38</v>
      </c>
      <c r="C40" s="20" t="s">
        <v>38</v>
      </c>
      <c r="D40" s="20" t="s">
        <v>38</v>
      </c>
      <c r="E40" s="20" t="s">
        <v>38</v>
      </c>
      <c r="F40" s="20" t="s">
        <v>38</v>
      </c>
      <c r="G40" s="20"/>
      <c r="H40" s="20" t="s">
        <v>38</v>
      </c>
      <c r="I40" s="20" t="s">
        <v>38</v>
      </c>
      <c r="J40" s="20"/>
      <c r="K40" s="20" t="str">
        <f t="shared" si="0"/>
        <v> </v>
      </c>
    </row>
    <row r="41" spans="1:11" ht="15.75">
      <c r="A41" s="3" t="s">
        <v>35</v>
      </c>
      <c r="B41" s="16" t="s">
        <v>38</v>
      </c>
      <c r="C41" s="20" t="s">
        <v>38</v>
      </c>
      <c r="D41" s="20" t="s">
        <v>38</v>
      </c>
      <c r="E41" s="20" t="s">
        <v>38</v>
      </c>
      <c r="F41" s="20" t="s">
        <v>38</v>
      </c>
      <c r="G41" s="20" t="s">
        <v>38</v>
      </c>
      <c r="H41" s="20" t="s">
        <v>38</v>
      </c>
      <c r="I41" s="20" t="s">
        <v>38</v>
      </c>
      <c r="J41" s="20" t="s">
        <v>38</v>
      </c>
      <c r="K41" s="20" t="str">
        <f t="shared" si="0"/>
        <v>+</v>
      </c>
    </row>
    <row r="42" spans="1:11" ht="15.75">
      <c r="A42" s="3" t="s">
        <v>36</v>
      </c>
      <c r="B42" s="16" t="s">
        <v>38</v>
      </c>
      <c r="C42" s="20" t="s">
        <v>38</v>
      </c>
      <c r="D42" s="20" t="s">
        <v>38</v>
      </c>
      <c r="E42" s="20" t="s">
        <v>38</v>
      </c>
      <c r="F42" s="20" t="s">
        <v>38</v>
      </c>
      <c r="G42" s="20" t="s">
        <v>38</v>
      </c>
      <c r="H42" s="20" t="s">
        <v>38</v>
      </c>
      <c r="I42" s="20"/>
      <c r="J42" s="20"/>
      <c r="K42" s="20" t="str">
        <f t="shared" si="0"/>
        <v> </v>
      </c>
    </row>
  </sheetData>
  <sheetProtection/>
  <mergeCells count="1">
    <mergeCell ref="A1:K1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180" verticalDpi="18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view="pageBreakPreview" zoomScaleSheetLayoutView="100" zoomScalePageLayoutView="0" workbookViewId="0" topLeftCell="A1">
      <selection activeCell="F9" sqref="F9:F21"/>
    </sheetView>
  </sheetViews>
  <sheetFormatPr defaultColWidth="8.7109375" defaultRowHeight="15"/>
  <cols>
    <col min="1" max="1" width="24.421875" style="31" customWidth="1"/>
    <col min="2" max="3" width="18.421875" style="31" customWidth="1"/>
    <col min="4" max="4" width="7.140625" style="31" customWidth="1"/>
    <col min="5" max="5" width="6.57421875" style="31" customWidth="1"/>
    <col min="6" max="6" width="9.00390625" style="31" bestFit="1" customWidth="1"/>
    <col min="7" max="8" width="8.57421875" style="31" customWidth="1"/>
    <col min="9" max="16384" width="8.7109375" style="31" customWidth="1"/>
  </cols>
  <sheetData>
    <row r="1" spans="1:6" ht="33.75" customHeight="1">
      <c r="A1" s="112" t="s">
        <v>135</v>
      </c>
      <c r="B1" s="112"/>
      <c r="C1" s="112"/>
      <c r="D1" s="112"/>
      <c r="E1" s="112"/>
      <c r="F1" s="112"/>
    </row>
    <row r="3" spans="1:2" ht="15.75">
      <c r="A3" s="41" t="s">
        <v>70</v>
      </c>
      <c r="B3" s="63">
        <f>MAX($D$9:$D$21)</f>
        <v>0.06877618018189957</v>
      </c>
    </row>
    <row r="4" spans="1:2" ht="15.75">
      <c r="A4" s="39" t="s">
        <v>71</v>
      </c>
      <c r="B4" s="62">
        <f>MIN($D$9:$D$21)</f>
        <v>0</v>
      </c>
    </row>
    <row r="5" spans="1:2" ht="15.75">
      <c r="A5" s="37" t="s">
        <v>72</v>
      </c>
      <c r="B5" s="36" t="s">
        <v>43</v>
      </c>
    </row>
    <row r="7" spans="1:6" s="35" customFormat="1" ht="63">
      <c r="A7" s="28" t="s">
        <v>39</v>
      </c>
      <c r="B7" s="28" t="s">
        <v>253</v>
      </c>
      <c r="C7" s="28" t="s">
        <v>254</v>
      </c>
      <c r="D7" s="34" t="s">
        <v>73</v>
      </c>
      <c r="E7" s="34" t="s">
        <v>74</v>
      </c>
      <c r="F7" s="34" t="s">
        <v>75</v>
      </c>
    </row>
    <row r="8" spans="1:6" s="33" customFormat="1" ht="15.75">
      <c r="A8" s="34">
        <v>1</v>
      </c>
      <c r="B8" s="34">
        <v>2</v>
      </c>
      <c r="C8" s="34">
        <v>3</v>
      </c>
      <c r="D8" s="34" t="s">
        <v>48</v>
      </c>
      <c r="E8" s="34">
        <v>5</v>
      </c>
      <c r="F8" s="34">
        <v>6</v>
      </c>
    </row>
    <row r="9" spans="1:7" ht="15.75">
      <c r="A9" s="17" t="s">
        <v>227</v>
      </c>
      <c r="B9" s="81">
        <v>2372560000</v>
      </c>
      <c r="C9" s="81">
        <v>49535037.72</v>
      </c>
      <c r="D9" s="64">
        <f>$C9/$B9</f>
        <v>0.020878307701385844</v>
      </c>
      <c r="E9" s="32">
        <f>($D9-$B$4)/($B$3-$B$4)</f>
        <v>0.3035688758254209</v>
      </c>
      <c r="F9" s="32">
        <f>$E9*$B$5</f>
        <v>-0.6071377516508418</v>
      </c>
      <c r="G9" s="48"/>
    </row>
    <row r="10" spans="1:7" ht="15.75">
      <c r="A10" s="17" t="s">
        <v>222</v>
      </c>
      <c r="B10" s="81">
        <v>874284253.51</v>
      </c>
      <c r="C10" s="81">
        <v>30856794.13</v>
      </c>
      <c r="D10" s="64">
        <f aca="true" t="shared" si="0" ref="D10:D21">$C10/$B10</f>
        <v>0.03529377774576042</v>
      </c>
      <c r="E10" s="32">
        <f aca="true" t="shared" si="1" ref="E10:E21">($D10-$B$4)/($B$3-$B$4)</f>
        <v>0.5131686239685784</v>
      </c>
      <c r="F10" s="32">
        <f aca="true" t="shared" si="2" ref="F10:F21">$E10*$B$5</f>
        <v>-1.0263372479371569</v>
      </c>
      <c r="G10" s="48"/>
    </row>
    <row r="11" spans="1:7" ht="15.75">
      <c r="A11" s="17" t="s">
        <v>265</v>
      </c>
      <c r="B11" s="81">
        <v>961499121.77</v>
      </c>
      <c r="C11" s="81">
        <v>0</v>
      </c>
      <c r="D11" s="98">
        <f t="shared" si="0"/>
        <v>0</v>
      </c>
      <c r="E11" s="98">
        <f t="shared" si="1"/>
        <v>0</v>
      </c>
      <c r="F11" s="98">
        <f t="shared" si="2"/>
        <v>0</v>
      </c>
      <c r="G11" s="48"/>
    </row>
    <row r="12" spans="1:7" ht="15.75">
      <c r="A12" s="17" t="s">
        <v>226</v>
      </c>
      <c r="B12" s="81">
        <v>461325496.52</v>
      </c>
      <c r="C12" s="81">
        <v>0</v>
      </c>
      <c r="D12" s="98">
        <f t="shared" si="0"/>
        <v>0</v>
      </c>
      <c r="E12" s="98">
        <f t="shared" si="1"/>
        <v>0</v>
      </c>
      <c r="F12" s="98">
        <f t="shared" si="2"/>
        <v>0</v>
      </c>
      <c r="G12" s="48"/>
    </row>
    <row r="13" spans="1:7" ht="15.75">
      <c r="A13" s="17" t="s">
        <v>266</v>
      </c>
      <c r="B13" s="81">
        <v>266620388.15</v>
      </c>
      <c r="C13" s="81">
        <v>14653029.33</v>
      </c>
      <c r="D13" s="64">
        <f t="shared" si="0"/>
        <v>0.05495839771171678</v>
      </c>
      <c r="E13" s="32">
        <f t="shared" si="1"/>
        <v>0.7990905799996822</v>
      </c>
      <c r="F13" s="32">
        <f t="shared" si="2"/>
        <v>-1.5981811599993645</v>
      </c>
      <c r="G13" s="48"/>
    </row>
    <row r="14" spans="1:7" ht="15.75">
      <c r="A14" s="17" t="s">
        <v>158</v>
      </c>
      <c r="B14" s="81">
        <v>853930476.51</v>
      </c>
      <c r="C14" s="81">
        <v>17817329.63</v>
      </c>
      <c r="D14" s="64">
        <f t="shared" si="0"/>
        <v>0.02086508225215141</v>
      </c>
      <c r="E14" s="32">
        <f t="shared" si="1"/>
        <v>0.3033765788819231</v>
      </c>
      <c r="F14" s="32">
        <f t="shared" si="2"/>
        <v>-0.6067531577638462</v>
      </c>
      <c r="G14" s="48"/>
    </row>
    <row r="15" spans="1:7" ht="15.75">
      <c r="A15" s="17" t="s">
        <v>159</v>
      </c>
      <c r="B15" s="81">
        <v>839220344.7</v>
      </c>
      <c r="C15" s="81">
        <v>19936703.59</v>
      </c>
      <c r="D15" s="64">
        <f t="shared" si="0"/>
        <v>0.023756220539585305</v>
      </c>
      <c r="E15" s="32">
        <f t="shared" si="1"/>
        <v>0.3454134916588089</v>
      </c>
      <c r="F15" s="32">
        <f t="shared" si="2"/>
        <v>-0.6908269833176178</v>
      </c>
      <c r="G15" s="48"/>
    </row>
    <row r="16" spans="1:7" ht="15.75">
      <c r="A16" s="17" t="s">
        <v>267</v>
      </c>
      <c r="B16" s="81">
        <v>262044923</v>
      </c>
      <c r="C16" s="81">
        <v>18022448.84</v>
      </c>
      <c r="D16" s="64">
        <f t="shared" si="0"/>
        <v>0.06877618018189957</v>
      </c>
      <c r="E16" s="98">
        <f t="shared" si="1"/>
        <v>1</v>
      </c>
      <c r="F16" s="98">
        <f t="shared" si="2"/>
        <v>-2</v>
      </c>
      <c r="G16" s="48"/>
    </row>
    <row r="17" spans="1:7" ht="15.75">
      <c r="A17" s="17" t="s">
        <v>268</v>
      </c>
      <c r="B17" s="81">
        <v>395401621.62</v>
      </c>
      <c r="C17" s="81">
        <v>8650876.75</v>
      </c>
      <c r="D17" s="64">
        <f t="shared" si="0"/>
        <v>0.02187870832334094</v>
      </c>
      <c r="E17" s="32">
        <f t="shared" si="1"/>
        <v>0.31811461854200146</v>
      </c>
      <c r="F17" s="32">
        <f t="shared" si="2"/>
        <v>-0.6362292370840029</v>
      </c>
      <c r="G17" s="48"/>
    </row>
    <row r="18" spans="1:7" ht="15.75">
      <c r="A18" s="17" t="s">
        <v>269</v>
      </c>
      <c r="B18" s="81">
        <v>652324471.99</v>
      </c>
      <c r="C18" s="81">
        <v>36708230.59</v>
      </c>
      <c r="D18" s="64">
        <f t="shared" si="0"/>
        <v>0.05627296256112668</v>
      </c>
      <c r="E18" s="32">
        <f t="shared" si="1"/>
        <v>0.818204244729726</v>
      </c>
      <c r="F18" s="32">
        <f t="shared" si="2"/>
        <v>-1.636408489459452</v>
      </c>
      <c r="G18" s="48"/>
    </row>
    <row r="19" spans="1:7" ht="15.75">
      <c r="A19" s="17" t="s">
        <v>270</v>
      </c>
      <c r="B19" s="81">
        <v>604474654.16</v>
      </c>
      <c r="C19" s="81">
        <v>1262715.84</v>
      </c>
      <c r="D19" s="64">
        <f t="shared" si="0"/>
        <v>0.0020889475370224017</v>
      </c>
      <c r="E19" s="32">
        <f t="shared" si="1"/>
        <v>0.030373125281129936</v>
      </c>
      <c r="F19" s="32">
        <f t="shared" si="2"/>
        <v>-0.06074625056225987</v>
      </c>
      <c r="G19" s="48"/>
    </row>
    <row r="20" spans="1:7" ht="15.75">
      <c r="A20" s="17" t="s">
        <v>271</v>
      </c>
      <c r="B20" s="81">
        <v>1067816403.23</v>
      </c>
      <c r="C20" s="81">
        <v>11768699.62</v>
      </c>
      <c r="D20" s="64">
        <f t="shared" si="0"/>
        <v>0.011021276302181983</v>
      </c>
      <c r="E20" s="32">
        <f t="shared" si="1"/>
        <v>0.16024845045236386</v>
      </c>
      <c r="F20" s="32">
        <f t="shared" si="2"/>
        <v>-0.3204969009047277</v>
      </c>
      <c r="G20" s="48"/>
    </row>
    <row r="21" spans="1:7" ht="15.75">
      <c r="A21" s="17" t="s">
        <v>272</v>
      </c>
      <c r="B21" s="81">
        <v>316962815.02</v>
      </c>
      <c r="C21" s="81">
        <v>18987822.01</v>
      </c>
      <c r="D21" s="64">
        <f t="shared" si="0"/>
        <v>0.05990551922881519</v>
      </c>
      <c r="E21" s="32">
        <f t="shared" si="1"/>
        <v>0.8710213197414685</v>
      </c>
      <c r="F21" s="32">
        <f t="shared" si="2"/>
        <v>-1.742042639482937</v>
      </c>
      <c r="G21" s="48"/>
    </row>
    <row r="22" ht="15.75">
      <c r="A22" s="5" t="s">
        <v>40</v>
      </c>
    </row>
  </sheetData>
  <sheetProtection/>
  <mergeCells count="1">
    <mergeCell ref="A1:F1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view="pageBreakPreview" zoomScaleSheetLayoutView="100" zoomScalePageLayoutView="0" workbookViewId="0" topLeftCell="A1">
      <selection activeCell="F9" sqref="F9:F21"/>
    </sheetView>
  </sheetViews>
  <sheetFormatPr defaultColWidth="8.7109375" defaultRowHeight="15"/>
  <cols>
    <col min="1" max="1" width="24.421875" style="31" customWidth="1"/>
    <col min="2" max="3" width="18.421875" style="31" customWidth="1"/>
    <col min="4" max="4" width="7.140625" style="31" customWidth="1"/>
    <col min="5" max="5" width="6.57421875" style="31" customWidth="1"/>
    <col min="6" max="6" width="11.57421875" style="31" customWidth="1"/>
    <col min="7" max="16384" width="8.7109375" style="31" customWidth="1"/>
  </cols>
  <sheetData>
    <row r="1" spans="1:6" ht="33.75" customHeight="1">
      <c r="A1" s="112" t="s">
        <v>147</v>
      </c>
      <c r="B1" s="112"/>
      <c r="C1" s="112"/>
      <c r="D1" s="112"/>
      <c r="E1" s="112"/>
      <c r="F1" s="112"/>
    </row>
    <row r="3" spans="1:2" ht="15.75">
      <c r="A3" s="41" t="s">
        <v>148</v>
      </c>
      <c r="B3" s="40">
        <f>MAX($D$9:$D$21)</f>
        <v>37.5</v>
      </c>
    </row>
    <row r="4" spans="1:2" ht="15.75">
      <c r="A4" s="39" t="s">
        <v>149</v>
      </c>
      <c r="B4" s="62">
        <f>MIN($D$9:$D$21)</f>
        <v>0</v>
      </c>
    </row>
    <row r="5" spans="1:2" ht="15.75">
      <c r="A5" s="37" t="s">
        <v>150</v>
      </c>
      <c r="B5" s="36" t="s">
        <v>42</v>
      </c>
    </row>
    <row r="7" spans="1:6" s="35" customFormat="1" ht="94.5">
      <c r="A7" s="28" t="s">
        <v>39</v>
      </c>
      <c r="B7" s="28" t="s">
        <v>255</v>
      </c>
      <c r="C7" s="28" t="s">
        <v>256</v>
      </c>
      <c r="D7" s="34" t="s">
        <v>152</v>
      </c>
      <c r="E7" s="34" t="s">
        <v>153</v>
      </c>
      <c r="F7" s="34" t="s">
        <v>154</v>
      </c>
    </row>
    <row r="8" spans="1:6" s="33" customFormat="1" ht="15.75">
      <c r="A8" s="34">
        <v>1</v>
      </c>
      <c r="B8" s="34">
        <v>2</v>
      </c>
      <c r="C8" s="34">
        <v>3</v>
      </c>
      <c r="D8" s="34" t="s">
        <v>151</v>
      </c>
      <c r="E8" s="34">
        <v>5</v>
      </c>
      <c r="F8" s="34">
        <v>6</v>
      </c>
    </row>
    <row r="9" spans="1:7" ht="15.75">
      <c r="A9" s="17" t="s">
        <v>227</v>
      </c>
      <c r="B9" s="84">
        <v>290</v>
      </c>
      <c r="C9" s="84">
        <v>259.7</v>
      </c>
      <c r="D9" s="32">
        <f>IF(($B9-$C9)&lt;0,0,$B9-$C9)</f>
        <v>30.30000000000001</v>
      </c>
      <c r="E9" s="32">
        <f>($D9-$B$4)/($B$3-$B$4)</f>
        <v>0.8080000000000003</v>
      </c>
      <c r="F9" s="32">
        <f>$E9*$B$5</f>
        <v>-0.8080000000000003</v>
      </c>
      <c r="G9" s="85"/>
    </row>
    <row r="10" spans="1:7" ht="15.75">
      <c r="A10" s="17" t="s">
        <v>222</v>
      </c>
      <c r="B10" s="84">
        <v>121</v>
      </c>
      <c r="C10" s="84">
        <v>165.2</v>
      </c>
      <c r="D10" s="32">
        <f aca="true" t="shared" si="0" ref="D10:D21">IF(($B10-$C10)&lt;0,0,$B10-$C10)</f>
        <v>0</v>
      </c>
      <c r="E10" s="98">
        <f aca="true" t="shared" si="1" ref="E10:E21">($D10-$B$4)/($B$3-$B$4)</f>
        <v>0</v>
      </c>
      <c r="F10" s="98">
        <f aca="true" t="shared" si="2" ref="F10:F21">$E10*$B$5</f>
        <v>0</v>
      </c>
      <c r="G10" s="85"/>
    </row>
    <row r="11" spans="1:7" ht="15.75">
      <c r="A11" s="17" t="s">
        <v>265</v>
      </c>
      <c r="B11" s="84">
        <v>192</v>
      </c>
      <c r="C11" s="84">
        <v>191.4</v>
      </c>
      <c r="D11" s="32">
        <f t="shared" si="0"/>
        <v>0.5999999999999943</v>
      </c>
      <c r="E11" s="32">
        <f t="shared" si="1"/>
        <v>0.015999999999999848</v>
      </c>
      <c r="F11" s="32">
        <f t="shared" si="2"/>
        <v>-0.015999999999999848</v>
      </c>
      <c r="G11" s="85"/>
    </row>
    <row r="12" spans="1:7" ht="15.75">
      <c r="A12" s="17" t="s">
        <v>226</v>
      </c>
      <c r="B12" s="84">
        <v>108</v>
      </c>
      <c r="C12" s="84">
        <v>128.9</v>
      </c>
      <c r="D12" s="32">
        <f t="shared" si="0"/>
        <v>0</v>
      </c>
      <c r="E12" s="98">
        <f t="shared" si="1"/>
        <v>0</v>
      </c>
      <c r="F12" s="98">
        <f t="shared" si="2"/>
        <v>0</v>
      </c>
      <c r="G12" s="85"/>
    </row>
    <row r="13" spans="1:7" ht="15.75">
      <c r="A13" s="17" t="s">
        <v>266</v>
      </c>
      <c r="B13" s="84">
        <v>122</v>
      </c>
      <c r="C13" s="84">
        <v>110.1</v>
      </c>
      <c r="D13" s="32">
        <f t="shared" si="0"/>
        <v>11.900000000000006</v>
      </c>
      <c r="E13" s="32">
        <f t="shared" si="1"/>
        <v>0.31733333333333347</v>
      </c>
      <c r="F13" s="32">
        <f t="shared" si="2"/>
        <v>-0.31733333333333347</v>
      </c>
      <c r="G13" s="85"/>
    </row>
    <row r="14" spans="1:7" ht="15.75">
      <c r="A14" s="17" t="s">
        <v>158</v>
      </c>
      <c r="B14" s="84">
        <v>184</v>
      </c>
      <c r="C14" s="84">
        <v>167.6</v>
      </c>
      <c r="D14" s="32">
        <f t="shared" si="0"/>
        <v>16.400000000000006</v>
      </c>
      <c r="E14" s="32">
        <f t="shared" si="1"/>
        <v>0.43733333333333346</v>
      </c>
      <c r="F14" s="32">
        <f t="shared" si="2"/>
        <v>-0.43733333333333346</v>
      </c>
      <c r="G14" s="85"/>
    </row>
    <row r="15" spans="1:7" ht="15.75">
      <c r="A15" s="17" t="s">
        <v>159</v>
      </c>
      <c r="B15" s="84">
        <v>220</v>
      </c>
      <c r="C15" s="84">
        <v>205.2</v>
      </c>
      <c r="D15" s="32">
        <f t="shared" si="0"/>
        <v>14.800000000000011</v>
      </c>
      <c r="E15" s="32">
        <f t="shared" si="1"/>
        <v>0.39466666666666694</v>
      </c>
      <c r="F15" s="32">
        <f t="shared" si="2"/>
        <v>-0.39466666666666694</v>
      </c>
      <c r="G15" s="85"/>
    </row>
    <row r="16" spans="1:7" ht="15.75">
      <c r="A16" s="17" t="s">
        <v>267</v>
      </c>
      <c r="B16" s="84">
        <v>87</v>
      </c>
      <c r="C16" s="84">
        <v>116.4</v>
      </c>
      <c r="D16" s="32">
        <f t="shared" si="0"/>
        <v>0</v>
      </c>
      <c r="E16" s="98">
        <f t="shared" si="1"/>
        <v>0</v>
      </c>
      <c r="F16" s="98">
        <f t="shared" si="2"/>
        <v>0</v>
      </c>
      <c r="G16" s="85"/>
    </row>
    <row r="17" spans="1:7" ht="15.75">
      <c r="A17" s="17" t="s">
        <v>268</v>
      </c>
      <c r="B17" s="84">
        <v>121</v>
      </c>
      <c r="C17" s="84">
        <v>123.2</v>
      </c>
      <c r="D17" s="32">
        <f t="shared" si="0"/>
        <v>0</v>
      </c>
      <c r="E17" s="98">
        <f t="shared" si="1"/>
        <v>0</v>
      </c>
      <c r="F17" s="98">
        <f t="shared" si="2"/>
        <v>0</v>
      </c>
      <c r="G17" s="85"/>
    </row>
    <row r="18" spans="1:7" ht="15.75">
      <c r="A18" s="17" t="s">
        <v>269</v>
      </c>
      <c r="B18" s="84">
        <v>209</v>
      </c>
      <c r="C18" s="84">
        <v>171.5</v>
      </c>
      <c r="D18" s="32">
        <f t="shared" si="0"/>
        <v>37.5</v>
      </c>
      <c r="E18" s="98">
        <f t="shared" si="1"/>
        <v>1</v>
      </c>
      <c r="F18" s="98">
        <f t="shared" si="2"/>
        <v>-1</v>
      </c>
      <c r="G18" s="85"/>
    </row>
    <row r="19" spans="1:7" ht="15.75">
      <c r="A19" s="17" t="s">
        <v>270</v>
      </c>
      <c r="B19" s="84">
        <v>173</v>
      </c>
      <c r="C19" s="84">
        <v>154.8</v>
      </c>
      <c r="D19" s="32">
        <f t="shared" si="0"/>
        <v>18.19999999999999</v>
      </c>
      <c r="E19" s="32">
        <f t="shared" si="1"/>
        <v>0.485333333333333</v>
      </c>
      <c r="F19" s="32">
        <f t="shared" si="2"/>
        <v>-0.485333333333333</v>
      </c>
      <c r="G19" s="85"/>
    </row>
    <row r="20" spans="1:7" ht="15.75">
      <c r="A20" s="17" t="s">
        <v>271</v>
      </c>
      <c r="B20" s="84">
        <v>244</v>
      </c>
      <c r="C20" s="84">
        <v>207</v>
      </c>
      <c r="D20" s="32">
        <f t="shared" si="0"/>
        <v>37</v>
      </c>
      <c r="E20" s="32">
        <f t="shared" si="1"/>
        <v>0.9866666666666667</v>
      </c>
      <c r="F20" s="32">
        <f t="shared" si="2"/>
        <v>-0.9866666666666667</v>
      </c>
      <c r="G20" s="85"/>
    </row>
    <row r="21" spans="1:7" ht="15.75">
      <c r="A21" s="17" t="s">
        <v>272</v>
      </c>
      <c r="B21" s="84">
        <v>128</v>
      </c>
      <c r="C21" s="84">
        <v>119.1</v>
      </c>
      <c r="D21" s="32">
        <f t="shared" si="0"/>
        <v>8.900000000000006</v>
      </c>
      <c r="E21" s="32">
        <f t="shared" si="1"/>
        <v>0.23733333333333348</v>
      </c>
      <c r="F21" s="32">
        <f t="shared" si="2"/>
        <v>-0.23733333333333348</v>
      </c>
      <c r="G21" s="85"/>
    </row>
    <row r="22" ht="15.75">
      <c r="A22" s="5" t="s">
        <v>40</v>
      </c>
    </row>
  </sheetData>
  <sheetProtection/>
  <mergeCells count="1">
    <mergeCell ref="A1:F1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2"/>
  <sheetViews>
    <sheetView view="pageBreakPreview" zoomScaleSheetLayoutView="100" zoomScalePageLayoutView="0" workbookViewId="0" topLeftCell="A1">
      <selection activeCell="F9" sqref="F9:F21"/>
    </sheetView>
  </sheetViews>
  <sheetFormatPr defaultColWidth="8.7109375" defaultRowHeight="15"/>
  <cols>
    <col min="1" max="1" width="24.57421875" style="31" customWidth="1"/>
    <col min="2" max="2" width="16.7109375" style="31" customWidth="1"/>
    <col min="3" max="3" width="14.28125" style="31" customWidth="1"/>
    <col min="4" max="4" width="8.8515625" style="31" customWidth="1"/>
    <col min="5" max="5" width="8.140625" style="31" customWidth="1"/>
    <col min="6" max="6" width="12.8515625" style="31" customWidth="1"/>
    <col min="7" max="16384" width="8.7109375" style="31" customWidth="1"/>
  </cols>
  <sheetData>
    <row r="1" spans="1:6" ht="33.75" customHeight="1">
      <c r="A1" s="112" t="s">
        <v>136</v>
      </c>
      <c r="B1" s="112"/>
      <c r="C1" s="112"/>
      <c r="D1" s="112"/>
      <c r="E1" s="112"/>
      <c r="F1" s="112"/>
    </row>
    <row r="3" spans="1:2" ht="15.75">
      <c r="A3" s="41" t="s">
        <v>76</v>
      </c>
      <c r="B3" s="49">
        <f>MAX($D$9:$D$21)</f>
        <v>5736.141088016514</v>
      </c>
    </row>
    <row r="4" spans="1:2" ht="15.75">
      <c r="A4" s="39" t="s">
        <v>77</v>
      </c>
      <c r="B4" s="89">
        <f>MIN($D$9:$D$21)</f>
        <v>100.77028191721134</v>
      </c>
    </row>
    <row r="5" spans="1:2" ht="15.75">
      <c r="A5" s="37" t="s">
        <v>78</v>
      </c>
      <c r="B5" s="36" t="s">
        <v>42</v>
      </c>
    </row>
    <row r="7" spans="1:6" s="35" customFormat="1" ht="79.5" customHeight="1">
      <c r="A7" s="28" t="s">
        <v>39</v>
      </c>
      <c r="B7" s="28" t="s">
        <v>257</v>
      </c>
      <c r="C7" s="28" t="s">
        <v>223</v>
      </c>
      <c r="D7" s="34" t="s">
        <v>79</v>
      </c>
      <c r="E7" s="34" t="s">
        <v>80</v>
      </c>
      <c r="F7" s="34" t="s">
        <v>81</v>
      </c>
    </row>
    <row r="8" spans="1:6" s="33" customFormat="1" ht="15.75">
      <c r="A8" s="34">
        <v>1</v>
      </c>
      <c r="B8" s="34">
        <v>2</v>
      </c>
      <c r="C8" s="34">
        <v>3</v>
      </c>
      <c r="D8" s="34" t="s">
        <v>49</v>
      </c>
      <c r="E8" s="34">
        <v>5</v>
      </c>
      <c r="F8" s="34">
        <v>6</v>
      </c>
    </row>
    <row r="9" spans="1:6" ht="15.75">
      <c r="A9" s="17" t="s">
        <v>227</v>
      </c>
      <c r="B9" s="32">
        <v>218017673.98</v>
      </c>
      <c r="C9" s="79">
        <v>107274</v>
      </c>
      <c r="D9" s="32">
        <f>$B9/$C9</f>
        <v>2032.3440347148423</v>
      </c>
      <c r="E9" s="32">
        <f>($D9-$B$4)/($B$3-$B$4)</f>
        <v>0.3427589451091737</v>
      </c>
      <c r="F9" s="32">
        <f>$E9*$B$5</f>
        <v>-0.3427589451091737</v>
      </c>
    </row>
    <row r="10" spans="1:6" ht="15.75">
      <c r="A10" s="17" t="s">
        <v>222</v>
      </c>
      <c r="B10" s="32">
        <v>164170204.98</v>
      </c>
      <c r="C10" s="79">
        <v>57130</v>
      </c>
      <c r="D10" s="32">
        <f aca="true" t="shared" si="0" ref="D10:D21">$B10/$C10</f>
        <v>2873.625152809382</v>
      </c>
      <c r="E10" s="32">
        <f aca="true" t="shared" si="1" ref="E10:E21">($D10-$B$4)/($B$3-$B$4)</f>
        <v>0.4920447946195555</v>
      </c>
      <c r="F10" s="32">
        <f aca="true" t="shared" si="2" ref="F10:F21">$E10*$B$5</f>
        <v>-0.4920447946195555</v>
      </c>
    </row>
    <row r="11" spans="1:6" ht="15.75">
      <c r="A11" s="17" t="s">
        <v>265</v>
      </c>
      <c r="B11" s="32">
        <v>8936037.94</v>
      </c>
      <c r="C11" s="79">
        <v>40569</v>
      </c>
      <c r="D11" s="32">
        <f t="shared" si="0"/>
        <v>220.26764130247233</v>
      </c>
      <c r="E11" s="32">
        <f t="shared" si="1"/>
        <v>0.02120487958945417</v>
      </c>
      <c r="F11" s="32">
        <f t="shared" si="2"/>
        <v>-0.02120487958945417</v>
      </c>
    </row>
    <row r="12" spans="1:6" ht="15.75">
      <c r="A12" s="17" t="s">
        <v>226</v>
      </c>
      <c r="B12" s="32">
        <v>82807364.48</v>
      </c>
      <c r="C12" s="79">
        <v>19285</v>
      </c>
      <c r="D12" s="32">
        <f t="shared" si="0"/>
        <v>4293.874227638061</v>
      </c>
      <c r="E12" s="32">
        <f t="shared" si="1"/>
        <v>0.744068862546285</v>
      </c>
      <c r="F12" s="32">
        <f t="shared" si="2"/>
        <v>-0.744068862546285</v>
      </c>
    </row>
    <row r="13" spans="1:6" ht="15.75">
      <c r="A13" s="17" t="s">
        <v>266</v>
      </c>
      <c r="B13" s="32">
        <v>33498715.39</v>
      </c>
      <c r="C13" s="79">
        <v>12875</v>
      </c>
      <c r="D13" s="32">
        <f t="shared" si="0"/>
        <v>2601.841972038835</v>
      </c>
      <c r="E13" s="32">
        <f t="shared" si="1"/>
        <v>0.4438167027828322</v>
      </c>
      <c r="F13" s="32">
        <f t="shared" si="2"/>
        <v>-0.4438167027828322</v>
      </c>
    </row>
    <row r="14" spans="1:6" ht="15.75">
      <c r="A14" s="17" t="s">
        <v>158</v>
      </c>
      <c r="B14" s="32">
        <v>15688462.27</v>
      </c>
      <c r="C14" s="79">
        <v>32470</v>
      </c>
      <c r="D14" s="32">
        <f t="shared" si="0"/>
        <v>483.1679171542963</v>
      </c>
      <c r="E14" s="32">
        <f t="shared" si="1"/>
        <v>0.06785669450947335</v>
      </c>
      <c r="F14" s="32">
        <f t="shared" si="2"/>
        <v>-0.06785669450947335</v>
      </c>
    </row>
    <row r="15" spans="1:6" ht="15.75">
      <c r="A15" s="17" t="s">
        <v>159</v>
      </c>
      <c r="B15" s="32">
        <v>42844794.05</v>
      </c>
      <c r="C15" s="79">
        <v>45276</v>
      </c>
      <c r="D15" s="32">
        <f t="shared" si="0"/>
        <v>946.3025454987189</v>
      </c>
      <c r="E15" s="32">
        <f t="shared" si="1"/>
        <v>0.1500402178799604</v>
      </c>
      <c r="F15" s="32">
        <f t="shared" si="2"/>
        <v>-0.1500402178799604</v>
      </c>
    </row>
    <row r="16" spans="1:6" ht="15.75">
      <c r="A16" s="17" t="s">
        <v>267</v>
      </c>
      <c r="B16" s="32">
        <v>73399950.4</v>
      </c>
      <c r="C16" s="79">
        <v>15022</v>
      </c>
      <c r="D16" s="32">
        <f t="shared" si="0"/>
        <v>4886.163653308481</v>
      </c>
      <c r="E16" s="32">
        <f t="shared" si="1"/>
        <v>0.8491709837819224</v>
      </c>
      <c r="F16" s="32">
        <f t="shared" si="2"/>
        <v>-0.8491709837819224</v>
      </c>
    </row>
    <row r="17" spans="1:6" ht="15.75">
      <c r="A17" s="17" t="s">
        <v>268</v>
      </c>
      <c r="B17" s="32">
        <v>38770556.44</v>
      </c>
      <c r="C17" s="79">
        <v>17325</v>
      </c>
      <c r="D17" s="32">
        <f t="shared" si="0"/>
        <v>2237.8387555555555</v>
      </c>
      <c r="E17" s="32">
        <f t="shared" si="1"/>
        <v>0.3792241091438635</v>
      </c>
      <c r="F17" s="32">
        <f t="shared" si="2"/>
        <v>-0.3792241091438635</v>
      </c>
    </row>
    <row r="18" spans="1:6" ht="15.75">
      <c r="A18" s="17" t="s">
        <v>269</v>
      </c>
      <c r="B18" s="32">
        <v>101173121.63</v>
      </c>
      <c r="C18" s="79">
        <v>33797</v>
      </c>
      <c r="D18" s="32">
        <f t="shared" si="0"/>
        <v>2993.5533221883597</v>
      </c>
      <c r="E18" s="32">
        <f t="shared" si="1"/>
        <v>0.5133261217061735</v>
      </c>
      <c r="F18" s="32">
        <f t="shared" si="2"/>
        <v>-0.5133261217061735</v>
      </c>
    </row>
    <row r="19" spans="1:6" ht="15.75">
      <c r="A19" s="17" t="s">
        <v>270</v>
      </c>
      <c r="B19" s="32">
        <v>161168356.15</v>
      </c>
      <c r="C19" s="79">
        <v>28097</v>
      </c>
      <c r="D19" s="32">
        <f t="shared" si="0"/>
        <v>5736.141088016514</v>
      </c>
      <c r="E19" s="98">
        <f t="shared" si="1"/>
        <v>1</v>
      </c>
      <c r="F19" s="98">
        <f t="shared" si="2"/>
        <v>-1</v>
      </c>
    </row>
    <row r="20" spans="1:6" ht="15.75">
      <c r="A20" s="17" t="s">
        <v>271</v>
      </c>
      <c r="B20" s="32">
        <v>4625355.94</v>
      </c>
      <c r="C20" s="79">
        <v>45900</v>
      </c>
      <c r="D20" s="32">
        <f t="shared" si="0"/>
        <v>100.77028191721134</v>
      </c>
      <c r="E20" s="98">
        <f t="shared" si="1"/>
        <v>0</v>
      </c>
      <c r="F20" s="98">
        <f t="shared" si="2"/>
        <v>0</v>
      </c>
    </row>
    <row r="21" spans="1:6" ht="15.75">
      <c r="A21" s="17" t="s">
        <v>272</v>
      </c>
      <c r="B21" s="32">
        <v>54944018.29</v>
      </c>
      <c r="C21" s="79">
        <v>15924</v>
      </c>
      <c r="D21" s="32">
        <f t="shared" si="0"/>
        <v>3450.3904979904546</v>
      </c>
      <c r="E21" s="32">
        <f t="shared" si="1"/>
        <v>0.5943921582671836</v>
      </c>
      <c r="F21" s="32">
        <f t="shared" si="2"/>
        <v>-0.5943921582671836</v>
      </c>
    </row>
    <row r="22" ht="15.75">
      <c r="A22" s="5" t="s">
        <v>40</v>
      </c>
    </row>
  </sheetData>
  <sheetProtection/>
  <mergeCells count="1">
    <mergeCell ref="A1:F1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3"/>
  <sheetViews>
    <sheetView view="pageBreakPreview" zoomScaleSheetLayoutView="100" zoomScalePageLayoutView="0" workbookViewId="0" topLeftCell="A1">
      <selection activeCell="F10" sqref="F10:F22"/>
    </sheetView>
  </sheetViews>
  <sheetFormatPr defaultColWidth="8.7109375" defaultRowHeight="15"/>
  <cols>
    <col min="1" max="1" width="24.421875" style="31" customWidth="1"/>
    <col min="2" max="2" width="18.421875" style="31" customWidth="1"/>
    <col min="3" max="3" width="17.140625" style="31" customWidth="1"/>
    <col min="4" max="4" width="7.28125" style="31" customWidth="1"/>
    <col min="5" max="5" width="6.140625" style="31" customWidth="1"/>
    <col min="6" max="6" width="12.00390625" style="31" customWidth="1"/>
    <col min="7" max="16384" width="8.7109375" style="31" customWidth="1"/>
  </cols>
  <sheetData>
    <row r="1" spans="1:6" ht="21" customHeight="1">
      <c r="A1" s="109" t="s">
        <v>157</v>
      </c>
      <c r="B1" s="109"/>
      <c r="C1" s="109"/>
      <c r="D1" s="109"/>
      <c r="E1" s="109"/>
      <c r="F1" s="109"/>
    </row>
    <row r="3" spans="1:2" ht="15.75">
      <c r="A3" s="41" t="s">
        <v>82</v>
      </c>
      <c r="B3" s="40">
        <f>MAX($D$10:$D$22)</f>
        <v>0.9591478024323152</v>
      </c>
    </row>
    <row r="4" spans="1:2" ht="15.75">
      <c r="A4" s="39" t="s">
        <v>83</v>
      </c>
      <c r="B4" s="38">
        <f>MIN($D$10:$D$22)</f>
        <v>0.3775424674876491</v>
      </c>
    </row>
    <row r="5" spans="1:2" ht="15.75">
      <c r="A5" s="37" t="s">
        <v>84</v>
      </c>
      <c r="B5" s="36" t="s">
        <v>41</v>
      </c>
    </row>
    <row r="7" spans="1:6" s="35" customFormat="1" ht="21" customHeight="1">
      <c r="A7" s="110" t="s">
        <v>39</v>
      </c>
      <c r="B7" s="119" t="s">
        <v>258</v>
      </c>
      <c r="C7" s="119"/>
      <c r="D7" s="116" t="s">
        <v>85</v>
      </c>
      <c r="E7" s="116" t="s">
        <v>86</v>
      </c>
      <c r="F7" s="116" t="s">
        <v>87</v>
      </c>
    </row>
    <row r="8" spans="1:6" s="35" customFormat="1" ht="34.5" customHeight="1">
      <c r="A8" s="110"/>
      <c r="B8" s="95" t="s">
        <v>44</v>
      </c>
      <c r="C8" s="95" t="s">
        <v>201</v>
      </c>
      <c r="D8" s="116"/>
      <c r="E8" s="116"/>
      <c r="F8" s="116"/>
    </row>
    <row r="9" spans="1:6" s="33" customFormat="1" ht="15.75">
      <c r="A9" s="34">
        <v>1</v>
      </c>
      <c r="B9" s="34">
        <v>2</v>
      </c>
      <c r="C9" s="34">
        <v>3</v>
      </c>
      <c r="D9" s="34" t="s">
        <v>48</v>
      </c>
      <c r="E9" s="34">
        <v>5</v>
      </c>
      <c r="F9" s="34">
        <v>6</v>
      </c>
    </row>
    <row r="10" spans="1:6" ht="15.75">
      <c r="A10" s="17" t="s">
        <v>227</v>
      </c>
      <c r="B10" s="24">
        <v>2372560000</v>
      </c>
      <c r="C10" s="24">
        <v>1725571000</v>
      </c>
      <c r="D10" s="32">
        <f>$C10/$B10</f>
        <v>0.7273034190916141</v>
      </c>
      <c r="E10" s="32">
        <f>($D10-$B$4)/($B$3-$B$4)</f>
        <v>0.6013716356938872</v>
      </c>
      <c r="F10" s="32">
        <f>$E10*$B$5</f>
        <v>1.2027432713877744</v>
      </c>
    </row>
    <row r="11" spans="1:6" ht="15.75">
      <c r="A11" s="17" t="s">
        <v>222</v>
      </c>
      <c r="B11" s="24">
        <v>874284253.51</v>
      </c>
      <c r="C11" s="24">
        <v>693954000</v>
      </c>
      <c r="D11" s="32">
        <f aca="true" t="shared" si="0" ref="D11:D22">$C11/$B11</f>
        <v>0.7937395614915562</v>
      </c>
      <c r="E11" s="32">
        <f aca="true" t="shared" si="1" ref="E11:E22">($D11-$B$4)/($B$3-$B$4)</f>
        <v>0.7156005438696742</v>
      </c>
      <c r="F11" s="32">
        <f aca="true" t="shared" si="2" ref="F11:F22">$E11*$B$5</f>
        <v>1.4312010877393484</v>
      </c>
    </row>
    <row r="12" spans="1:6" ht="15.75">
      <c r="A12" s="17" t="s">
        <v>265</v>
      </c>
      <c r="B12" s="24">
        <v>836296936.65</v>
      </c>
      <c r="C12" s="24">
        <v>766259000</v>
      </c>
      <c r="D12" s="64">
        <f t="shared" si="0"/>
        <v>0.9162523099384355</v>
      </c>
      <c r="E12" s="64">
        <f t="shared" si="1"/>
        <v>0.9262463909517598</v>
      </c>
      <c r="F12" s="32">
        <f t="shared" si="2"/>
        <v>1.8524927819035195</v>
      </c>
    </row>
    <row r="13" spans="1:6" ht="15.75">
      <c r="A13" s="17" t="s">
        <v>226</v>
      </c>
      <c r="B13" s="24">
        <v>416429528.02</v>
      </c>
      <c r="C13" s="24">
        <v>354395700</v>
      </c>
      <c r="D13" s="32">
        <f t="shared" si="0"/>
        <v>0.8510340313403024</v>
      </c>
      <c r="E13" s="32">
        <f t="shared" si="1"/>
        <v>0.8141114522233557</v>
      </c>
      <c r="F13" s="32">
        <f t="shared" si="2"/>
        <v>1.6282229044467114</v>
      </c>
    </row>
    <row r="14" spans="1:6" ht="15.75">
      <c r="A14" s="17" t="s">
        <v>266</v>
      </c>
      <c r="B14" s="24">
        <v>231851287.33</v>
      </c>
      <c r="C14" s="24">
        <v>171744408</v>
      </c>
      <c r="D14" s="32">
        <f t="shared" si="0"/>
        <v>0.7407524451462358</v>
      </c>
      <c r="E14" s="32">
        <f t="shared" si="1"/>
        <v>0.6244956086813449</v>
      </c>
      <c r="F14" s="32">
        <f t="shared" si="2"/>
        <v>1.2489912173626898</v>
      </c>
    </row>
    <row r="15" spans="1:6" ht="15.75">
      <c r="A15" s="17" t="s">
        <v>158</v>
      </c>
      <c r="B15" s="24">
        <v>631346988.82</v>
      </c>
      <c r="C15" s="24">
        <v>238360300</v>
      </c>
      <c r="D15" s="32">
        <f t="shared" si="0"/>
        <v>0.3775424674876491</v>
      </c>
      <c r="E15" s="98">
        <f t="shared" si="1"/>
        <v>0</v>
      </c>
      <c r="F15" s="98">
        <f t="shared" si="2"/>
        <v>0</v>
      </c>
    </row>
    <row r="16" spans="1:6" ht="15.75">
      <c r="A16" s="17" t="s">
        <v>159</v>
      </c>
      <c r="B16" s="24">
        <v>684075371.17</v>
      </c>
      <c r="C16" s="24">
        <v>628196500</v>
      </c>
      <c r="D16" s="64">
        <f t="shared" si="0"/>
        <v>0.9183147449462649</v>
      </c>
      <c r="E16" s="64">
        <f t="shared" si="1"/>
        <v>0.9297924983959522</v>
      </c>
      <c r="F16" s="32">
        <f t="shared" si="2"/>
        <v>1.8595849967919045</v>
      </c>
    </row>
    <row r="17" spans="1:6" ht="15.75">
      <c r="A17" s="17" t="s">
        <v>267</v>
      </c>
      <c r="B17" s="24">
        <v>233928467.01</v>
      </c>
      <c r="C17" s="24">
        <v>163738341</v>
      </c>
      <c r="D17" s="32">
        <f t="shared" si="0"/>
        <v>0.6999504724365184</v>
      </c>
      <c r="E17" s="32">
        <f t="shared" si="1"/>
        <v>0.554341553588987</v>
      </c>
      <c r="F17" s="32">
        <f t="shared" si="2"/>
        <v>1.108683107177974</v>
      </c>
    </row>
    <row r="18" spans="1:6" ht="15.75">
      <c r="A18" s="17" t="s">
        <v>268</v>
      </c>
      <c r="B18" s="24">
        <v>318564470.15</v>
      </c>
      <c r="C18" s="24">
        <v>281197481.15</v>
      </c>
      <c r="D18" s="32">
        <f t="shared" si="0"/>
        <v>0.8827019567423658</v>
      </c>
      <c r="E18" s="32">
        <f t="shared" si="1"/>
        <v>0.8685606181772345</v>
      </c>
      <c r="F18" s="32">
        <f t="shared" si="2"/>
        <v>1.737121236354469</v>
      </c>
    </row>
    <row r="19" spans="1:6" ht="15.75">
      <c r="A19" s="17" t="s">
        <v>269</v>
      </c>
      <c r="B19" s="24">
        <v>539401186.51</v>
      </c>
      <c r="C19" s="24">
        <v>346779000</v>
      </c>
      <c r="D19" s="32">
        <f t="shared" si="0"/>
        <v>0.6428962499020588</v>
      </c>
      <c r="E19" s="32">
        <f t="shared" si="1"/>
        <v>0.45624372142263014</v>
      </c>
      <c r="F19" s="32">
        <f t="shared" si="2"/>
        <v>0.9124874428452603</v>
      </c>
    </row>
    <row r="20" spans="1:6" ht="15.75">
      <c r="A20" s="17" t="s">
        <v>270</v>
      </c>
      <c r="B20" s="24">
        <v>541647560.16</v>
      </c>
      <c r="C20" s="24">
        <v>407416700</v>
      </c>
      <c r="D20" s="32">
        <f t="shared" si="0"/>
        <v>0.7521804397672375</v>
      </c>
      <c r="E20" s="32">
        <f t="shared" si="1"/>
        <v>0.6441446626606879</v>
      </c>
      <c r="F20" s="32">
        <f t="shared" si="2"/>
        <v>1.2882893253213759</v>
      </c>
    </row>
    <row r="21" spans="1:6" ht="15.75">
      <c r="A21" s="17" t="s">
        <v>271</v>
      </c>
      <c r="B21" s="24">
        <v>942827004.99</v>
      </c>
      <c r="C21" s="24">
        <v>904310449.91</v>
      </c>
      <c r="D21" s="32">
        <f t="shared" si="0"/>
        <v>0.9591478024323152</v>
      </c>
      <c r="E21" s="98">
        <f t="shared" si="1"/>
        <v>1</v>
      </c>
      <c r="F21" s="98">
        <f t="shared" si="2"/>
        <v>2</v>
      </c>
    </row>
    <row r="22" spans="1:6" ht="15.75">
      <c r="A22" s="17" t="s">
        <v>272</v>
      </c>
      <c r="B22" s="24">
        <v>277073684.37</v>
      </c>
      <c r="C22" s="24">
        <v>114323582.67</v>
      </c>
      <c r="D22" s="32">
        <f t="shared" si="0"/>
        <v>0.4126107570624932</v>
      </c>
      <c r="E22" s="32">
        <f t="shared" si="1"/>
        <v>0.06029568070963541</v>
      </c>
      <c r="F22" s="32">
        <f t="shared" si="2"/>
        <v>0.12059136141927082</v>
      </c>
    </row>
    <row r="23" ht="15.75">
      <c r="A23" s="5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 vertic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3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25.140625" style="1" customWidth="1"/>
    <col min="2" max="2" width="17.421875" style="1" customWidth="1"/>
    <col min="3" max="3" width="20.28125" style="1" customWidth="1"/>
    <col min="4" max="4" width="7.140625" style="25" customWidth="1"/>
    <col min="5" max="5" width="5.7109375" style="25" customWidth="1"/>
    <col min="6" max="6" width="11.7109375" style="25" customWidth="1"/>
    <col min="7" max="16384" width="9.140625" style="1" customWidth="1"/>
  </cols>
  <sheetData>
    <row r="1" spans="1:6" ht="30.75" customHeight="1">
      <c r="A1" s="108" t="s">
        <v>137</v>
      </c>
      <c r="B1" s="108"/>
      <c r="C1" s="108"/>
      <c r="D1" s="120"/>
      <c r="E1" s="120"/>
      <c r="F1" s="120"/>
    </row>
    <row r="3" spans="1:6" ht="15.75">
      <c r="A3" s="10" t="s">
        <v>88</v>
      </c>
      <c r="B3" s="22">
        <f>MAX($D$10:$D$22)</f>
        <v>0.7096774193548387</v>
      </c>
      <c r="C3" s="25"/>
      <c r="D3" s="1"/>
      <c r="E3" s="1"/>
      <c r="F3" s="1"/>
    </row>
    <row r="4" spans="1:6" ht="15.75">
      <c r="A4" s="11" t="s">
        <v>89</v>
      </c>
      <c r="B4" s="100">
        <f>MIN($D$10:$D$22)</f>
        <v>0</v>
      </c>
      <c r="C4" s="25"/>
      <c r="D4" s="1"/>
      <c r="E4" s="1"/>
      <c r="F4" s="1"/>
    </row>
    <row r="5" spans="1:6" ht="15.75">
      <c r="A5" s="12" t="s">
        <v>90</v>
      </c>
      <c r="B5" s="13" t="s">
        <v>46</v>
      </c>
      <c r="C5" s="25"/>
      <c r="D5" s="1"/>
      <c r="E5" s="1"/>
      <c r="F5" s="1"/>
    </row>
    <row r="7" spans="1:6" s="8" customFormat="1" ht="33" customHeight="1">
      <c r="A7" s="119" t="s">
        <v>39</v>
      </c>
      <c r="B7" s="119" t="s">
        <v>138</v>
      </c>
      <c r="C7" s="119"/>
      <c r="D7" s="121" t="s">
        <v>119</v>
      </c>
      <c r="E7" s="121" t="s">
        <v>120</v>
      </c>
      <c r="F7" s="121" t="s">
        <v>121</v>
      </c>
    </row>
    <row r="8" spans="1:6" s="8" customFormat="1" ht="63">
      <c r="A8" s="119"/>
      <c r="B8" s="95" t="s">
        <v>44</v>
      </c>
      <c r="C8" s="95" t="s">
        <v>55</v>
      </c>
      <c r="D8" s="121"/>
      <c r="E8" s="121"/>
      <c r="F8" s="121"/>
    </row>
    <row r="9" spans="1:6" s="7" customFormat="1" ht="15.75">
      <c r="A9" s="9">
        <v>1</v>
      </c>
      <c r="B9" s="9">
        <v>2</v>
      </c>
      <c r="C9" s="9">
        <v>3</v>
      </c>
      <c r="D9" s="9" t="s">
        <v>48</v>
      </c>
      <c r="E9" s="9">
        <v>5</v>
      </c>
      <c r="F9" s="9">
        <v>6</v>
      </c>
    </row>
    <row r="10" spans="1:6" s="7" customFormat="1" ht="15.75">
      <c r="A10" s="17" t="s">
        <v>227</v>
      </c>
      <c r="B10" s="29">
        <v>42</v>
      </c>
      <c r="C10" s="29">
        <v>25</v>
      </c>
      <c r="D10" s="6">
        <f>IF($B10&gt;0,$C10/$B10,0)</f>
        <v>0.5952380952380952</v>
      </c>
      <c r="E10" s="6">
        <f>($D10-$B$4)/($B$3-$B$4)</f>
        <v>0.8387445887445887</v>
      </c>
      <c r="F10" s="6">
        <f>$E10*$B$5</f>
        <v>0.8387445887445887</v>
      </c>
    </row>
    <row r="11" spans="1:6" s="7" customFormat="1" ht="15.75">
      <c r="A11" s="17" t="s">
        <v>222</v>
      </c>
      <c r="B11" s="29"/>
      <c r="C11" s="29"/>
      <c r="D11" s="61">
        <f aca="true" t="shared" si="0" ref="D11:D22">IF($B11&gt;0,$C11/$B11,0)</f>
        <v>0</v>
      </c>
      <c r="E11" s="61">
        <f aca="true" t="shared" si="1" ref="E11:E22">($D11-$B$4)/($B$3-$B$4)</f>
        <v>0</v>
      </c>
      <c r="F11" s="61">
        <f aca="true" t="shared" si="2" ref="F11:F22">$E11*$B$5</f>
        <v>0</v>
      </c>
    </row>
    <row r="12" spans="1:6" s="7" customFormat="1" ht="15.75">
      <c r="A12" s="17" t="s">
        <v>265</v>
      </c>
      <c r="B12" s="29">
        <v>41</v>
      </c>
      <c r="C12" s="29">
        <v>8</v>
      </c>
      <c r="D12" s="6">
        <f t="shared" si="0"/>
        <v>0.1951219512195122</v>
      </c>
      <c r="E12" s="6">
        <f t="shared" si="1"/>
        <v>0.2749445676274945</v>
      </c>
      <c r="F12" s="6">
        <f t="shared" si="2"/>
        <v>0.2749445676274945</v>
      </c>
    </row>
    <row r="13" spans="1:6" s="7" customFormat="1" ht="15.75">
      <c r="A13" s="17" t="s">
        <v>226</v>
      </c>
      <c r="B13" s="29">
        <v>31</v>
      </c>
      <c r="C13" s="29">
        <v>22</v>
      </c>
      <c r="D13" s="6">
        <f t="shared" si="0"/>
        <v>0.7096774193548387</v>
      </c>
      <c r="E13" s="61">
        <f t="shared" si="1"/>
        <v>1</v>
      </c>
      <c r="F13" s="61">
        <f t="shared" si="2"/>
        <v>1</v>
      </c>
    </row>
    <row r="14" spans="1:6" s="7" customFormat="1" ht="15.75">
      <c r="A14" s="17" t="s">
        <v>266</v>
      </c>
      <c r="B14" s="29"/>
      <c r="C14" s="29"/>
      <c r="D14" s="61">
        <f t="shared" si="0"/>
        <v>0</v>
      </c>
      <c r="E14" s="61">
        <f t="shared" si="1"/>
        <v>0</v>
      </c>
      <c r="F14" s="61">
        <f t="shared" si="2"/>
        <v>0</v>
      </c>
    </row>
    <row r="15" spans="1:6" s="7" customFormat="1" ht="15.75">
      <c r="A15" s="17" t="s">
        <v>158</v>
      </c>
      <c r="B15" s="29"/>
      <c r="C15" s="29"/>
      <c r="D15" s="61">
        <f t="shared" si="0"/>
        <v>0</v>
      </c>
      <c r="E15" s="61">
        <f t="shared" si="1"/>
        <v>0</v>
      </c>
      <c r="F15" s="61">
        <f t="shared" si="2"/>
        <v>0</v>
      </c>
    </row>
    <row r="16" spans="1:6" s="7" customFormat="1" ht="15.75">
      <c r="A16" s="17" t="s">
        <v>159</v>
      </c>
      <c r="B16" s="29">
        <v>50</v>
      </c>
      <c r="C16" s="29">
        <v>34</v>
      </c>
      <c r="D16" s="6">
        <f t="shared" si="0"/>
        <v>0.68</v>
      </c>
      <c r="E16" s="6">
        <f t="shared" si="1"/>
        <v>0.9581818181818182</v>
      </c>
      <c r="F16" s="6">
        <f t="shared" si="2"/>
        <v>0.9581818181818182</v>
      </c>
    </row>
    <row r="17" spans="1:6" s="7" customFormat="1" ht="15.75">
      <c r="A17" s="17" t="s">
        <v>267</v>
      </c>
      <c r="B17" s="29">
        <v>24</v>
      </c>
      <c r="C17" s="29">
        <v>10</v>
      </c>
      <c r="D17" s="6">
        <f t="shared" si="0"/>
        <v>0.4166666666666667</v>
      </c>
      <c r="E17" s="6">
        <f t="shared" si="1"/>
        <v>0.5871212121212122</v>
      </c>
      <c r="F17" s="6">
        <f t="shared" si="2"/>
        <v>0.5871212121212122</v>
      </c>
    </row>
    <row r="18" spans="1:6" s="7" customFormat="1" ht="15.75">
      <c r="A18" s="17" t="s">
        <v>268</v>
      </c>
      <c r="B18" s="29">
        <v>29</v>
      </c>
      <c r="C18" s="29">
        <v>18</v>
      </c>
      <c r="D18" s="6">
        <f t="shared" si="0"/>
        <v>0.6206896551724138</v>
      </c>
      <c r="E18" s="6">
        <f t="shared" si="1"/>
        <v>0.8746081504702194</v>
      </c>
      <c r="F18" s="6">
        <f t="shared" si="2"/>
        <v>0.8746081504702194</v>
      </c>
    </row>
    <row r="19" spans="1:6" s="7" customFormat="1" ht="15.75">
      <c r="A19" s="17" t="s">
        <v>269</v>
      </c>
      <c r="B19" s="29">
        <v>32</v>
      </c>
      <c r="C19" s="29">
        <v>2</v>
      </c>
      <c r="D19" s="6">
        <f t="shared" si="0"/>
        <v>0.0625</v>
      </c>
      <c r="E19" s="6">
        <f t="shared" si="1"/>
        <v>0.08806818181818181</v>
      </c>
      <c r="F19" s="6">
        <f t="shared" si="2"/>
        <v>0.08806818181818181</v>
      </c>
    </row>
    <row r="20" spans="1:6" s="7" customFormat="1" ht="15.75">
      <c r="A20" s="17" t="s">
        <v>270</v>
      </c>
      <c r="B20" s="29"/>
      <c r="C20" s="29"/>
      <c r="D20" s="61">
        <f t="shared" si="0"/>
        <v>0</v>
      </c>
      <c r="E20" s="61">
        <f t="shared" si="1"/>
        <v>0</v>
      </c>
      <c r="F20" s="61">
        <f t="shared" si="2"/>
        <v>0</v>
      </c>
    </row>
    <row r="21" spans="1:6" s="7" customFormat="1" ht="15.75">
      <c r="A21" s="17" t="s">
        <v>271</v>
      </c>
      <c r="B21" s="29">
        <v>59</v>
      </c>
      <c r="C21" s="29">
        <v>30</v>
      </c>
      <c r="D21" s="6">
        <f t="shared" si="0"/>
        <v>0.5084745762711864</v>
      </c>
      <c r="E21" s="6">
        <f t="shared" si="1"/>
        <v>0.7164869029275808</v>
      </c>
      <c r="F21" s="6">
        <f t="shared" si="2"/>
        <v>0.7164869029275808</v>
      </c>
    </row>
    <row r="22" spans="1:6" s="7" customFormat="1" ht="15.75">
      <c r="A22" s="17" t="s">
        <v>272</v>
      </c>
      <c r="B22" s="29"/>
      <c r="C22" s="29"/>
      <c r="D22" s="61">
        <f t="shared" si="0"/>
        <v>0</v>
      </c>
      <c r="E22" s="61">
        <f t="shared" si="1"/>
        <v>0</v>
      </c>
      <c r="F22" s="61">
        <f t="shared" si="2"/>
        <v>0</v>
      </c>
    </row>
    <row r="23" spans="1:3" ht="15.75">
      <c r="A23" s="5"/>
      <c r="B23" s="5"/>
      <c r="C23" s="5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 vertic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4"/>
  <sheetViews>
    <sheetView view="pageBreakPreview" zoomScaleSheetLayoutView="100" zoomScalePageLayoutView="0" workbookViewId="0" topLeftCell="A1">
      <selection activeCell="L10" sqref="L10:L22"/>
    </sheetView>
  </sheetViews>
  <sheetFormatPr defaultColWidth="8.7109375" defaultRowHeight="15"/>
  <cols>
    <col min="1" max="1" width="24.57421875" style="31" customWidth="1"/>
    <col min="2" max="2" width="16.28125" style="31" customWidth="1"/>
    <col min="3" max="3" width="16.7109375" style="31" customWidth="1"/>
    <col min="4" max="4" width="22.00390625" style="31" bestFit="1" customWidth="1"/>
    <col min="5" max="5" width="16.00390625" style="31" customWidth="1"/>
    <col min="6" max="6" width="14.57421875" style="31" customWidth="1"/>
    <col min="7" max="7" width="17.8515625" style="31" customWidth="1"/>
    <col min="8" max="8" width="16.7109375" style="31" customWidth="1"/>
    <col min="9" max="9" width="18.00390625" style="31" customWidth="1"/>
    <col min="10" max="10" width="11.57421875" style="31" customWidth="1"/>
    <col min="11" max="11" width="6.00390625" style="31" customWidth="1"/>
    <col min="12" max="12" width="10.7109375" style="31" customWidth="1"/>
    <col min="13" max="16384" width="8.7109375" style="31" customWidth="1"/>
  </cols>
  <sheetData>
    <row r="1" spans="1:12" ht="18.75" customHeight="1">
      <c r="A1" s="112" t="s">
        <v>139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3" spans="1:8" ht="15.75">
      <c r="A3" s="41" t="s">
        <v>91</v>
      </c>
      <c r="B3" s="40">
        <f>MAX($J$10:$J$22)</f>
        <v>6.330859644201629</v>
      </c>
      <c r="C3" s="46"/>
      <c r="D3" s="46"/>
      <c r="E3" s="46"/>
      <c r="F3" s="46"/>
      <c r="G3" s="46"/>
      <c r="H3" s="46"/>
    </row>
    <row r="4" spans="1:8" ht="15.75">
      <c r="A4" s="39" t="s">
        <v>92</v>
      </c>
      <c r="B4" s="62">
        <f>MIN($J$10:$J$22)</f>
        <v>0</v>
      </c>
      <c r="C4" s="52"/>
      <c r="D4" s="52"/>
      <c r="E4" s="52"/>
      <c r="F4" s="52"/>
      <c r="G4" s="52"/>
      <c r="H4" s="52"/>
    </row>
    <row r="5" spans="1:8" ht="15.75">
      <c r="A5" s="37" t="s">
        <v>93</v>
      </c>
      <c r="B5" s="36" t="s">
        <v>42</v>
      </c>
      <c r="C5" s="43"/>
      <c r="D5" s="43"/>
      <c r="E5" s="43"/>
      <c r="F5" s="43"/>
      <c r="G5" s="43"/>
      <c r="H5" s="43"/>
    </row>
    <row r="7" spans="1:12" s="35" customFormat="1" ht="20.25" customHeight="1">
      <c r="A7" s="110" t="s">
        <v>39</v>
      </c>
      <c r="B7" s="110" t="s">
        <v>145</v>
      </c>
      <c r="C7" s="110"/>
      <c r="D7" s="110"/>
      <c r="E7" s="110"/>
      <c r="F7" s="110"/>
      <c r="G7" s="110" t="s">
        <v>144</v>
      </c>
      <c r="H7" s="110"/>
      <c r="I7" s="110"/>
      <c r="J7" s="116" t="s">
        <v>94</v>
      </c>
      <c r="K7" s="116" t="s">
        <v>95</v>
      </c>
      <c r="L7" s="116" t="s">
        <v>96</v>
      </c>
    </row>
    <row r="8" spans="1:12" s="35" customFormat="1" ht="110.25" customHeight="1">
      <c r="A8" s="110"/>
      <c r="B8" s="28" t="s">
        <v>97</v>
      </c>
      <c r="C8" s="28" t="s">
        <v>104</v>
      </c>
      <c r="D8" s="28" t="s">
        <v>105</v>
      </c>
      <c r="E8" s="28" t="s">
        <v>155</v>
      </c>
      <c r="F8" s="28" t="s">
        <v>124</v>
      </c>
      <c r="G8" s="28" t="s">
        <v>98</v>
      </c>
      <c r="H8" s="28" t="s">
        <v>106</v>
      </c>
      <c r="I8" s="28" t="s">
        <v>99</v>
      </c>
      <c r="J8" s="116"/>
      <c r="K8" s="116"/>
      <c r="L8" s="116"/>
    </row>
    <row r="9" spans="1:12" s="33" customFormat="1" ht="15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 t="s">
        <v>122</v>
      </c>
      <c r="G9" s="34">
        <v>7</v>
      </c>
      <c r="H9" s="34">
        <v>8</v>
      </c>
      <c r="I9" s="34" t="s">
        <v>100</v>
      </c>
      <c r="J9" s="34" t="s">
        <v>123</v>
      </c>
      <c r="K9" s="34">
        <v>11</v>
      </c>
      <c r="L9" s="34">
        <v>12</v>
      </c>
    </row>
    <row r="10" spans="1:12" ht="15.75">
      <c r="A10" s="17" t="s">
        <v>227</v>
      </c>
      <c r="B10" s="81">
        <v>264996000</v>
      </c>
      <c r="C10" s="81">
        <v>165996000</v>
      </c>
      <c r="D10" s="81">
        <v>0</v>
      </c>
      <c r="E10" s="81">
        <v>50707000</v>
      </c>
      <c r="F10" s="81">
        <f>IF(($B10-$C10-$D10-$E10)&gt;0,$B10-$C10-$D10-$E10,0)</f>
        <v>48293000</v>
      </c>
      <c r="G10" s="83">
        <v>2107564000</v>
      </c>
      <c r="H10" s="83">
        <v>919938000</v>
      </c>
      <c r="I10" s="32">
        <f>$G10-$H10</f>
        <v>1187626000</v>
      </c>
      <c r="J10" s="32">
        <f>$F10/$I10*100</f>
        <v>4.066347486498275</v>
      </c>
      <c r="K10" s="32">
        <f>($J10-$B$4)/($B$3-$B$4)</f>
        <v>0.642305739667219</v>
      </c>
      <c r="L10" s="32">
        <f>$K10*$B$5</f>
        <v>-0.642305739667219</v>
      </c>
    </row>
    <row r="11" spans="1:12" ht="15.75">
      <c r="A11" s="17" t="s">
        <v>222</v>
      </c>
      <c r="B11" s="81">
        <v>58048253.51</v>
      </c>
      <c r="C11" s="81">
        <v>58048253.51</v>
      </c>
      <c r="D11" s="81">
        <v>0</v>
      </c>
      <c r="E11" s="81">
        <v>0</v>
      </c>
      <c r="F11" s="81">
        <f aca="true" t="shared" si="0" ref="F11:F22">IF(($B11-$C11-$D11-$E11)&gt;0,$B11-$C11-$D11-$E11,0)</f>
        <v>0</v>
      </c>
      <c r="G11" s="83">
        <v>816236000</v>
      </c>
      <c r="H11" s="83">
        <v>469087000</v>
      </c>
      <c r="I11" s="32">
        <f aca="true" t="shared" si="1" ref="I11:I22">$G11-$H11</f>
        <v>347149000</v>
      </c>
      <c r="J11" s="98">
        <f aca="true" t="shared" si="2" ref="J11:J22">$F11/$I11*100</f>
        <v>0</v>
      </c>
      <c r="K11" s="98">
        <f aca="true" t="shared" si="3" ref="K11:K22">($J11-$B$4)/($B$3-$B$4)</f>
        <v>0</v>
      </c>
      <c r="L11" s="98">
        <f aca="true" t="shared" si="4" ref="L11:L22">$K11*$B$5</f>
        <v>0</v>
      </c>
    </row>
    <row r="12" spans="1:12" ht="15.75">
      <c r="A12" s="17" t="s">
        <v>265</v>
      </c>
      <c r="B12" s="81">
        <v>40244116.85</v>
      </c>
      <c r="C12" s="81">
        <v>33651116.85</v>
      </c>
      <c r="D12" s="81">
        <v>0</v>
      </c>
      <c r="E12" s="81">
        <v>15385000</v>
      </c>
      <c r="F12" s="81">
        <f t="shared" si="0"/>
        <v>0</v>
      </c>
      <c r="G12" s="83">
        <v>796052819.8</v>
      </c>
      <c r="H12" s="83">
        <v>649015069.62</v>
      </c>
      <c r="I12" s="32">
        <f t="shared" si="1"/>
        <v>147037750.17999995</v>
      </c>
      <c r="J12" s="98">
        <f t="shared" si="2"/>
        <v>0</v>
      </c>
      <c r="K12" s="98">
        <f t="shared" si="3"/>
        <v>0</v>
      </c>
      <c r="L12" s="98">
        <f t="shared" si="4"/>
        <v>0</v>
      </c>
    </row>
    <row r="13" spans="1:12" ht="15.75">
      <c r="A13" s="17" t="s">
        <v>226</v>
      </c>
      <c r="B13" s="81">
        <v>23576332.77</v>
      </c>
      <c r="C13" s="81">
        <v>15176332.77</v>
      </c>
      <c r="D13" s="81">
        <v>0</v>
      </c>
      <c r="E13" s="81">
        <v>8400000</v>
      </c>
      <c r="F13" s="81">
        <f t="shared" si="0"/>
        <v>0</v>
      </c>
      <c r="G13" s="83">
        <v>392853195.25</v>
      </c>
      <c r="H13" s="83">
        <v>314409195.25</v>
      </c>
      <c r="I13" s="32">
        <f t="shared" si="1"/>
        <v>78444000</v>
      </c>
      <c r="J13" s="98">
        <f t="shared" si="2"/>
        <v>0</v>
      </c>
      <c r="K13" s="98">
        <f t="shared" si="3"/>
        <v>0</v>
      </c>
      <c r="L13" s="98">
        <f t="shared" si="4"/>
        <v>0</v>
      </c>
    </row>
    <row r="14" spans="1:12" ht="15.75">
      <c r="A14" s="17" t="s">
        <v>266</v>
      </c>
      <c r="B14" s="81">
        <v>9453457.61</v>
      </c>
      <c r="C14" s="81">
        <v>7453457.61</v>
      </c>
      <c r="D14" s="81">
        <v>0</v>
      </c>
      <c r="E14" s="81">
        <v>0</v>
      </c>
      <c r="F14" s="81">
        <f t="shared" si="0"/>
        <v>1999999.999999999</v>
      </c>
      <c r="G14" s="83">
        <v>222397829.72</v>
      </c>
      <c r="H14" s="83">
        <v>172728829.72</v>
      </c>
      <c r="I14" s="32">
        <f t="shared" si="1"/>
        <v>49669000</v>
      </c>
      <c r="J14" s="32">
        <f t="shared" si="2"/>
        <v>4.026656465803618</v>
      </c>
      <c r="K14" s="32">
        <f t="shared" si="3"/>
        <v>0.6360362876614383</v>
      </c>
      <c r="L14" s="32">
        <f t="shared" si="4"/>
        <v>-0.6360362876614383</v>
      </c>
    </row>
    <row r="15" spans="1:12" ht="15.75">
      <c r="A15" s="17" t="s">
        <v>158</v>
      </c>
      <c r="B15" s="81">
        <v>187013966.38</v>
      </c>
      <c r="C15" s="81">
        <v>174847966.38</v>
      </c>
      <c r="D15" s="81">
        <v>0</v>
      </c>
      <c r="E15" s="81">
        <v>0</v>
      </c>
      <c r="F15" s="81">
        <f t="shared" si="0"/>
        <v>12166000</v>
      </c>
      <c r="G15" s="83">
        <v>444333022.44</v>
      </c>
      <c r="H15" s="83">
        <v>252163227.44</v>
      </c>
      <c r="I15" s="32">
        <f t="shared" si="1"/>
        <v>192169795</v>
      </c>
      <c r="J15" s="32">
        <f t="shared" si="2"/>
        <v>6.330859644201629</v>
      </c>
      <c r="K15" s="98">
        <f t="shared" si="3"/>
        <v>1</v>
      </c>
      <c r="L15" s="98">
        <f t="shared" si="4"/>
        <v>-1</v>
      </c>
    </row>
    <row r="16" spans="1:12" ht="15.75">
      <c r="A16" s="17" t="s">
        <v>159</v>
      </c>
      <c r="B16" s="81">
        <v>60631565.83</v>
      </c>
      <c r="C16" s="81">
        <v>64631565.83</v>
      </c>
      <c r="D16" s="81">
        <v>0</v>
      </c>
      <c r="E16" s="81">
        <v>0</v>
      </c>
      <c r="F16" s="81">
        <f t="shared" si="0"/>
        <v>0</v>
      </c>
      <c r="G16" s="83">
        <v>623443805.34</v>
      </c>
      <c r="H16" s="83">
        <v>459330717.21</v>
      </c>
      <c r="I16" s="32">
        <f t="shared" si="1"/>
        <v>164113088.13000005</v>
      </c>
      <c r="J16" s="98">
        <f t="shared" si="2"/>
        <v>0</v>
      </c>
      <c r="K16" s="98">
        <f t="shared" si="3"/>
        <v>0</v>
      </c>
      <c r="L16" s="98">
        <f t="shared" si="4"/>
        <v>0</v>
      </c>
    </row>
    <row r="17" spans="1:12" ht="15.75">
      <c r="A17" s="17" t="s">
        <v>267</v>
      </c>
      <c r="B17" s="81">
        <v>11574719.96</v>
      </c>
      <c r="C17" s="81">
        <v>11574719.96</v>
      </c>
      <c r="D17" s="81">
        <v>0</v>
      </c>
      <c r="E17" s="81">
        <v>0</v>
      </c>
      <c r="F17" s="81">
        <f t="shared" si="0"/>
        <v>0</v>
      </c>
      <c r="G17" s="83">
        <v>222353747.05</v>
      </c>
      <c r="H17" s="83">
        <v>137778951.05</v>
      </c>
      <c r="I17" s="32">
        <f t="shared" si="1"/>
        <v>84574796</v>
      </c>
      <c r="J17" s="98">
        <f t="shared" si="2"/>
        <v>0</v>
      </c>
      <c r="K17" s="98">
        <f t="shared" si="3"/>
        <v>0</v>
      </c>
      <c r="L17" s="98">
        <f t="shared" si="4"/>
        <v>0</v>
      </c>
    </row>
    <row r="18" spans="1:12" ht="15.75">
      <c r="A18" s="17" t="s">
        <v>268</v>
      </c>
      <c r="B18" s="81">
        <v>15697604.18</v>
      </c>
      <c r="C18" s="81">
        <v>15697604.18</v>
      </c>
      <c r="D18" s="81">
        <v>0</v>
      </c>
      <c r="E18" s="81">
        <v>0</v>
      </c>
      <c r="F18" s="81">
        <f t="shared" si="0"/>
        <v>0</v>
      </c>
      <c r="G18" s="83">
        <v>302866865.97</v>
      </c>
      <c r="H18" s="83">
        <v>246479865.97</v>
      </c>
      <c r="I18" s="32">
        <f t="shared" si="1"/>
        <v>56387000.00000003</v>
      </c>
      <c r="J18" s="98">
        <f t="shared" si="2"/>
        <v>0</v>
      </c>
      <c r="K18" s="98">
        <f t="shared" si="3"/>
        <v>0</v>
      </c>
      <c r="L18" s="98">
        <f t="shared" si="4"/>
        <v>0</v>
      </c>
    </row>
    <row r="19" spans="1:12" ht="15.75">
      <c r="A19" s="17" t="s">
        <v>269</v>
      </c>
      <c r="B19" s="81">
        <v>62378926.25</v>
      </c>
      <c r="C19" s="81">
        <v>58410926.25</v>
      </c>
      <c r="D19" s="81">
        <v>0</v>
      </c>
      <c r="E19" s="81">
        <v>0</v>
      </c>
      <c r="F19" s="81">
        <f t="shared" si="0"/>
        <v>3968000</v>
      </c>
      <c r="G19" s="83">
        <v>477022260.26</v>
      </c>
      <c r="H19" s="83">
        <v>317016260.26</v>
      </c>
      <c r="I19" s="32">
        <f t="shared" si="1"/>
        <v>160006000</v>
      </c>
      <c r="J19" s="32">
        <f t="shared" si="2"/>
        <v>2.4799070034873694</v>
      </c>
      <c r="K19" s="32">
        <f t="shared" si="3"/>
        <v>0.3917172616137038</v>
      </c>
      <c r="L19" s="32">
        <f t="shared" si="4"/>
        <v>-0.3917172616137038</v>
      </c>
    </row>
    <row r="20" spans="1:12" ht="15.75">
      <c r="A20" s="17" t="s">
        <v>270</v>
      </c>
      <c r="B20" s="81">
        <v>43079810.91</v>
      </c>
      <c r="C20" s="81">
        <v>39477010.91</v>
      </c>
      <c r="D20" s="81">
        <v>0</v>
      </c>
      <c r="E20" s="81">
        <v>0</v>
      </c>
      <c r="F20" s="81">
        <f t="shared" si="0"/>
        <v>3602800</v>
      </c>
      <c r="G20" s="83">
        <v>498567749.25</v>
      </c>
      <c r="H20" s="83">
        <v>439466749.25</v>
      </c>
      <c r="I20" s="32">
        <f t="shared" si="1"/>
        <v>59101000</v>
      </c>
      <c r="J20" s="32">
        <f t="shared" si="2"/>
        <v>6.096005143736993</v>
      </c>
      <c r="K20" s="32">
        <f t="shared" si="3"/>
        <v>0.9629032211005124</v>
      </c>
      <c r="L20" s="32">
        <f t="shared" si="4"/>
        <v>-0.9629032211005124</v>
      </c>
    </row>
    <row r="21" spans="1:12" ht="15.75">
      <c r="A21" s="17" t="s">
        <v>271</v>
      </c>
      <c r="B21" s="81">
        <v>47812649.58</v>
      </c>
      <c r="C21" s="81">
        <v>53870649.58</v>
      </c>
      <c r="D21" s="81">
        <v>0</v>
      </c>
      <c r="E21" s="81">
        <v>0</v>
      </c>
      <c r="F21" s="81">
        <f t="shared" si="0"/>
        <v>0</v>
      </c>
      <c r="G21" s="83">
        <v>895014355.41</v>
      </c>
      <c r="H21" s="83">
        <v>590442179.83</v>
      </c>
      <c r="I21" s="32">
        <f t="shared" si="1"/>
        <v>304572175.5799999</v>
      </c>
      <c r="J21" s="98">
        <f t="shared" si="2"/>
        <v>0</v>
      </c>
      <c r="K21" s="98">
        <f t="shared" si="3"/>
        <v>0</v>
      </c>
      <c r="L21" s="98">
        <f t="shared" si="4"/>
        <v>0</v>
      </c>
    </row>
    <row r="22" spans="1:12" ht="15.75">
      <c r="A22" s="17" t="s">
        <v>272</v>
      </c>
      <c r="B22" s="81">
        <v>10055952.83</v>
      </c>
      <c r="C22" s="81">
        <v>11055952.83</v>
      </c>
      <c r="D22" s="81">
        <v>0</v>
      </c>
      <c r="E22" s="81">
        <v>0</v>
      </c>
      <c r="F22" s="81">
        <f t="shared" si="0"/>
        <v>0</v>
      </c>
      <c r="G22" s="83">
        <v>267017731.54</v>
      </c>
      <c r="H22" s="83">
        <v>218160740.46</v>
      </c>
      <c r="I22" s="32">
        <f t="shared" si="1"/>
        <v>48856991.07999998</v>
      </c>
      <c r="J22" s="98">
        <f t="shared" si="2"/>
        <v>0</v>
      </c>
      <c r="K22" s="98">
        <f t="shared" si="3"/>
        <v>0</v>
      </c>
      <c r="L22" s="98">
        <f t="shared" si="4"/>
        <v>0</v>
      </c>
    </row>
    <row r="24" spans="6:9" ht="15.75">
      <c r="F24" s="44"/>
      <c r="I24" s="44"/>
    </row>
  </sheetData>
  <sheetProtection/>
  <mergeCells count="7">
    <mergeCell ref="A1:L1"/>
    <mergeCell ref="A7:A8"/>
    <mergeCell ref="B7:F7"/>
    <mergeCell ref="G7:I7"/>
    <mergeCell ref="J7:J8"/>
    <mergeCell ref="K7:K8"/>
    <mergeCell ref="L7:L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5" r:id="rId1"/>
  <colBreaks count="1" manualBreakCount="1">
    <brk id="4" max="4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view="pageBreakPreview" zoomScaleSheetLayoutView="100" zoomScalePageLayoutView="0" workbookViewId="0" topLeftCell="A1">
      <selection activeCell="J10" sqref="J10:J22"/>
    </sheetView>
  </sheetViews>
  <sheetFormatPr defaultColWidth="8.7109375" defaultRowHeight="15"/>
  <cols>
    <col min="1" max="1" width="24.7109375" style="31" customWidth="1"/>
    <col min="2" max="3" width="19.140625" style="31" customWidth="1"/>
    <col min="4" max="4" width="17.140625" style="31" customWidth="1"/>
    <col min="5" max="5" width="17.8515625" style="31" customWidth="1"/>
    <col min="6" max="6" width="16.57421875" style="31" customWidth="1"/>
    <col min="7" max="7" width="17.7109375" style="31" customWidth="1"/>
    <col min="8" max="8" width="10.8515625" style="31" customWidth="1"/>
    <col min="9" max="9" width="6.7109375" style="31" customWidth="1"/>
    <col min="10" max="10" width="10.57421875" style="31" customWidth="1"/>
    <col min="11" max="16384" width="8.7109375" style="31" customWidth="1"/>
  </cols>
  <sheetData>
    <row r="1" spans="1:10" ht="15.75">
      <c r="A1" s="112" t="s">
        <v>140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7" ht="15.75">
      <c r="A3" s="41" t="s">
        <v>101</v>
      </c>
      <c r="B3" s="40">
        <f>MAX($H$10:$H$22)</f>
        <v>98.30280029084713</v>
      </c>
      <c r="C3" s="46"/>
      <c r="D3" s="46"/>
      <c r="E3" s="54"/>
      <c r="F3" s="54"/>
      <c r="G3" s="54"/>
    </row>
    <row r="4" spans="1:7" ht="15.75">
      <c r="A4" s="39" t="s">
        <v>102</v>
      </c>
      <c r="B4" s="62">
        <f>MIN($H$10:$H$22)</f>
        <v>0</v>
      </c>
      <c r="C4" s="52"/>
      <c r="D4" s="52"/>
      <c r="E4" s="55"/>
      <c r="F4" s="55"/>
      <c r="G4" s="55"/>
    </row>
    <row r="5" spans="1:7" ht="15.75">
      <c r="A5" s="37" t="s">
        <v>103</v>
      </c>
      <c r="B5" s="36" t="s">
        <v>43</v>
      </c>
      <c r="C5" s="43"/>
      <c r="D5" s="43"/>
      <c r="E5" s="43"/>
      <c r="F5" s="43"/>
      <c r="G5" s="43"/>
    </row>
    <row r="7" spans="1:10" s="35" customFormat="1" ht="18.75" customHeight="1">
      <c r="A7" s="110" t="s">
        <v>39</v>
      </c>
      <c r="B7" s="119" t="s">
        <v>259</v>
      </c>
      <c r="C7" s="119"/>
      <c r="D7" s="119"/>
      <c r="E7" s="110" t="s">
        <v>144</v>
      </c>
      <c r="F7" s="110"/>
      <c r="G7" s="110"/>
      <c r="H7" s="116" t="s">
        <v>107</v>
      </c>
      <c r="I7" s="116" t="s">
        <v>108</v>
      </c>
      <c r="J7" s="116" t="s">
        <v>109</v>
      </c>
    </row>
    <row r="8" spans="1:10" s="35" customFormat="1" ht="78.75">
      <c r="A8" s="110"/>
      <c r="B8" s="88" t="s">
        <v>202</v>
      </c>
      <c r="C8" s="88" t="s">
        <v>141</v>
      </c>
      <c r="D8" s="88" t="s">
        <v>203</v>
      </c>
      <c r="E8" s="28" t="s">
        <v>98</v>
      </c>
      <c r="F8" s="28" t="s">
        <v>106</v>
      </c>
      <c r="G8" s="28" t="s">
        <v>99</v>
      </c>
      <c r="H8" s="116"/>
      <c r="I8" s="116"/>
      <c r="J8" s="116"/>
    </row>
    <row r="9" spans="1:10" s="33" customFormat="1" ht="15.75">
      <c r="A9" s="34">
        <v>1</v>
      </c>
      <c r="B9" s="34">
        <v>2</v>
      </c>
      <c r="C9" s="34">
        <v>3</v>
      </c>
      <c r="D9" s="34" t="s">
        <v>151</v>
      </c>
      <c r="E9" s="34">
        <v>5</v>
      </c>
      <c r="F9" s="34">
        <v>6</v>
      </c>
      <c r="G9" s="34" t="s">
        <v>162</v>
      </c>
      <c r="H9" s="34" t="s">
        <v>204</v>
      </c>
      <c r="I9" s="34">
        <v>9</v>
      </c>
      <c r="J9" s="34">
        <v>10</v>
      </c>
    </row>
    <row r="10" spans="1:10" ht="15.75">
      <c r="A10" s="17" t="s">
        <v>227</v>
      </c>
      <c r="B10" s="83">
        <v>50707000</v>
      </c>
      <c r="C10" s="83">
        <v>50707000</v>
      </c>
      <c r="D10" s="81">
        <f>$B10-$C10</f>
        <v>0</v>
      </c>
      <c r="E10" s="32">
        <v>2107564000</v>
      </c>
      <c r="F10" s="32">
        <v>919938000</v>
      </c>
      <c r="G10" s="32">
        <f>$E10-$F10</f>
        <v>1187626000</v>
      </c>
      <c r="H10" s="98">
        <f>$D10/$G10*100</f>
        <v>0</v>
      </c>
      <c r="I10" s="98">
        <f>($H10-$B$4)/($B$3-$B$4)</f>
        <v>0</v>
      </c>
      <c r="J10" s="98">
        <f>$I10*$B$5</f>
        <v>0</v>
      </c>
    </row>
    <row r="11" spans="1:10" ht="15.75">
      <c r="A11" s="17" t="s">
        <v>222</v>
      </c>
      <c r="B11" s="83">
        <v>0</v>
      </c>
      <c r="C11" s="83">
        <v>0</v>
      </c>
      <c r="D11" s="81">
        <f aca="true" t="shared" si="0" ref="D11:D22">$B11-$C11</f>
        <v>0</v>
      </c>
      <c r="E11" s="32">
        <v>816236000</v>
      </c>
      <c r="F11" s="32">
        <v>469087000</v>
      </c>
      <c r="G11" s="32">
        <f aca="true" t="shared" si="1" ref="G11:G22">$E11-$F11</f>
        <v>347149000</v>
      </c>
      <c r="H11" s="98">
        <f aca="true" t="shared" si="2" ref="H11:H22">$D11/$G11*100</f>
        <v>0</v>
      </c>
      <c r="I11" s="98">
        <f aca="true" t="shared" si="3" ref="I11:I22">($H11-$B$4)/($B$3-$B$4)</f>
        <v>0</v>
      </c>
      <c r="J11" s="98">
        <f aca="true" t="shared" si="4" ref="J11:J22">$I11*$B$5</f>
        <v>0</v>
      </c>
    </row>
    <row r="12" spans="1:10" ht="15.75">
      <c r="A12" s="17" t="s">
        <v>265</v>
      </c>
      <c r="B12" s="83">
        <v>51021802.09</v>
      </c>
      <c r="C12" s="83">
        <v>32088802.09</v>
      </c>
      <c r="D12" s="81">
        <f t="shared" si="0"/>
        <v>18933000.000000004</v>
      </c>
      <c r="E12" s="32">
        <v>796052819.8</v>
      </c>
      <c r="F12" s="32">
        <v>649015069.62</v>
      </c>
      <c r="G12" s="32">
        <f t="shared" si="1"/>
        <v>147037750.17999995</v>
      </c>
      <c r="H12" s="32">
        <f t="shared" si="2"/>
        <v>12.876285155902275</v>
      </c>
      <c r="I12" s="32">
        <f t="shared" si="3"/>
        <v>0.13098594463031968</v>
      </c>
      <c r="J12" s="32">
        <f t="shared" si="4"/>
        <v>-0.26197188926063936</v>
      </c>
    </row>
    <row r="13" spans="1:10" ht="15.75">
      <c r="A13" s="17" t="s">
        <v>226</v>
      </c>
      <c r="B13" s="83">
        <v>44400000</v>
      </c>
      <c r="C13" s="83">
        <v>44400000</v>
      </c>
      <c r="D13" s="81">
        <f t="shared" si="0"/>
        <v>0</v>
      </c>
      <c r="E13" s="32">
        <v>392853195.25</v>
      </c>
      <c r="F13" s="32">
        <v>314409195.25</v>
      </c>
      <c r="G13" s="32">
        <f t="shared" si="1"/>
        <v>78444000</v>
      </c>
      <c r="H13" s="98">
        <f t="shared" si="2"/>
        <v>0</v>
      </c>
      <c r="I13" s="98">
        <f t="shared" si="3"/>
        <v>0</v>
      </c>
      <c r="J13" s="98">
        <f t="shared" si="4"/>
        <v>0</v>
      </c>
    </row>
    <row r="14" spans="1:10" ht="15.75">
      <c r="A14" s="17" t="s">
        <v>266</v>
      </c>
      <c r="B14" s="83">
        <v>12154000</v>
      </c>
      <c r="C14" s="83">
        <v>12154000</v>
      </c>
      <c r="D14" s="81">
        <f t="shared" si="0"/>
        <v>0</v>
      </c>
      <c r="E14" s="32">
        <v>222397829.72</v>
      </c>
      <c r="F14" s="32">
        <v>172728829.72</v>
      </c>
      <c r="G14" s="32">
        <f t="shared" si="1"/>
        <v>49669000</v>
      </c>
      <c r="H14" s="98">
        <f t="shared" si="2"/>
        <v>0</v>
      </c>
      <c r="I14" s="98">
        <f t="shared" si="3"/>
        <v>0</v>
      </c>
      <c r="J14" s="98">
        <f t="shared" si="4"/>
        <v>0</v>
      </c>
    </row>
    <row r="15" spans="1:10" ht="15.75">
      <c r="A15" s="17" t="s">
        <v>158</v>
      </c>
      <c r="B15" s="83">
        <v>0</v>
      </c>
      <c r="C15" s="83">
        <v>0</v>
      </c>
      <c r="D15" s="81">
        <f t="shared" si="0"/>
        <v>0</v>
      </c>
      <c r="E15" s="32">
        <v>444333022.44</v>
      </c>
      <c r="F15" s="32">
        <v>252163227.44</v>
      </c>
      <c r="G15" s="32">
        <f t="shared" si="1"/>
        <v>192169795</v>
      </c>
      <c r="H15" s="98">
        <f t="shared" si="2"/>
        <v>0</v>
      </c>
      <c r="I15" s="98">
        <f t="shared" si="3"/>
        <v>0</v>
      </c>
      <c r="J15" s="98">
        <f t="shared" si="4"/>
        <v>0</v>
      </c>
    </row>
    <row r="16" spans="1:10" ht="15.75">
      <c r="A16" s="17" t="s">
        <v>159</v>
      </c>
      <c r="B16" s="83">
        <v>0</v>
      </c>
      <c r="C16" s="83">
        <v>0</v>
      </c>
      <c r="D16" s="81">
        <f t="shared" si="0"/>
        <v>0</v>
      </c>
      <c r="E16" s="32">
        <v>623443805.34</v>
      </c>
      <c r="F16" s="32">
        <v>459330717.21</v>
      </c>
      <c r="G16" s="32">
        <f t="shared" si="1"/>
        <v>164113088.13000005</v>
      </c>
      <c r="H16" s="98">
        <f t="shared" si="2"/>
        <v>0</v>
      </c>
      <c r="I16" s="98">
        <f t="shared" si="3"/>
        <v>0</v>
      </c>
      <c r="J16" s="98">
        <f t="shared" si="4"/>
        <v>0</v>
      </c>
    </row>
    <row r="17" spans="1:10" ht="15.75">
      <c r="A17" s="17" t="s">
        <v>267</v>
      </c>
      <c r="B17" s="83">
        <v>50750000</v>
      </c>
      <c r="C17" s="83">
        <v>11709000</v>
      </c>
      <c r="D17" s="81">
        <f t="shared" si="0"/>
        <v>39041000</v>
      </c>
      <c r="E17" s="32">
        <v>222353747.05</v>
      </c>
      <c r="F17" s="32">
        <v>137778951.05</v>
      </c>
      <c r="G17" s="32">
        <f t="shared" si="1"/>
        <v>84574796</v>
      </c>
      <c r="H17" s="32">
        <f t="shared" si="2"/>
        <v>46.16150655568829</v>
      </c>
      <c r="I17" s="32">
        <f t="shared" si="3"/>
        <v>0.46958485840800956</v>
      </c>
      <c r="J17" s="32">
        <f t="shared" si="4"/>
        <v>-0.9391697168160191</v>
      </c>
    </row>
    <row r="18" spans="1:10" ht="15.75">
      <c r="A18" s="17" t="s">
        <v>268</v>
      </c>
      <c r="B18" s="83">
        <v>66484000</v>
      </c>
      <c r="C18" s="83">
        <v>11054000</v>
      </c>
      <c r="D18" s="81">
        <f t="shared" si="0"/>
        <v>55430000</v>
      </c>
      <c r="E18" s="32">
        <v>302866865.97</v>
      </c>
      <c r="F18" s="32">
        <v>246479865.97</v>
      </c>
      <c r="G18" s="32">
        <f t="shared" si="1"/>
        <v>56387000.00000003</v>
      </c>
      <c r="H18" s="32">
        <f t="shared" si="2"/>
        <v>98.30280029084713</v>
      </c>
      <c r="I18" s="98">
        <f t="shared" si="3"/>
        <v>1</v>
      </c>
      <c r="J18" s="98">
        <f t="shared" si="4"/>
        <v>-2</v>
      </c>
    </row>
    <row r="19" spans="1:10" ht="15.75">
      <c r="A19" s="17" t="s">
        <v>269</v>
      </c>
      <c r="B19" s="83">
        <v>9607000</v>
      </c>
      <c r="C19" s="83">
        <v>9607000</v>
      </c>
      <c r="D19" s="81">
        <f t="shared" si="0"/>
        <v>0</v>
      </c>
      <c r="E19" s="32">
        <v>477022260.26</v>
      </c>
      <c r="F19" s="32">
        <v>317016260.26</v>
      </c>
      <c r="G19" s="32">
        <f t="shared" si="1"/>
        <v>160006000</v>
      </c>
      <c r="H19" s="98">
        <f t="shared" si="2"/>
        <v>0</v>
      </c>
      <c r="I19" s="98">
        <f t="shared" si="3"/>
        <v>0</v>
      </c>
      <c r="J19" s="98">
        <f t="shared" si="4"/>
        <v>0</v>
      </c>
    </row>
    <row r="20" spans="1:10" ht="15.75">
      <c r="A20" s="17" t="s">
        <v>270</v>
      </c>
      <c r="B20" s="83">
        <v>1947200</v>
      </c>
      <c r="C20" s="83">
        <v>0</v>
      </c>
      <c r="D20" s="81">
        <f t="shared" si="0"/>
        <v>1947200</v>
      </c>
      <c r="E20" s="32">
        <v>498567749.25</v>
      </c>
      <c r="F20" s="32">
        <v>439466749.25</v>
      </c>
      <c r="G20" s="32">
        <f t="shared" si="1"/>
        <v>59101000</v>
      </c>
      <c r="H20" s="32">
        <f t="shared" si="2"/>
        <v>3.29469890526387</v>
      </c>
      <c r="I20" s="32">
        <f t="shared" si="3"/>
        <v>0.0335158194427411</v>
      </c>
      <c r="J20" s="32">
        <f t="shared" si="4"/>
        <v>-0.0670316388854822</v>
      </c>
    </row>
    <row r="21" spans="1:10" ht="15.75">
      <c r="A21" s="17" t="s">
        <v>271</v>
      </c>
      <c r="B21" s="83">
        <v>86994000</v>
      </c>
      <c r="C21" s="83">
        <v>25258000</v>
      </c>
      <c r="D21" s="81">
        <f t="shared" si="0"/>
        <v>61736000</v>
      </c>
      <c r="E21" s="32">
        <v>895014355.41</v>
      </c>
      <c r="F21" s="32">
        <v>590442179.83</v>
      </c>
      <c r="G21" s="32">
        <f t="shared" si="1"/>
        <v>304572175.5799999</v>
      </c>
      <c r="H21" s="32">
        <f t="shared" si="2"/>
        <v>20.26974390632877</v>
      </c>
      <c r="I21" s="32">
        <f t="shared" si="3"/>
        <v>0.2061970141883747</v>
      </c>
      <c r="J21" s="32">
        <f t="shared" si="4"/>
        <v>-0.4123940283767494</v>
      </c>
    </row>
    <row r="22" spans="1:10" ht="15.75">
      <c r="A22" s="17" t="s">
        <v>272</v>
      </c>
      <c r="B22" s="83">
        <v>12837000</v>
      </c>
      <c r="C22" s="83">
        <v>7837000</v>
      </c>
      <c r="D22" s="81">
        <f t="shared" si="0"/>
        <v>5000000</v>
      </c>
      <c r="E22" s="32">
        <v>267017731.54</v>
      </c>
      <c r="F22" s="32">
        <v>218160740.46</v>
      </c>
      <c r="G22" s="32">
        <f t="shared" si="1"/>
        <v>48856991.07999998</v>
      </c>
      <c r="H22" s="32">
        <f t="shared" si="2"/>
        <v>10.233949920929108</v>
      </c>
      <c r="I22" s="32">
        <f t="shared" si="3"/>
        <v>0.1041063926017373</v>
      </c>
      <c r="J22" s="32">
        <f t="shared" si="4"/>
        <v>-0.2082127852034746</v>
      </c>
    </row>
    <row r="24" ht="15.75">
      <c r="H24" s="44"/>
    </row>
  </sheetData>
  <sheetProtection/>
  <mergeCells count="7">
    <mergeCell ref="A1:J1"/>
    <mergeCell ref="E7:G7"/>
    <mergeCell ref="H7:H8"/>
    <mergeCell ref="I7:I8"/>
    <mergeCell ref="J7:J8"/>
    <mergeCell ref="A7:A8"/>
    <mergeCell ref="B7:D7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5"/>
  <sheetViews>
    <sheetView view="pageBreakPreview" zoomScaleSheetLayoutView="100" zoomScalePageLayoutView="0" workbookViewId="0" topLeftCell="A1">
      <selection activeCell="M10" sqref="M10:M22"/>
    </sheetView>
  </sheetViews>
  <sheetFormatPr defaultColWidth="8.7109375" defaultRowHeight="15"/>
  <cols>
    <col min="1" max="1" width="23.7109375" style="31" customWidth="1"/>
    <col min="2" max="2" width="15.8515625" style="31" customWidth="1"/>
    <col min="3" max="7" width="15.7109375" style="31" customWidth="1"/>
    <col min="8" max="8" width="15.57421875" style="31" customWidth="1"/>
    <col min="9" max="9" width="18.00390625" style="31" customWidth="1"/>
    <col min="10" max="10" width="15.140625" style="31" customWidth="1"/>
    <col min="11" max="11" width="12.00390625" style="31" customWidth="1"/>
    <col min="12" max="12" width="5.28125" style="31" customWidth="1"/>
    <col min="13" max="13" width="10.28125" style="31" customWidth="1"/>
    <col min="14" max="16384" width="8.7109375" style="31" customWidth="1"/>
  </cols>
  <sheetData>
    <row r="1" spans="1:13" ht="15.75">
      <c r="A1" s="122" t="s">
        <v>142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3" spans="1:2" ht="15.75">
      <c r="A3" s="41" t="s">
        <v>110</v>
      </c>
      <c r="B3" s="63">
        <f>MAX($K$10:$K$22)</f>
        <v>0.7228349795352935</v>
      </c>
    </row>
    <row r="4" spans="1:2" ht="15.75">
      <c r="A4" s="39" t="s">
        <v>111</v>
      </c>
      <c r="B4" s="57">
        <f>MIN($K$10:$K$22)</f>
        <v>0.045357781021908856</v>
      </c>
    </row>
    <row r="5" spans="1:2" ht="15.75">
      <c r="A5" s="37" t="s">
        <v>112</v>
      </c>
      <c r="B5" s="36" t="s">
        <v>46</v>
      </c>
    </row>
    <row r="7" spans="1:13" s="35" customFormat="1" ht="30.75" customHeight="1">
      <c r="A7" s="110" t="s">
        <v>39</v>
      </c>
      <c r="B7" s="119" t="s">
        <v>125</v>
      </c>
      <c r="C7" s="119"/>
      <c r="D7" s="119"/>
      <c r="E7" s="119"/>
      <c r="F7" s="119"/>
      <c r="G7" s="119"/>
      <c r="H7" s="119"/>
      <c r="I7" s="119" t="s">
        <v>205</v>
      </c>
      <c r="J7" s="119"/>
      <c r="K7" s="116" t="s">
        <v>113</v>
      </c>
      <c r="L7" s="116" t="s">
        <v>114</v>
      </c>
      <c r="M7" s="116" t="s">
        <v>115</v>
      </c>
    </row>
    <row r="8" spans="1:13" s="35" customFormat="1" ht="47.25" customHeight="1">
      <c r="A8" s="115"/>
      <c r="B8" s="90" t="s">
        <v>260</v>
      </c>
      <c r="C8" s="90" t="s">
        <v>261</v>
      </c>
      <c r="D8" s="90" t="s">
        <v>251</v>
      </c>
      <c r="E8" s="90" t="s">
        <v>262</v>
      </c>
      <c r="F8" s="90" t="s">
        <v>263</v>
      </c>
      <c r="G8" s="90" t="s">
        <v>252</v>
      </c>
      <c r="H8" s="90" t="s">
        <v>53</v>
      </c>
      <c r="I8" s="90" t="s">
        <v>54</v>
      </c>
      <c r="J8" s="90" t="s">
        <v>52</v>
      </c>
      <c r="K8" s="117"/>
      <c r="L8" s="117"/>
      <c r="M8" s="123"/>
    </row>
    <row r="9" spans="1:13" s="33" customFormat="1" ht="15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 t="s">
        <v>264</v>
      </c>
      <c r="L9" s="34">
        <v>12</v>
      </c>
      <c r="M9" s="34">
        <v>13</v>
      </c>
    </row>
    <row r="10" spans="1:14" ht="15.75">
      <c r="A10" s="17" t="s">
        <v>227</v>
      </c>
      <c r="B10" s="81">
        <v>238234000</v>
      </c>
      <c r="C10" s="81">
        <v>172566000</v>
      </c>
      <c r="D10" s="81">
        <v>155478000</v>
      </c>
      <c r="E10" s="81">
        <v>174641000</v>
      </c>
      <c r="F10" s="81">
        <v>162472000</v>
      </c>
      <c r="G10" s="81">
        <v>147237000</v>
      </c>
      <c r="H10" s="81">
        <f>AVERAGE($B10:$G10)</f>
        <v>175104666.66666666</v>
      </c>
      <c r="I10" s="83">
        <v>1187626000</v>
      </c>
      <c r="J10" s="83">
        <v>2945000</v>
      </c>
      <c r="K10" s="65">
        <f>$H10/($I10+$J10)</f>
        <v>0.14707620685088638</v>
      </c>
      <c r="L10" s="50">
        <f>($K10-$B$4)/($B$3-$B$4)</f>
        <v>0.15014295101323313</v>
      </c>
      <c r="M10" s="50">
        <f>$L10*$B$5</f>
        <v>0.15014295101323313</v>
      </c>
      <c r="N10" s="51"/>
    </row>
    <row r="11" spans="1:14" ht="15.75">
      <c r="A11" s="17" t="s">
        <v>222</v>
      </c>
      <c r="B11" s="81">
        <v>111667720</v>
      </c>
      <c r="C11" s="81">
        <v>123781260</v>
      </c>
      <c r="D11" s="81">
        <v>120243090</v>
      </c>
      <c r="E11" s="81">
        <v>115887340</v>
      </c>
      <c r="F11" s="81">
        <v>118770920</v>
      </c>
      <c r="G11" s="81">
        <v>109037390</v>
      </c>
      <c r="H11" s="81">
        <f aca="true" t="shared" si="0" ref="H11:H22">AVERAGE($B11:$G11)</f>
        <v>116564620</v>
      </c>
      <c r="I11" s="83">
        <v>347149000</v>
      </c>
      <c r="J11" s="83">
        <v>59919000</v>
      </c>
      <c r="K11" s="65">
        <f aca="true" t="shared" si="1" ref="K11:K22">$H11/($I11+$J11)</f>
        <v>0.2863517151925477</v>
      </c>
      <c r="L11" s="50">
        <f aca="true" t="shared" si="2" ref="L11:L22">($K11-$B$4)/($B$3-$B$4)</f>
        <v>0.35572257590286654</v>
      </c>
      <c r="M11" s="50">
        <f aca="true" t="shared" si="3" ref="M11:M22">$L11*$B$5</f>
        <v>0.35572257590286654</v>
      </c>
      <c r="N11" s="51"/>
    </row>
    <row r="12" spans="1:14" ht="15.75">
      <c r="A12" s="17" t="s">
        <v>265</v>
      </c>
      <c r="B12" s="81">
        <v>47035900</v>
      </c>
      <c r="C12" s="81">
        <v>49776700</v>
      </c>
      <c r="D12" s="81">
        <v>42504200</v>
      </c>
      <c r="E12" s="81">
        <v>36947300</v>
      </c>
      <c r="F12" s="81">
        <v>58421110</v>
      </c>
      <c r="G12" s="81">
        <v>50807680</v>
      </c>
      <c r="H12" s="81">
        <f t="shared" si="0"/>
        <v>47582148.333333336</v>
      </c>
      <c r="I12" s="83">
        <v>239102396.52</v>
      </c>
      <c r="J12" s="83">
        <v>81791918</v>
      </c>
      <c r="K12" s="65">
        <f t="shared" si="1"/>
        <v>0.14827981107894556</v>
      </c>
      <c r="L12" s="50">
        <f t="shared" si="2"/>
        <v>0.15191954841119767</v>
      </c>
      <c r="M12" s="50">
        <f t="shared" si="3"/>
        <v>0.15191954841119767</v>
      </c>
      <c r="N12" s="51"/>
    </row>
    <row r="13" spans="1:14" ht="15.75">
      <c r="A13" s="17" t="s">
        <v>226</v>
      </c>
      <c r="B13" s="81">
        <v>16238700</v>
      </c>
      <c r="C13" s="81">
        <v>9371300</v>
      </c>
      <c r="D13" s="81">
        <v>3005400</v>
      </c>
      <c r="E13" s="81">
        <v>8997100</v>
      </c>
      <c r="F13" s="81">
        <v>25176899.999999996</v>
      </c>
      <c r="G13" s="81">
        <v>23406300.000000004</v>
      </c>
      <c r="H13" s="81">
        <f t="shared" si="0"/>
        <v>14365950</v>
      </c>
      <c r="I13" s="83">
        <v>119099500</v>
      </c>
      <c r="J13" s="83">
        <v>54195931</v>
      </c>
      <c r="K13" s="65">
        <f t="shared" si="1"/>
        <v>0.08289860798465021</v>
      </c>
      <c r="L13" s="50">
        <f t="shared" si="2"/>
        <v>0.05541267963721686</v>
      </c>
      <c r="M13" s="50">
        <f t="shared" si="3"/>
        <v>0.05541267963721686</v>
      </c>
      <c r="N13" s="51"/>
    </row>
    <row r="14" spans="1:14" ht="15.75">
      <c r="A14" s="17" t="s">
        <v>266</v>
      </c>
      <c r="B14" s="81">
        <v>7870799.999999999</v>
      </c>
      <c r="C14" s="81">
        <v>6730000</v>
      </c>
      <c r="D14" s="81">
        <v>8320000</v>
      </c>
      <c r="E14" s="81">
        <v>5473500</v>
      </c>
      <c r="F14" s="81">
        <v>6576900</v>
      </c>
      <c r="G14" s="81">
        <v>6247700</v>
      </c>
      <c r="H14" s="81">
        <f t="shared" si="0"/>
        <v>6869816.666666667</v>
      </c>
      <c r="I14" s="83">
        <v>82703614.47</v>
      </c>
      <c r="J14" s="83">
        <v>29235000</v>
      </c>
      <c r="K14" s="65">
        <f t="shared" si="1"/>
        <v>0.06137128549601448</v>
      </c>
      <c r="L14" s="50">
        <f t="shared" si="2"/>
        <v>0.02363696447532802</v>
      </c>
      <c r="M14" s="50">
        <f t="shared" si="3"/>
        <v>0.02363696447532802</v>
      </c>
      <c r="N14" s="51"/>
    </row>
    <row r="15" spans="1:14" ht="15.75">
      <c r="A15" s="17" t="s">
        <v>158</v>
      </c>
      <c r="B15" s="81">
        <v>263074800</v>
      </c>
      <c r="C15" s="81">
        <v>254194400</v>
      </c>
      <c r="D15" s="81">
        <v>246309700</v>
      </c>
      <c r="E15" s="81">
        <v>248786900</v>
      </c>
      <c r="F15" s="81">
        <v>247964700</v>
      </c>
      <c r="G15" s="81">
        <v>241474400</v>
      </c>
      <c r="H15" s="81">
        <f t="shared" si="0"/>
        <v>250300816.66666666</v>
      </c>
      <c r="I15" s="83">
        <v>280636569</v>
      </c>
      <c r="J15" s="83">
        <v>65640000</v>
      </c>
      <c r="K15" s="65">
        <f t="shared" si="1"/>
        <v>0.7228349795352935</v>
      </c>
      <c r="L15" s="79">
        <f t="shared" si="2"/>
        <v>1</v>
      </c>
      <c r="M15" s="79">
        <f t="shared" si="3"/>
        <v>1</v>
      </c>
      <c r="N15" s="51"/>
    </row>
    <row r="16" spans="1:14" ht="15.75">
      <c r="A16" s="17" t="s">
        <v>159</v>
      </c>
      <c r="B16" s="81">
        <v>101422100</v>
      </c>
      <c r="C16" s="81">
        <v>95300400</v>
      </c>
      <c r="D16" s="81">
        <v>88508500</v>
      </c>
      <c r="E16" s="81">
        <v>94158800</v>
      </c>
      <c r="F16" s="81">
        <v>96163900</v>
      </c>
      <c r="G16" s="81">
        <v>83821200.00000001</v>
      </c>
      <c r="H16" s="81">
        <f t="shared" si="0"/>
        <v>93229150</v>
      </c>
      <c r="I16" s="83">
        <v>244702068.25</v>
      </c>
      <c r="J16" s="83">
        <v>102625100</v>
      </c>
      <c r="K16" s="65">
        <f t="shared" si="1"/>
        <v>0.2684188238706835</v>
      </c>
      <c r="L16" s="50">
        <f t="shared" si="2"/>
        <v>0.3292524727595946</v>
      </c>
      <c r="M16" s="50">
        <f t="shared" si="3"/>
        <v>0.3292524727595946</v>
      </c>
      <c r="N16" s="51"/>
    </row>
    <row r="17" spans="1:14" ht="15.75">
      <c r="A17" s="17" t="s">
        <v>267</v>
      </c>
      <c r="B17" s="81">
        <v>12410840</v>
      </c>
      <c r="C17" s="81">
        <v>11909890.000000002</v>
      </c>
      <c r="D17" s="81">
        <v>14747800</v>
      </c>
      <c r="E17" s="81">
        <v>14906830</v>
      </c>
      <c r="F17" s="81">
        <v>13521750</v>
      </c>
      <c r="G17" s="81">
        <v>15148919.999999998</v>
      </c>
      <c r="H17" s="81">
        <f t="shared" si="0"/>
        <v>13774338.333333334</v>
      </c>
      <c r="I17" s="83">
        <v>104871296</v>
      </c>
      <c r="J17" s="83">
        <v>33940000</v>
      </c>
      <c r="K17" s="65">
        <f t="shared" si="1"/>
        <v>0.09923067308105339</v>
      </c>
      <c r="L17" s="50">
        <f t="shared" si="2"/>
        <v>0.0795198601183331</v>
      </c>
      <c r="M17" s="50">
        <f t="shared" si="3"/>
        <v>0.0795198601183331</v>
      </c>
      <c r="N17" s="51"/>
    </row>
    <row r="18" spans="1:14" ht="15.75">
      <c r="A18" s="17" t="s">
        <v>268</v>
      </c>
      <c r="B18" s="81">
        <v>9047500</v>
      </c>
      <c r="C18" s="81">
        <v>5045100</v>
      </c>
      <c r="D18" s="81">
        <v>4860400.000000001</v>
      </c>
      <c r="E18" s="81">
        <v>5461700.000000001</v>
      </c>
      <c r="F18" s="81">
        <v>8473300</v>
      </c>
      <c r="G18" s="81">
        <v>9002800</v>
      </c>
      <c r="H18" s="81">
        <f t="shared" si="0"/>
        <v>6981800</v>
      </c>
      <c r="I18" s="83">
        <v>90832000</v>
      </c>
      <c r="J18" s="83">
        <v>38144000</v>
      </c>
      <c r="K18" s="65">
        <f t="shared" si="1"/>
        <v>0.054132551792581564</v>
      </c>
      <c r="L18" s="50">
        <f t="shared" si="2"/>
        <v>0.012952127082546156</v>
      </c>
      <c r="M18" s="50">
        <f t="shared" si="3"/>
        <v>0.012952127082546156</v>
      </c>
      <c r="N18" s="51"/>
    </row>
    <row r="19" spans="1:14" ht="15.75">
      <c r="A19" s="17" t="s">
        <v>269</v>
      </c>
      <c r="B19" s="81">
        <v>33737300</v>
      </c>
      <c r="C19" s="81">
        <v>70985250</v>
      </c>
      <c r="D19" s="81">
        <v>66813500</v>
      </c>
      <c r="E19" s="81">
        <v>50693689.99999999</v>
      </c>
      <c r="F19" s="81">
        <v>46837020.00000001</v>
      </c>
      <c r="G19" s="81">
        <v>41219680</v>
      </c>
      <c r="H19" s="81">
        <f t="shared" si="0"/>
        <v>51714406.666666664</v>
      </c>
      <c r="I19" s="83">
        <v>245369943.47</v>
      </c>
      <c r="J19" s="83">
        <v>41908000</v>
      </c>
      <c r="K19" s="65">
        <f t="shared" si="1"/>
        <v>0.18001523556599505</v>
      </c>
      <c r="L19" s="50">
        <f t="shared" si="2"/>
        <v>0.1987630799081806</v>
      </c>
      <c r="M19" s="50">
        <f t="shared" si="3"/>
        <v>0.1987630799081806</v>
      </c>
      <c r="N19" s="51"/>
    </row>
    <row r="20" spans="1:14" ht="15.75">
      <c r="A20" s="17" t="s">
        <v>270</v>
      </c>
      <c r="B20" s="81">
        <v>29189920</v>
      </c>
      <c r="C20" s="81">
        <v>26141949.999999996</v>
      </c>
      <c r="D20" s="81">
        <v>14041910</v>
      </c>
      <c r="E20" s="81">
        <v>19317770</v>
      </c>
      <c r="F20" s="81">
        <v>23194040</v>
      </c>
      <c r="G20" s="81">
        <v>18974960</v>
      </c>
      <c r="H20" s="81">
        <f t="shared" si="0"/>
        <v>21810091.666666668</v>
      </c>
      <c r="I20" s="83">
        <v>100739000</v>
      </c>
      <c r="J20" s="83">
        <v>81153000</v>
      </c>
      <c r="K20" s="65">
        <f t="shared" si="1"/>
        <v>0.11990682199693592</v>
      </c>
      <c r="L20" s="50">
        <f t="shared" si="2"/>
        <v>0.11003918823926918</v>
      </c>
      <c r="M20" s="50">
        <f t="shared" si="3"/>
        <v>0.11003918823926918</v>
      </c>
      <c r="N20" s="51"/>
    </row>
    <row r="21" spans="1:14" ht="15.75">
      <c r="A21" s="17" t="s">
        <v>271</v>
      </c>
      <c r="B21" s="81">
        <v>21323930</v>
      </c>
      <c r="C21" s="81">
        <v>14556640</v>
      </c>
      <c r="D21" s="81">
        <v>43008700.00000001</v>
      </c>
      <c r="E21" s="81">
        <v>26063600</v>
      </c>
      <c r="F21" s="81">
        <v>16322220.000000002</v>
      </c>
      <c r="G21" s="81">
        <v>5584610</v>
      </c>
      <c r="H21" s="81">
        <f t="shared" si="0"/>
        <v>21143283.333333332</v>
      </c>
      <c r="I21" s="83">
        <v>397719617.06</v>
      </c>
      <c r="J21" s="83">
        <v>68424953</v>
      </c>
      <c r="K21" s="65">
        <f t="shared" si="1"/>
        <v>0.045357781021908856</v>
      </c>
      <c r="L21" s="79">
        <f t="shared" si="2"/>
        <v>0</v>
      </c>
      <c r="M21" s="79">
        <f t="shared" si="3"/>
        <v>0</v>
      </c>
      <c r="N21" s="51"/>
    </row>
    <row r="22" spans="1:14" ht="15.75">
      <c r="A22" s="17" t="s">
        <v>272</v>
      </c>
      <c r="B22" s="81">
        <v>18770000</v>
      </c>
      <c r="C22" s="81">
        <v>14774000</v>
      </c>
      <c r="D22" s="81">
        <v>13460000</v>
      </c>
      <c r="E22" s="81">
        <v>17595000</v>
      </c>
      <c r="F22" s="81">
        <v>13843000</v>
      </c>
      <c r="G22" s="81">
        <v>11171000</v>
      </c>
      <c r="H22" s="81">
        <f t="shared" si="0"/>
        <v>14935500</v>
      </c>
      <c r="I22" s="83">
        <v>78308691.08</v>
      </c>
      <c r="J22" s="83">
        <v>38389230</v>
      </c>
      <c r="K22" s="65">
        <f t="shared" si="1"/>
        <v>0.12798428508217605</v>
      </c>
      <c r="L22" s="50">
        <f t="shared" si="2"/>
        <v>0.12196204424529393</v>
      </c>
      <c r="M22" s="50">
        <f t="shared" si="3"/>
        <v>0.12196204424529393</v>
      </c>
      <c r="N22" s="51"/>
    </row>
    <row r="23" ht="15.75">
      <c r="A23" s="5" t="s">
        <v>40</v>
      </c>
    </row>
    <row r="25" spans="8:11" ht="15.75">
      <c r="H25" s="44"/>
      <c r="I25" s="44"/>
      <c r="J25" s="44"/>
      <c r="K25" s="44"/>
    </row>
  </sheetData>
  <sheetProtection/>
  <mergeCells count="7">
    <mergeCell ref="A1:M1"/>
    <mergeCell ref="A7:A8"/>
    <mergeCell ref="B7:H7"/>
    <mergeCell ref="I7:J7"/>
    <mergeCell ref="K7:K8"/>
    <mergeCell ref="L7:L8"/>
    <mergeCell ref="M7:M8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Q19"/>
  <sheetViews>
    <sheetView tabSelected="1" view="pageBreakPreview"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activeCellId="2" sqref="B10 B13 B18"/>
    </sheetView>
  </sheetViews>
  <sheetFormatPr defaultColWidth="9.140625" defaultRowHeight="15"/>
  <cols>
    <col min="1" max="1" width="24.8515625" style="1" customWidth="1"/>
    <col min="2" max="2" width="7.421875" style="1" customWidth="1"/>
    <col min="3" max="4" width="7.00390625" style="2" customWidth="1"/>
    <col min="5" max="6" width="7.00390625" style="30" customWidth="1"/>
    <col min="7" max="7" width="7.00390625" style="2" customWidth="1"/>
    <col min="8" max="8" width="8.8515625" style="30" customWidth="1"/>
    <col min="9" max="9" width="7.28125" style="2" customWidth="1"/>
    <col min="10" max="10" width="7.00390625" style="1" customWidth="1"/>
    <col min="11" max="11" width="7.00390625" style="2" customWidth="1"/>
    <col min="12" max="14" width="7.00390625" style="1" customWidth="1"/>
    <col min="15" max="15" width="9.57421875" style="1" customWidth="1"/>
    <col min="16" max="16" width="8.421875" style="1" customWidth="1"/>
    <col min="17" max="16384" width="9.140625" style="1" customWidth="1"/>
  </cols>
  <sheetData>
    <row r="1" spans="1:16" ht="17.25" customHeight="1">
      <c r="A1" s="124" t="s">
        <v>273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3" spans="1:16" s="8" customFormat="1" ht="94.5" customHeight="1">
      <c r="A3" s="119" t="s">
        <v>39</v>
      </c>
      <c r="B3" s="119" t="s">
        <v>116</v>
      </c>
      <c r="C3" s="119"/>
      <c r="D3" s="119"/>
      <c r="E3" s="119"/>
      <c r="F3" s="119"/>
      <c r="G3" s="119" t="s">
        <v>117</v>
      </c>
      <c r="H3" s="119"/>
      <c r="I3" s="119"/>
      <c r="J3" s="119"/>
      <c r="K3" s="119"/>
      <c r="L3" s="119" t="s">
        <v>118</v>
      </c>
      <c r="M3" s="119"/>
      <c r="N3" s="119"/>
      <c r="O3" s="119" t="s">
        <v>45</v>
      </c>
      <c r="P3" s="119"/>
    </row>
    <row r="4" spans="1:16" s="8" customFormat="1" ht="23.25" customHeight="1">
      <c r="A4" s="119"/>
      <c r="B4" s="78" t="s">
        <v>274</v>
      </c>
      <c r="C4" s="91">
        <v>2</v>
      </c>
      <c r="D4" s="90">
        <v>3</v>
      </c>
      <c r="E4" s="78" t="s">
        <v>208</v>
      </c>
      <c r="F4" s="78" t="s">
        <v>209</v>
      </c>
      <c r="G4" s="90">
        <v>7</v>
      </c>
      <c r="H4" s="66" t="s">
        <v>156</v>
      </c>
      <c r="I4" s="90">
        <v>9</v>
      </c>
      <c r="J4" s="91">
        <v>10</v>
      </c>
      <c r="K4" s="91">
        <v>12</v>
      </c>
      <c r="L4" s="90">
        <v>13</v>
      </c>
      <c r="M4" s="91">
        <v>14</v>
      </c>
      <c r="N4" s="90">
        <v>15</v>
      </c>
      <c r="O4" s="121" t="s">
        <v>126</v>
      </c>
      <c r="P4" s="121" t="s">
        <v>127</v>
      </c>
    </row>
    <row r="5" spans="1:16" s="68" customFormat="1" ht="105" customHeight="1">
      <c r="A5" s="119"/>
      <c r="B5" s="69" t="s">
        <v>275</v>
      </c>
      <c r="C5" s="69" t="s">
        <v>206</v>
      </c>
      <c r="D5" s="69" t="s">
        <v>207</v>
      </c>
      <c r="E5" s="69" t="s">
        <v>210</v>
      </c>
      <c r="F5" s="69" t="s">
        <v>211</v>
      </c>
      <c r="G5" s="69" t="s">
        <v>212</v>
      </c>
      <c r="H5" s="70" t="s">
        <v>213</v>
      </c>
      <c r="I5" s="69" t="s">
        <v>214</v>
      </c>
      <c r="J5" s="69" t="s">
        <v>215</v>
      </c>
      <c r="K5" s="69" t="s">
        <v>216</v>
      </c>
      <c r="L5" s="69" t="s">
        <v>217</v>
      </c>
      <c r="M5" s="69" t="s">
        <v>218</v>
      </c>
      <c r="N5" s="69" t="s">
        <v>219</v>
      </c>
      <c r="O5" s="121"/>
      <c r="P5" s="121"/>
    </row>
    <row r="6" spans="1:16" ht="15.75">
      <c r="A6" s="17" t="s">
        <v>227</v>
      </c>
      <c r="B6" s="93">
        <f>'1.1'!F9</f>
        <v>-0.2448576916595677</v>
      </c>
      <c r="C6" s="102">
        <f>2!K11</f>
        <v>0.39694964724420506</v>
      </c>
      <c r="D6" s="103">
        <f>3!G9</f>
        <v>0.5684973276568105</v>
      </c>
      <c r="E6" s="56">
        <f>'4.1'!G10</f>
        <v>0</v>
      </c>
      <c r="F6" s="102">
        <f>'5.1'!F9</f>
        <v>0.6273529971715491</v>
      </c>
      <c r="G6" s="102">
        <f>7!F9</f>
        <v>-0.6071377516508418</v>
      </c>
      <c r="H6" s="102">
        <f>'7.1'!F9</f>
        <v>-0.8080000000000003</v>
      </c>
      <c r="I6" s="102">
        <f>9!F9</f>
        <v>-0.3427589451091737</v>
      </c>
      <c r="J6" s="102">
        <f>'10'!F10</f>
        <v>1.2027432713877744</v>
      </c>
      <c r="K6" s="103">
        <f>'12'!F10</f>
        <v>0.8387445887445887</v>
      </c>
      <c r="L6" s="102">
        <f>'13'!L10</f>
        <v>-0.642305739667219</v>
      </c>
      <c r="M6" s="56">
        <f>'14'!J10</f>
        <v>0</v>
      </c>
      <c r="N6" s="102">
        <f>'15'!M10</f>
        <v>0.15014295101323313</v>
      </c>
      <c r="O6" s="67">
        <f>ROUND(SUM($B6:$N6),2)</f>
        <v>1.14</v>
      </c>
      <c r="P6" s="94">
        <f>RANK($O6,$O$6:$O$18,0)</f>
        <v>7</v>
      </c>
    </row>
    <row r="7" spans="1:16" ht="15.75">
      <c r="A7" s="17" t="s">
        <v>222</v>
      </c>
      <c r="B7" s="93">
        <f>'1.1'!F10</f>
        <v>-0.3227337577443777</v>
      </c>
      <c r="C7" s="102">
        <f>2!K12</f>
        <v>0.7232938031686821</v>
      </c>
      <c r="D7" s="103">
        <f>3!G10</f>
        <v>0.02406689221681976</v>
      </c>
      <c r="E7" s="102">
        <f>'4.1'!G11</f>
        <v>0.04740824767006563</v>
      </c>
      <c r="F7" s="56">
        <f>'5.1'!F10</f>
        <v>1</v>
      </c>
      <c r="G7" s="102">
        <f>7!F10</f>
        <v>-1.0263372479371569</v>
      </c>
      <c r="H7" s="56">
        <f>'7.1'!F10</f>
        <v>0</v>
      </c>
      <c r="I7" s="102">
        <f>9!F10</f>
        <v>-0.4920447946195555</v>
      </c>
      <c r="J7" s="102">
        <f>'10'!F11</f>
        <v>1.4312010877393484</v>
      </c>
      <c r="K7" s="104">
        <f>'12'!F11</f>
        <v>0</v>
      </c>
      <c r="L7" s="56">
        <f>'13'!L11</f>
        <v>0</v>
      </c>
      <c r="M7" s="56">
        <f>'14'!J11</f>
        <v>0</v>
      </c>
      <c r="N7" s="102">
        <f>'15'!M11</f>
        <v>0.35572257590286654</v>
      </c>
      <c r="O7" s="67">
        <f aca="true" t="shared" si="0" ref="O7:O18">ROUND(SUM($B7:$N7),2)</f>
        <v>1.74</v>
      </c>
      <c r="P7" s="94">
        <f aca="true" t="shared" si="1" ref="P7:P18">RANK($O7,$O$6:$O$18,0)</f>
        <v>5</v>
      </c>
    </row>
    <row r="8" spans="1:17" ht="15.75">
      <c r="A8" s="17" t="s">
        <v>265</v>
      </c>
      <c r="B8" s="93">
        <f>'1.1'!F11</f>
        <v>-0.6295943802774873</v>
      </c>
      <c r="C8" s="102">
        <f>2!K13</f>
        <v>0.42095864031675273</v>
      </c>
      <c r="D8" s="104">
        <f>3!G11</f>
        <v>1</v>
      </c>
      <c r="E8" s="102">
        <f>'4.1'!G12</f>
        <v>1.0819954615020337</v>
      </c>
      <c r="F8" s="102">
        <f>'5.1'!F11</f>
        <v>0.40129433984348895</v>
      </c>
      <c r="G8" s="56">
        <f>7!F11</f>
        <v>0</v>
      </c>
      <c r="H8" s="102">
        <f>'7.1'!F11</f>
        <v>-0.015999999999999848</v>
      </c>
      <c r="I8" s="102">
        <f>9!F11</f>
        <v>-0.02120487958945417</v>
      </c>
      <c r="J8" s="102">
        <f>'10'!F12</f>
        <v>1.8524927819035195</v>
      </c>
      <c r="K8" s="103">
        <f>'12'!F12</f>
        <v>0.2749445676274945</v>
      </c>
      <c r="L8" s="56">
        <f>'13'!L12</f>
        <v>0</v>
      </c>
      <c r="M8" s="102">
        <f>'14'!J12</f>
        <v>-0.26197188926063936</v>
      </c>
      <c r="N8" s="102">
        <f>'15'!M12</f>
        <v>0.15191954841119767</v>
      </c>
      <c r="O8" s="67">
        <f t="shared" si="0"/>
        <v>4.25</v>
      </c>
      <c r="P8" s="94">
        <f t="shared" si="1"/>
        <v>2</v>
      </c>
      <c r="Q8" s="80"/>
    </row>
    <row r="9" spans="1:16" ht="15.75">
      <c r="A9" s="17" t="s">
        <v>226</v>
      </c>
      <c r="B9" s="93">
        <f>'1.1'!F12</f>
        <v>-0.13339463092790485</v>
      </c>
      <c r="C9" s="56">
        <f>2!K14</f>
        <v>1</v>
      </c>
      <c r="D9" s="104">
        <f>3!G12</f>
        <v>0</v>
      </c>
      <c r="E9" s="102">
        <f>'4.1'!G13</f>
        <v>1.6091970774790543</v>
      </c>
      <c r="F9" s="102">
        <f>'5.1'!F12</f>
        <v>0.5189240621940311</v>
      </c>
      <c r="G9" s="56">
        <f>7!F12</f>
        <v>0</v>
      </c>
      <c r="H9" s="56">
        <f>'7.1'!F12</f>
        <v>0</v>
      </c>
      <c r="I9" s="102">
        <f>9!F12</f>
        <v>-0.744068862546285</v>
      </c>
      <c r="J9" s="102">
        <f>'10'!F13</f>
        <v>1.6282229044467114</v>
      </c>
      <c r="K9" s="104">
        <f>'12'!F13</f>
        <v>1</v>
      </c>
      <c r="L9" s="56">
        <f>'13'!L13</f>
        <v>0</v>
      </c>
      <c r="M9" s="56">
        <f>'14'!J13</f>
        <v>0</v>
      </c>
      <c r="N9" s="102">
        <f>'15'!M13</f>
        <v>0.05541267963721686</v>
      </c>
      <c r="O9" s="67">
        <f t="shared" si="0"/>
        <v>4.93</v>
      </c>
      <c r="P9" s="94">
        <f t="shared" si="1"/>
        <v>1</v>
      </c>
    </row>
    <row r="10" spans="1:16" ht="15.75">
      <c r="A10" s="17" t="s">
        <v>266</v>
      </c>
      <c r="B10" s="126">
        <f>'1.1'!F13</f>
        <v>-0.000630670473813343</v>
      </c>
      <c r="C10" s="56">
        <f>2!K15</f>
        <v>0</v>
      </c>
      <c r="D10" s="104">
        <f>3!G13</f>
        <v>0</v>
      </c>
      <c r="E10" s="102">
        <f>'4.1'!G14</f>
        <v>1.348045616540668</v>
      </c>
      <c r="F10" s="102">
        <f>'5.1'!F13</f>
        <v>0.45720323308152355</v>
      </c>
      <c r="G10" s="102">
        <f>7!F13</f>
        <v>-1.5981811599993645</v>
      </c>
      <c r="H10" s="102">
        <f>'7.1'!F13</f>
        <v>-0.31733333333333347</v>
      </c>
      <c r="I10" s="102">
        <f>9!F13</f>
        <v>-0.4438167027828322</v>
      </c>
      <c r="J10" s="102">
        <f>'10'!F14</f>
        <v>1.2489912173626898</v>
      </c>
      <c r="K10" s="104">
        <f>'12'!F14</f>
        <v>0</v>
      </c>
      <c r="L10" s="102">
        <f>'13'!L14</f>
        <v>-0.6360362876614383</v>
      </c>
      <c r="M10" s="56">
        <f>'14'!J14</f>
        <v>0</v>
      </c>
      <c r="N10" s="102">
        <f>'15'!M14</f>
        <v>0.02363696447532802</v>
      </c>
      <c r="O10" s="67">
        <f t="shared" si="0"/>
        <v>0.08</v>
      </c>
      <c r="P10" s="94">
        <f t="shared" si="1"/>
        <v>11</v>
      </c>
    </row>
    <row r="11" spans="1:16" ht="15.75">
      <c r="A11" s="17" t="s">
        <v>158</v>
      </c>
      <c r="B11" s="93">
        <f>'1.1'!F14</f>
        <v>-1</v>
      </c>
      <c r="C11" s="102">
        <f>2!K16</f>
        <v>0.2528731236611105</v>
      </c>
      <c r="D11" s="103">
        <f>3!G14</f>
        <v>0.05095187152970119</v>
      </c>
      <c r="E11" s="102">
        <f>'4.1'!G15</f>
        <v>1.7776301392209568</v>
      </c>
      <c r="F11" s="102">
        <f>'5.1'!F14</f>
        <v>0.16545955833264714</v>
      </c>
      <c r="G11" s="102">
        <f>7!F14</f>
        <v>-0.6067531577638462</v>
      </c>
      <c r="H11" s="102">
        <f>'7.1'!F14</f>
        <v>-0.43733333333333346</v>
      </c>
      <c r="I11" s="102">
        <f>9!F14</f>
        <v>-0.06785669450947335</v>
      </c>
      <c r="J11" s="56">
        <f>'10'!F15</f>
        <v>0</v>
      </c>
      <c r="K11" s="104">
        <f>'12'!F15</f>
        <v>0</v>
      </c>
      <c r="L11" s="56">
        <f>'13'!L15</f>
        <v>-1</v>
      </c>
      <c r="M11" s="56">
        <f>'14'!J15</f>
        <v>0</v>
      </c>
      <c r="N11" s="56">
        <f>'15'!M15</f>
        <v>1</v>
      </c>
      <c r="O11" s="67">
        <f t="shared" si="0"/>
        <v>0.13</v>
      </c>
      <c r="P11" s="94">
        <f t="shared" si="1"/>
        <v>9</v>
      </c>
    </row>
    <row r="12" spans="1:16" ht="15.75">
      <c r="A12" s="17" t="s">
        <v>159</v>
      </c>
      <c r="B12" s="93">
        <f>'1.1'!F15</f>
        <v>-0.17996363549700584</v>
      </c>
      <c r="C12" s="102">
        <f>2!K17</f>
        <v>0.6290558352541714</v>
      </c>
      <c r="D12" s="103">
        <f>3!G15</f>
        <v>0.026530207250201332</v>
      </c>
      <c r="E12" s="102">
        <f>'4.1'!G16</f>
        <v>1.3025093887311223</v>
      </c>
      <c r="F12" s="102">
        <f>'5.1'!F15</f>
        <v>0.5198583554738734</v>
      </c>
      <c r="G12" s="102">
        <f>7!F15</f>
        <v>-0.6908269833176178</v>
      </c>
      <c r="H12" s="102">
        <f>'7.1'!F15</f>
        <v>-0.39466666666666694</v>
      </c>
      <c r="I12" s="102">
        <f>9!F15</f>
        <v>-0.1500402178799604</v>
      </c>
      <c r="J12" s="102">
        <f>'10'!F16</f>
        <v>1.8595849967919045</v>
      </c>
      <c r="K12" s="103">
        <f>'12'!F16</f>
        <v>0.9581818181818182</v>
      </c>
      <c r="L12" s="56">
        <f>'13'!L16</f>
        <v>0</v>
      </c>
      <c r="M12" s="56">
        <f>'14'!J16</f>
        <v>0</v>
      </c>
      <c r="N12" s="102">
        <f>'15'!M16</f>
        <v>0.3292524727595946</v>
      </c>
      <c r="O12" s="67">
        <f t="shared" si="0"/>
        <v>4.21</v>
      </c>
      <c r="P12" s="94">
        <f t="shared" si="1"/>
        <v>3</v>
      </c>
    </row>
    <row r="13" spans="1:16" ht="15.75">
      <c r="A13" s="17" t="s">
        <v>267</v>
      </c>
      <c r="B13" s="126">
        <f>'1.1'!F16</f>
        <v>-0.003251589237754256</v>
      </c>
      <c r="C13" s="102">
        <f>2!K18</f>
        <v>0.05185103072787483</v>
      </c>
      <c r="D13" s="103">
        <f>3!G16</f>
        <v>0.047526708077431604</v>
      </c>
      <c r="E13" s="102">
        <f>'4.1'!G17</f>
        <v>1.6154585428178518</v>
      </c>
      <c r="F13" s="102">
        <f>'5.1'!F16</f>
        <v>0.43221356545036366</v>
      </c>
      <c r="G13" s="56">
        <f>7!F16</f>
        <v>-2</v>
      </c>
      <c r="H13" s="56">
        <f>'7.1'!F16</f>
        <v>0</v>
      </c>
      <c r="I13" s="102">
        <f>9!F16</f>
        <v>-0.8491709837819224</v>
      </c>
      <c r="J13" s="102">
        <f>'10'!F17</f>
        <v>1.108683107177974</v>
      </c>
      <c r="K13" s="103">
        <f>'12'!F17</f>
        <v>0.5871212121212122</v>
      </c>
      <c r="L13" s="56">
        <f>'13'!L17</f>
        <v>0</v>
      </c>
      <c r="M13" s="102">
        <f>'14'!J17</f>
        <v>-0.9391697168160191</v>
      </c>
      <c r="N13" s="102">
        <f>'15'!M17</f>
        <v>0.0795198601183331</v>
      </c>
      <c r="O13" s="67">
        <f t="shared" si="0"/>
        <v>0.13</v>
      </c>
      <c r="P13" s="94">
        <f t="shared" si="1"/>
        <v>9</v>
      </c>
    </row>
    <row r="14" spans="1:17" ht="15.75">
      <c r="A14" s="17" t="s">
        <v>268</v>
      </c>
      <c r="B14" s="93">
        <f>'1.1'!F17</f>
        <v>-0.7399792874613839</v>
      </c>
      <c r="C14" s="102">
        <f>2!K19</f>
        <v>0.2655111058204248</v>
      </c>
      <c r="D14" s="103">
        <f>3!G17</f>
        <v>0.007161399636368248</v>
      </c>
      <c r="E14" s="102">
        <f>'4.1'!G18</f>
        <v>1.344428670495219</v>
      </c>
      <c r="F14" s="102">
        <f>'5.1'!F17</f>
        <v>0.24916947054982044</v>
      </c>
      <c r="G14" s="102">
        <f>7!F17</f>
        <v>-0.6362292370840029</v>
      </c>
      <c r="H14" s="56">
        <f>'7.1'!F17</f>
        <v>0</v>
      </c>
      <c r="I14" s="102">
        <f>9!F17</f>
        <v>-0.3792241091438635</v>
      </c>
      <c r="J14" s="102">
        <f>'10'!F18</f>
        <v>1.737121236354469</v>
      </c>
      <c r="K14" s="103">
        <f>'12'!F18</f>
        <v>0.8746081504702194</v>
      </c>
      <c r="L14" s="56">
        <f>'13'!L18</f>
        <v>0</v>
      </c>
      <c r="M14" s="56">
        <f>'14'!J18</f>
        <v>-2</v>
      </c>
      <c r="N14" s="102">
        <f>'15'!M18</f>
        <v>0.012952127082546156</v>
      </c>
      <c r="O14" s="67">
        <f t="shared" si="0"/>
        <v>0.74</v>
      </c>
      <c r="P14" s="94">
        <f t="shared" si="1"/>
        <v>8</v>
      </c>
      <c r="Q14" s="80"/>
    </row>
    <row r="15" spans="1:16" ht="15.75">
      <c r="A15" s="17" t="s">
        <v>269</v>
      </c>
      <c r="B15" s="93">
        <f>'1.1'!F18</f>
        <v>-0.02903468841900081</v>
      </c>
      <c r="C15" s="102">
        <f>2!K20</f>
        <v>0.6235316223912665</v>
      </c>
      <c r="D15" s="103">
        <f>3!G18</f>
        <v>0.3035873768138743</v>
      </c>
      <c r="E15" s="102">
        <f>'4.1'!G19</f>
        <v>0.311362030533284</v>
      </c>
      <c r="F15" s="102">
        <f>'5.1'!F18</f>
        <v>0.28431876849033244</v>
      </c>
      <c r="G15" s="102">
        <f>7!F18</f>
        <v>-1.636408489459452</v>
      </c>
      <c r="H15" s="56">
        <f>'7.1'!F18</f>
        <v>-1</v>
      </c>
      <c r="I15" s="102">
        <f>9!F18</f>
        <v>-0.5133261217061735</v>
      </c>
      <c r="J15" s="102">
        <f>'10'!F19</f>
        <v>0.9124874428452603</v>
      </c>
      <c r="K15" s="103">
        <f>'12'!F19</f>
        <v>0.08806818181818181</v>
      </c>
      <c r="L15" s="102">
        <f>'13'!L19</f>
        <v>-0.3917172616137038</v>
      </c>
      <c r="M15" s="56">
        <f>'14'!J19</f>
        <v>0</v>
      </c>
      <c r="N15" s="102">
        <f>'15'!M19</f>
        <v>0.1987630799081806</v>
      </c>
      <c r="O15" s="67">
        <f t="shared" si="0"/>
        <v>-0.85</v>
      </c>
      <c r="P15" s="94">
        <f t="shared" si="1"/>
        <v>12</v>
      </c>
    </row>
    <row r="16" spans="1:16" ht="15.75">
      <c r="A16" s="17" t="s">
        <v>270</v>
      </c>
      <c r="B16" s="93">
        <f>'1.1'!F19</f>
        <v>-0.05057785192669479</v>
      </c>
      <c r="C16" s="102">
        <f>2!K21</f>
        <v>0.33680867019306554</v>
      </c>
      <c r="D16" s="103">
        <f>3!G19</f>
        <v>0.25710383074229015</v>
      </c>
      <c r="E16" s="56">
        <f>'4.1'!G20</f>
        <v>2</v>
      </c>
      <c r="F16" s="56">
        <f>'5.1'!F19</f>
        <v>0</v>
      </c>
      <c r="G16" s="102">
        <f>7!F19</f>
        <v>-0.06074625056225987</v>
      </c>
      <c r="H16" s="102">
        <f>'7.1'!F19</f>
        <v>-0.485333333333333</v>
      </c>
      <c r="I16" s="56">
        <f>9!F19</f>
        <v>-1</v>
      </c>
      <c r="J16" s="102">
        <f>'10'!F20</f>
        <v>1.2882893253213759</v>
      </c>
      <c r="K16" s="104">
        <f>'12'!F20</f>
        <v>0</v>
      </c>
      <c r="L16" s="102">
        <f>'13'!L20</f>
        <v>-0.9629032211005124</v>
      </c>
      <c r="M16" s="102">
        <f>'14'!J20</f>
        <v>-0.0670316388854822</v>
      </c>
      <c r="N16" s="102">
        <f>'15'!M20</f>
        <v>0.11003918823926918</v>
      </c>
      <c r="O16" s="67">
        <f t="shared" si="0"/>
        <v>1.37</v>
      </c>
      <c r="P16" s="94">
        <f t="shared" si="1"/>
        <v>6</v>
      </c>
    </row>
    <row r="17" spans="1:16" ht="15.75">
      <c r="A17" s="17" t="s">
        <v>271</v>
      </c>
      <c r="B17" s="93">
        <f>'1.1'!F20</f>
        <v>-0.16854424910937682</v>
      </c>
      <c r="C17" s="102">
        <f>2!K22</f>
        <v>0.8921951916998101</v>
      </c>
      <c r="D17" s="103">
        <f>3!G20</f>
        <v>0.03153666488566632</v>
      </c>
      <c r="E17" s="102">
        <f>'4.1'!G21</f>
        <v>1.1253172484966922</v>
      </c>
      <c r="F17" s="102">
        <f>'5.1'!F20</f>
        <v>0.38206002341058626</v>
      </c>
      <c r="G17" s="102">
        <f>7!F20</f>
        <v>-0.3204969009047277</v>
      </c>
      <c r="H17" s="102">
        <f>'7.1'!F20</f>
        <v>-0.9866666666666667</v>
      </c>
      <c r="I17" s="56">
        <f>9!F20</f>
        <v>0</v>
      </c>
      <c r="J17" s="56">
        <f>'10'!F21</f>
        <v>2</v>
      </c>
      <c r="K17" s="103">
        <f>'12'!F21</f>
        <v>0.7164869029275808</v>
      </c>
      <c r="L17" s="56">
        <f>'13'!L21</f>
        <v>0</v>
      </c>
      <c r="M17" s="102">
        <f>'14'!J21</f>
        <v>-0.4123940283767494</v>
      </c>
      <c r="N17" s="56">
        <f>'15'!M21</f>
        <v>0</v>
      </c>
      <c r="O17" s="67">
        <f t="shared" si="0"/>
        <v>3.26</v>
      </c>
      <c r="P17" s="94">
        <f t="shared" si="1"/>
        <v>4</v>
      </c>
    </row>
    <row r="18" spans="1:16" ht="15.75">
      <c r="A18" s="17" t="s">
        <v>272</v>
      </c>
      <c r="B18" s="126">
        <f>'1.1'!F21</f>
        <v>0</v>
      </c>
      <c r="C18" s="102">
        <f>2!K23</f>
        <v>0.0825906934390401</v>
      </c>
      <c r="D18" s="104">
        <f>3!G21</f>
        <v>0</v>
      </c>
      <c r="E18" s="102">
        <f>'4.1'!G22</f>
        <v>0.8766654624121044</v>
      </c>
      <c r="F18" s="102">
        <f>'5.1'!F21</f>
        <v>0.4382436623785658</v>
      </c>
      <c r="G18" s="102">
        <f>7!F21</f>
        <v>-1.742042639482937</v>
      </c>
      <c r="H18" s="102">
        <f>'7.1'!F21</f>
        <v>-0.23733333333333348</v>
      </c>
      <c r="I18" s="102">
        <f>9!F21</f>
        <v>-0.5943921582671836</v>
      </c>
      <c r="J18" s="102">
        <f>'10'!F22</f>
        <v>0.12059136141927082</v>
      </c>
      <c r="K18" s="104">
        <f>'12'!F22</f>
        <v>0</v>
      </c>
      <c r="L18" s="56">
        <f>'13'!L22</f>
        <v>0</v>
      </c>
      <c r="M18" s="102">
        <f>'14'!J22</f>
        <v>-0.2082127852034746</v>
      </c>
      <c r="N18" s="102">
        <f>'15'!M22</f>
        <v>0.12196204424529393</v>
      </c>
      <c r="O18" s="67">
        <f t="shared" si="0"/>
        <v>-1.14</v>
      </c>
      <c r="P18" s="94">
        <f t="shared" si="1"/>
        <v>13</v>
      </c>
    </row>
    <row r="19" spans="1:2" ht="15.75">
      <c r="A19" s="5"/>
      <c r="B19" s="5"/>
    </row>
  </sheetData>
  <sheetProtection/>
  <mergeCells count="8">
    <mergeCell ref="A1:P1"/>
    <mergeCell ref="L3:N3"/>
    <mergeCell ref="O3:P3"/>
    <mergeCell ref="A3:A5"/>
    <mergeCell ref="O4:O5"/>
    <mergeCell ref="P4:P5"/>
    <mergeCell ref="G3:K3"/>
    <mergeCell ref="B3:F3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2"/>
  <sheetViews>
    <sheetView view="pageBreakPreview" zoomScaleSheetLayoutView="100" zoomScalePageLayoutView="0" workbookViewId="0" topLeftCell="A1">
      <selection activeCell="A5" sqref="A5:C11"/>
    </sheetView>
  </sheetViews>
  <sheetFormatPr defaultColWidth="9.140625" defaultRowHeight="15"/>
  <cols>
    <col min="1" max="1" width="25.00390625" style="1" bestFit="1" customWidth="1"/>
    <col min="2" max="2" width="20.8515625" style="0" customWidth="1"/>
    <col min="3" max="3" width="18.140625" style="0" customWidth="1"/>
    <col min="4" max="4" width="18.421875" style="0" customWidth="1"/>
    <col min="5" max="5" width="11.421875" style="0" bestFit="1" customWidth="1"/>
    <col min="6" max="6" width="10.7109375" style="0" bestFit="1" customWidth="1"/>
  </cols>
  <sheetData>
    <row r="1" spans="1:4" ht="56.25" customHeight="1">
      <c r="A1" s="125" t="s">
        <v>276</v>
      </c>
      <c r="B1" s="125"/>
      <c r="C1" s="125"/>
      <c r="D1" s="125"/>
    </row>
    <row r="2" ht="15.75">
      <c r="D2" s="23" t="s">
        <v>143</v>
      </c>
    </row>
    <row r="3" spans="1:4" ht="67.5" customHeight="1">
      <c r="A3" s="90" t="s">
        <v>39</v>
      </c>
      <c r="B3" s="90" t="s">
        <v>50</v>
      </c>
      <c r="C3" s="90" t="s">
        <v>224</v>
      </c>
      <c r="D3" s="90" t="s">
        <v>47</v>
      </c>
    </row>
    <row r="4" spans="1:4" s="7" customFormat="1" ht="15.75">
      <c r="A4" s="9">
        <v>1</v>
      </c>
      <c r="B4" s="9">
        <v>2</v>
      </c>
      <c r="C4" s="9">
        <v>3</v>
      </c>
      <c r="D4" s="9">
        <v>4</v>
      </c>
    </row>
    <row r="5" spans="1:7" s="60" customFormat="1" ht="15.75">
      <c r="A5" s="17" t="s">
        <v>278</v>
      </c>
      <c r="B5" s="106">
        <f>рейтинг!O9</f>
        <v>4.93</v>
      </c>
      <c r="C5" s="107">
        <v>19285</v>
      </c>
      <c r="D5" s="61">
        <f>ROUND(25000*($B5/SUM($B$5:$B$11)*0.75+$C5/SUM($C$5:$C$11)*0.25),0)</f>
        <v>4774</v>
      </c>
      <c r="E5" s="59"/>
      <c r="F5" s="59"/>
      <c r="G5" s="59"/>
    </row>
    <row r="6" spans="1:7" s="60" customFormat="1" ht="15.75">
      <c r="A6" s="17" t="s">
        <v>225</v>
      </c>
      <c r="B6" s="106">
        <f>рейтинг!O8</f>
        <v>4.25</v>
      </c>
      <c r="C6" s="107">
        <v>40569</v>
      </c>
      <c r="D6" s="61">
        <f aca="true" t="shared" si="0" ref="D6:D11">ROUND(25000*($B6/SUM($B$5:$B$11)*0.75+$C6/SUM($C$5:$C$11)*0.25),0)</f>
        <v>4551</v>
      </c>
      <c r="E6" s="59"/>
      <c r="F6" s="59"/>
      <c r="G6" s="59"/>
    </row>
    <row r="7" spans="1:7" s="60" customFormat="1" ht="15.75">
      <c r="A7" s="17" t="s">
        <v>279</v>
      </c>
      <c r="B7" s="106">
        <f>рейтинг!O12</f>
        <v>4.21</v>
      </c>
      <c r="C7" s="107">
        <v>45276</v>
      </c>
      <c r="D7" s="61">
        <f t="shared" si="0"/>
        <v>4601</v>
      </c>
      <c r="E7" s="59"/>
      <c r="F7" s="59"/>
      <c r="G7" s="59"/>
    </row>
    <row r="8" spans="1:7" s="60" customFormat="1" ht="15.75">
      <c r="A8" s="17" t="s">
        <v>280</v>
      </c>
      <c r="B8" s="106">
        <f>рейтинг!O17</f>
        <v>3.26</v>
      </c>
      <c r="C8" s="107">
        <v>45900</v>
      </c>
      <c r="D8" s="61">
        <f t="shared" si="0"/>
        <v>3760</v>
      </c>
      <c r="E8" s="59"/>
      <c r="F8" s="59"/>
      <c r="G8" s="59"/>
    </row>
    <row r="9" spans="1:7" s="60" customFormat="1" ht="15.75">
      <c r="A9" s="17" t="s">
        <v>281</v>
      </c>
      <c r="B9" s="106">
        <f>рейтинг!O7</f>
        <v>1.74</v>
      </c>
      <c r="C9" s="107">
        <v>57130</v>
      </c>
      <c r="D9" s="61">
        <f t="shared" si="0"/>
        <v>2600</v>
      </c>
      <c r="E9" s="59"/>
      <c r="F9" s="59"/>
      <c r="G9" s="59"/>
    </row>
    <row r="10" spans="1:7" s="60" customFormat="1" ht="15.75">
      <c r="A10" s="17" t="s">
        <v>282</v>
      </c>
      <c r="B10" s="106">
        <f>рейтинг!O16</f>
        <v>1.37</v>
      </c>
      <c r="C10" s="107">
        <v>28097</v>
      </c>
      <c r="D10" s="61">
        <f t="shared" si="0"/>
        <v>1740</v>
      </c>
      <c r="E10" s="59"/>
      <c r="F10" s="59"/>
      <c r="G10" s="59"/>
    </row>
    <row r="11" spans="1:7" s="60" customFormat="1" ht="15.75">
      <c r="A11" s="17" t="s">
        <v>283</v>
      </c>
      <c r="B11" s="106">
        <f>рейтинг!O6</f>
        <v>1.14</v>
      </c>
      <c r="C11" s="107">
        <v>107274</v>
      </c>
      <c r="D11" s="61">
        <f t="shared" si="0"/>
        <v>2974</v>
      </c>
      <c r="E11" s="59"/>
      <c r="F11" s="59"/>
      <c r="G11" s="59"/>
    </row>
    <row r="12" spans="1:4" ht="15.75">
      <c r="A12" s="14" t="s">
        <v>44</v>
      </c>
      <c r="B12" s="92"/>
      <c r="C12" s="18">
        <f>SUM($C$5:$C$11)</f>
        <v>343531</v>
      </c>
      <c r="D12" s="18">
        <f>SUM($D$5:$D$11)</f>
        <v>25000</v>
      </c>
    </row>
  </sheetData>
  <sheetProtection/>
  <mergeCells count="1">
    <mergeCell ref="A1:D1"/>
  </mergeCells>
  <printOptions horizontalCentered="1" vertic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SheetLayoutView="100" zoomScalePageLayoutView="0" workbookViewId="0" topLeftCell="A16">
      <selection activeCell="A2" sqref="A2"/>
    </sheetView>
  </sheetViews>
  <sheetFormatPr defaultColWidth="8.7109375" defaultRowHeight="15"/>
  <cols>
    <col min="1" max="1" width="24.57421875" style="31" customWidth="1"/>
    <col min="2" max="2" width="23.421875" style="31" customWidth="1"/>
    <col min="3" max="4" width="17.28125" style="31" customWidth="1"/>
    <col min="5" max="5" width="15.57421875" style="31" customWidth="1"/>
    <col min="6" max="6" width="20.57421875" style="31" customWidth="1"/>
    <col min="7" max="7" width="21.7109375" style="31" customWidth="1"/>
    <col min="8" max="8" width="20.57421875" style="31" customWidth="1"/>
    <col min="9" max="9" width="21.28125" style="31" customWidth="1"/>
    <col min="10" max="10" width="21.00390625" style="31" customWidth="1"/>
    <col min="11" max="16384" width="8.7109375" style="31" customWidth="1"/>
  </cols>
  <sheetData>
    <row r="1" spans="1:10" ht="25.5" customHeight="1">
      <c r="A1" s="109" t="s">
        <v>168</v>
      </c>
      <c r="B1" s="109"/>
      <c r="C1" s="109"/>
      <c r="D1" s="109"/>
      <c r="E1" s="109"/>
      <c r="F1" s="109"/>
      <c r="G1" s="109"/>
      <c r="H1" s="109"/>
      <c r="I1" s="109"/>
      <c r="J1" s="109"/>
    </row>
    <row r="3" spans="1:10" s="35" customFormat="1" ht="24.75" customHeight="1">
      <c r="A3" s="110" t="s">
        <v>39</v>
      </c>
      <c r="B3" s="110" t="s">
        <v>234</v>
      </c>
      <c r="C3" s="110"/>
      <c r="D3" s="110"/>
      <c r="E3" s="110"/>
      <c r="F3" s="110"/>
      <c r="G3" s="110" t="s">
        <v>235</v>
      </c>
      <c r="H3" s="110"/>
      <c r="I3" s="110"/>
      <c r="J3" s="110" t="s">
        <v>236</v>
      </c>
    </row>
    <row r="4" spans="1:10" s="35" customFormat="1" ht="126.75" customHeight="1">
      <c r="A4" s="110"/>
      <c r="B4" s="28" t="s">
        <v>97</v>
      </c>
      <c r="C4" s="28" t="s">
        <v>104</v>
      </c>
      <c r="D4" s="28" t="s">
        <v>164</v>
      </c>
      <c r="E4" s="28" t="s">
        <v>165</v>
      </c>
      <c r="F4" s="28" t="s">
        <v>166</v>
      </c>
      <c r="G4" s="28" t="s">
        <v>98</v>
      </c>
      <c r="H4" s="28" t="s">
        <v>106</v>
      </c>
      <c r="I4" s="28" t="s">
        <v>99</v>
      </c>
      <c r="J4" s="110"/>
    </row>
    <row r="5" spans="1:10" s="33" customFormat="1" ht="15.7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 t="s">
        <v>160</v>
      </c>
      <c r="G5" s="34">
        <v>7</v>
      </c>
      <c r="H5" s="34">
        <v>8</v>
      </c>
      <c r="I5" s="34" t="s">
        <v>100</v>
      </c>
      <c r="J5" s="34" t="s">
        <v>167</v>
      </c>
    </row>
    <row r="6" spans="1:10" ht="15.75">
      <c r="A6" s="71" t="s">
        <v>0</v>
      </c>
      <c r="B6" s="81">
        <v>-1405918903.8</v>
      </c>
      <c r="C6" s="81">
        <v>640336903.8</v>
      </c>
      <c r="D6" s="81">
        <v>0</v>
      </c>
      <c r="E6" s="81">
        <v>0</v>
      </c>
      <c r="F6" s="81">
        <f>IF(SUM($B6:$E6)&lt;0,SUM($B6:$E6),0)</f>
        <v>-765582000</v>
      </c>
      <c r="G6" s="83">
        <v>23147264703.85</v>
      </c>
      <c r="H6" s="83">
        <v>9033496103.85</v>
      </c>
      <c r="I6" s="53">
        <f>$G6-$H6</f>
        <v>14113768599.999998</v>
      </c>
      <c r="J6" s="53">
        <f>-$F6/$I6*100</f>
        <v>5.424362703523424</v>
      </c>
    </row>
    <row r="7" spans="1:10" ht="15.75">
      <c r="A7" s="71" t="s">
        <v>1</v>
      </c>
      <c r="B7" s="81">
        <v>-1199318772.87</v>
      </c>
      <c r="C7" s="81">
        <v>555441772.87</v>
      </c>
      <c r="D7" s="81">
        <v>0</v>
      </c>
      <c r="E7" s="81">
        <v>0</v>
      </c>
      <c r="F7" s="81">
        <f aca="true" t="shared" si="0" ref="F7:F42">IF(SUM($B7:$E7)&lt;0,SUM($B7:$E7),0)</f>
        <v>-643876999.9999999</v>
      </c>
      <c r="G7" s="83">
        <v>11757865797.55</v>
      </c>
      <c r="H7" s="83">
        <v>5195007797.55</v>
      </c>
      <c r="I7" s="53">
        <f aca="true" t="shared" si="1" ref="I7:I42">$G7-$H7</f>
        <v>6562857999.999999</v>
      </c>
      <c r="J7" s="53">
        <f aca="true" t="shared" si="2" ref="J7:J42">-$F7/$I7*100</f>
        <v>9.810923838364321</v>
      </c>
    </row>
    <row r="8" spans="1:10" ht="15.75">
      <c r="A8" s="71" t="s">
        <v>2</v>
      </c>
      <c r="B8" s="81">
        <v>-260711921.03</v>
      </c>
      <c r="C8" s="81">
        <v>265873279.03</v>
      </c>
      <c r="D8" s="81">
        <v>0</v>
      </c>
      <c r="E8" s="81">
        <v>0</v>
      </c>
      <c r="F8" s="81">
        <f t="shared" si="0"/>
        <v>0</v>
      </c>
      <c r="G8" s="83">
        <v>2558218849.22</v>
      </c>
      <c r="H8" s="83">
        <v>1280774751.22</v>
      </c>
      <c r="I8" s="53">
        <f t="shared" si="1"/>
        <v>1277444097.9999998</v>
      </c>
      <c r="J8" s="53">
        <f t="shared" si="2"/>
        <v>0</v>
      </c>
    </row>
    <row r="9" spans="1:10" ht="15.75">
      <c r="A9" s="71" t="s">
        <v>3</v>
      </c>
      <c r="B9" s="81">
        <v>-264996000</v>
      </c>
      <c r="C9" s="81">
        <v>165996000</v>
      </c>
      <c r="D9" s="81">
        <v>0</v>
      </c>
      <c r="E9" s="81">
        <v>99000000</v>
      </c>
      <c r="F9" s="81">
        <f t="shared" si="0"/>
        <v>0</v>
      </c>
      <c r="G9" s="83">
        <v>2107564000</v>
      </c>
      <c r="H9" s="83">
        <v>919938000</v>
      </c>
      <c r="I9" s="53">
        <f t="shared" si="1"/>
        <v>1187626000</v>
      </c>
      <c r="J9" s="53">
        <f t="shared" si="2"/>
        <v>0</v>
      </c>
    </row>
    <row r="10" spans="1:10" ht="15.75">
      <c r="A10" s="71" t="s">
        <v>4</v>
      </c>
      <c r="B10" s="81">
        <v>-91076597.71</v>
      </c>
      <c r="C10" s="81">
        <v>91076597.71</v>
      </c>
      <c r="D10" s="81">
        <v>0</v>
      </c>
      <c r="E10" s="81">
        <v>0</v>
      </c>
      <c r="F10" s="81">
        <f t="shared" si="0"/>
        <v>0</v>
      </c>
      <c r="G10" s="83">
        <v>954451036</v>
      </c>
      <c r="H10" s="83">
        <v>629170036</v>
      </c>
      <c r="I10" s="53">
        <f t="shared" si="1"/>
        <v>325281000</v>
      </c>
      <c r="J10" s="53">
        <f t="shared" si="2"/>
        <v>0</v>
      </c>
    </row>
    <row r="11" spans="1:10" ht="15.75">
      <c r="A11" s="71" t="s">
        <v>5</v>
      </c>
      <c r="B11" s="81">
        <v>-179799689.09</v>
      </c>
      <c r="C11" s="81">
        <v>157870689.09</v>
      </c>
      <c r="D11" s="81">
        <v>0</v>
      </c>
      <c r="E11" s="81">
        <v>21929000</v>
      </c>
      <c r="F11" s="81">
        <f t="shared" si="0"/>
        <v>0</v>
      </c>
      <c r="G11" s="83">
        <v>787936941.69</v>
      </c>
      <c r="H11" s="83">
        <v>394037441.69</v>
      </c>
      <c r="I11" s="53">
        <f t="shared" si="1"/>
        <v>393899500.00000006</v>
      </c>
      <c r="J11" s="53">
        <f t="shared" si="2"/>
        <v>0</v>
      </c>
    </row>
    <row r="12" spans="1:10" ht="15.75">
      <c r="A12" s="71" t="s">
        <v>6</v>
      </c>
      <c r="B12" s="81">
        <v>-33290495.45</v>
      </c>
      <c r="C12" s="81">
        <v>54786495.45</v>
      </c>
      <c r="D12" s="81">
        <v>0</v>
      </c>
      <c r="E12" s="81">
        <v>0</v>
      </c>
      <c r="F12" s="81">
        <f t="shared" si="0"/>
        <v>0</v>
      </c>
      <c r="G12" s="83">
        <v>1367214179.99</v>
      </c>
      <c r="H12" s="83">
        <v>1015619622.79</v>
      </c>
      <c r="I12" s="53">
        <f t="shared" si="1"/>
        <v>351594557.20000005</v>
      </c>
      <c r="J12" s="53">
        <f t="shared" si="2"/>
        <v>0</v>
      </c>
    </row>
    <row r="13" spans="1:10" ht="15.75">
      <c r="A13" s="71" t="s">
        <v>7</v>
      </c>
      <c r="B13" s="81">
        <v>-21920224.99</v>
      </c>
      <c r="C13" s="81">
        <v>7589707.3</v>
      </c>
      <c r="D13" s="81">
        <v>0</v>
      </c>
      <c r="E13" s="81">
        <v>14330517.69</v>
      </c>
      <c r="F13" s="81">
        <f t="shared" si="0"/>
        <v>0</v>
      </c>
      <c r="G13" s="83">
        <v>579659910.44</v>
      </c>
      <c r="H13" s="83">
        <v>434422010.44</v>
      </c>
      <c r="I13" s="53">
        <f t="shared" si="1"/>
        <v>145237900.00000006</v>
      </c>
      <c r="J13" s="53">
        <f t="shared" si="2"/>
        <v>0</v>
      </c>
    </row>
    <row r="14" spans="1:10" ht="15.75">
      <c r="A14" s="71" t="s">
        <v>8</v>
      </c>
      <c r="B14" s="81">
        <v>-58048253.51</v>
      </c>
      <c r="C14" s="81">
        <v>58048253.51</v>
      </c>
      <c r="D14" s="81">
        <v>0</v>
      </c>
      <c r="E14" s="81">
        <v>0</v>
      </c>
      <c r="F14" s="81">
        <f t="shared" si="0"/>
        <v>0</v>
      </c>
      <c r="G14" s="83">
        <v>816236000</v>
      </c>
      <c r="H14" s="83">
        <v>469087000</v>
      </c>
      <c r="I14" s="53">
        <f t="shared" si="1"/>
        <v>347149000</v>
      </c>
      <c r="J14" s="53">
        <f t="shared" si="2"/>
        <v>0</v>
      </c>
    </row>
    <row r="15" spans="1:10" ht="15.75">
      <c r="A15" s="71" t="s">
        <v>9</v>
      </c>
      <c r="B15" s="81">
        <v>-83602767.72</v>
      </c>
      <c r="C15" s="81">
        <v>83602767.72</v>
      </c>
      <c r="D15" s="81">
        <v>0</v>
      </c>
      <c r="E15" s="81">
        <v>0</v>
      </c>
      <c r="F15" s="81">
        <f t="shared" si="0"/>
        <v>0</v>
      </c>
      <c r="G15" s="83">
        <v>654178000</v>
      </c>
      <c r="H15" s="83">
        <v>467320000</v>
      </c>
      <c r="I15" s="53">
        <f t="shared" si="1"/>
        <v>186858000</v>
      </c>
      <c r="J15" s="53">
        <f t="shared" si="2"/>
        <v>0</v>
      </c>
    </row>
    <row r="16" spans="1:10" ht="15.75">
      <c r="A16" s="71" t="s">
        <v>10</v>
      </c>
      <c r="B16" s="81">
        <v>-25843519.56</v>
      </c>
      <c r="C16" s="81">
        <v>25843519.56</v>
      </c>
      <c r="D16" s="81">
        <v>0</v>
      </c>
      <c r="E16" s="81">
        <v>0</v>
      </c>
      <c r="F16" s="81">
        <f t="shared" si="0"/>
        <v>0</v>
      </c>
      <c r="G16" s="83">
        <v>142053181.59</v>
      </c>
      <c r="H16" s="83">
        <v>112711278.86</v>
      </c>
      <c r="I16" s="53">
        <f t="shared" si="1"/>
        <v>29341902.730000004</v>
      </c>
      <c r="J16" s="53">
        <f t="shared" si="2"/>
        <v>0</v>
      </c>
    </row>
    <row r="17" spans="1:10" ht="15.75">
      <c r="A17" s="71" t="s">
        <v>11</v>
      </c>
      <c r="B17" s="81">
        <v>-40244116.85</v>
      </c>
      <c r="C17" s="81">
        <v>33651116.85</v>
      </c>
      <c r="D17" s="81">
        <v>0</v>
      </c>
      <c r="E17" s="81">
        <v>6593000</v>
      </c>
      <c r="F17" s="81">
        <f t="shared" si="0"/>
        <v>0</v>
      </c>
      <c r="G17" s="83">
        <v>796052819.8</v>
      </c>
      <c r="H17" s="83">
        <v>649015069.62</v>
      </c>
      <c r="I17" s="53">
        <f t="shared" si="1"/>
        <v>147037750.17999995</v>
      </c>
      <c r="J17" s="53">
        <f t="shared" si="2"/>
        <v>0</v>
      </c>
    </row>
    <row r="18" spans="1:10" ht="15.75">
      <c r="A18" s="71" t="s">
        <v>12</v>
      </c>
      <c r="B18" s="81">
        <v>-2292906.2</v>
      </c>
      <c r="C18" s="81">
        <v>9457462.79</v>
      </c>
      <c r="D18" s="81">
        <v>0</v>
      </c>
      <c r="E18" s="81">
        <v>0</v>
      </c>
      <c r="F18" s="81">
        <f t="shared" si="0"/>
        <v>0</v>
      </c>
      <c r="G18" s="83">
        <v>166332040.94</v>
      </c>
      <c r="H18" s="83">
        <v>117040040.94</v>
      </c>
      <c r="I18" s="53">
        <f t="shared" si="1"/>
        <v>49292000</v>
      </c>
      <c r="J18" s="53">
        <f t="shared" si="2"/>
        <v>0</v>
      </c>
    </row>
    <row r="19" spans="1:10" ht="15.75">
      <c r="A19" s="71" t="s">
        <v>13</v>
      </c>
      <c r="B19" s="81">
        <v>-23576332.77</v>
      </c>
      <c r="C19" s="81">
        <v>15176332.77</v>
      </c>
      <c r="D19" s="81">
        <v>0</v>
      </c>
      <c r="E19" s="81">
        <v>8400000</v>
      </c>
      <c r="F19" s="81">
        <f t="shared" si="0"/>
        <v>0</v>
      </c>
      <c r="G19" s="83">
        <v>392853195.25</v>
      </c>
      <c r="H19" s="83">
        <v>314409195.25</v>
      </c>
      <c r="I19" s="53">
        <f t="shared" si="1"/>
        <v>78444000</v>
      </c>
      <c r="J19" s="53">
        <f t="shared" si="2"/>
        <v>0</v>
      </c>
    </row>
    <row r="20" spans="1:10" ht="15.75">
      <c r="A20" s="71" t="s">
        <v>14</v>
      </c>
      <c r="B20" s="81">
        <v>-158182.96</v>
      </c>
      <c r="C20" s="81">
        <v>7158182.96</v>
      </c>
      <c r="D20" s="81">
        <v>0</v>
      </c>
      <c r="E20" s="81">
        <v>0</v>
      </c>
      <c r="F20" s="81">
        <f t="shared" si="0"/>
        <v>0</v>
      </c>
      <c r="G20" s="83">
        <v>362160560.71</v>
      </c>
      <c r="H20" s="83">
        <v>255394101.71</v>
      </c>
      <c r="I20" s="53">
        <f t="shared" si="1"/>
        <v>106766458.99999997</v>
      </c>
      <c r="J20" s="53">
        <f t="shared" si="2"/>
        <v>0</v>
      </c>
    </row>
    <row r="21" spans="1:10" ht="15.75">
      <c r="A21" s="71" t="s">
        <v>15</v>
      </c>
      <c r="B21" s="81">
        <v>-32259848.73</v>
      </c>
      <c r="C21" s="81">
        <v>32259848.73</v>
      </c>
      <c r="D21" s="81">
        <v>0</v>
      </c>
      <c r="E21" s="81">
        <v>0</v>
      </c>
      <c r="F21" s="81">
        <f t="shared" si="0"/>
        <v>0</v>
      </c>
      <c r="G21" s="83">
        <v>385218097.92</v>
      </c>
      <c r="H21" s="83">
        <v>327786097.92</v>
      </c>
      <c r="I21" s="53">
        <f t="shared" si="1"/>
        <v>57432000</v>
      </c>
      <c r="J21" s="53">
        <f t="shared" si="2"/>
        <v>0</v>
      </c>
    </row>
    <row r="22" spans="1:10" ht="15.75">
      <c r="A22" s="71" t="s">
        <v>16</v>
      </c>
      <c r="B22" s="81">
        <v>-88172496</v>
      </c>
      <c r="C22" s="81">
        <v>43172496</v>
      </c>
      <c r="D22" s="81">
        <v>0</v>
      </c>
      <c r="E22" s="81">
        <v>44000000</v>
      </c>
      <c r="F22" s="81">
        <f t="shared" si="0"/>
        <v>-1000000</v>
      </c>
      <c r="G22" s="83">
        <v>1033214670</v>
      </c>
      <c r="H22" s="83">
        <v>393594596.24</v>
      </c>
      <c r="I22" s="53">
        <f t="shared" si="1"/>
        <v>639620073.76</v>
      </c>
      <c r="J22" s="53">
        <f t="shared" si="2"/>
        <v>0.15634281052524043</v>
      </c>
    </row>
    <row r="23" spans="1:10" ht="15.75">
      <c r="A23" s="71" t="s">
        <v>17</v>
      </c>
      <c r="B23" s="81">
        <v>-7314582.07</v>
      </c>
      <c r="C23" s="81">
        <v>6190185.07</v>
      </c>
      <c r="D23" s="81">
        <v>0</v>
      </c>
      <c r="E23" s="81">
        <v>1124397</v>
      </c>
      <c r="F23" s="81">
        <f t="shared" si="0"/>
        <v>0</v>
      </c>
      <c r="G23" s="83">
        <v>108318243.49</v>
      </c>
      <c r="H23" s="83">
        <v>75836097.49</v>
      </c>
      <c r="I23" s="53">
        <f t="shared" si="1"/>
        <v>32482146</v>
      </c>
      <c r="J23" s="53">
        <f t="shared" si="2"/>
        <v>0</v>
      </c>
    </row>
    <row r="24" spans="1:10" ht="15.75">
      <c r="A24" s="71" t="s">
        <v>18</v>
      </c>
      <c r="B24" s="81">
        <v>-9453457.61</v>
      </c>
      <c r="C24" s="81">
        <v>7453457.61</v>
      </c>
      <c r="D24" s="81">
        <v>0</v>
      </c>
      <c r="E24" s="81">
        <v>0</v>
      </c>
      <c r="F24" s="81">
        <f t="shared" si="0"/>
        <v>-1999999.999999999</v>
      </c>
      <c r="G24" s="83">
        <v>222397829.72</v>
      </c>
      <c r="H24" s="83">
        <v>172728829.72</v>
      </c>
      <c r="I24" s="53">
        <f t="shared" si="1"/>
        <v>49669000</v>
      </c>
      <c r="J24" s="53">
        <f t="shared" si="2"/>
        <v>4.026656465803618</v>
      </c>
    </row>
    <row r="25" spans="1:10" ht="15.75">
      <c r="A25" s="71" t="s">
        <v>19</v>
      </c>
      <c r="B25" s="81">
        <v>-187013966.38</v>
      </c>
      <c r="C25" s="81">
        <v>174847966.38</v>
      </c>
      <c r="D25" s="81">
        <v>0</v>
      </c>
      <c r="E25" s="81">
        <v>10000000</v>
      </c>
      <c r="F25" s="81">
        <f t="shared" si="0"/>
        <v>-2166000</v>
      </c>
      <c r="G25" s="83">
        <v>444333022.44</v>
      </c>
      <c r="H25" s="83">
        <v>252163227.44</v>
      </c>
      <c r="I25" s="53">
        <f t="shared" si="1"/>
        <v>192169795</v>
      </c>
      <c r="J25" s="53">
        <f t="shared" si="2"/>
        <v>1.127128225328023</v>
      </c>
    </row>
    <row r="26" spans="1:10" ht="15.75">
      <c r="A26" s="71" t="s">
        <v>20</v>
      </c>
      <c r="B26" s="81">
        <v>-60631565.83</v>
      </c>
      <c r="C26" s="81">
        <v>64631565.83</v>
      </c>
      <c r="D26" s="81">
        <v>0</v>
      </c>
      <c r="E26" s="81">
        <v>0</v>
      </c>
      <c r="F26" s="81">
        <f t="shared" si="0"/>
        <v>0</v>
      </c>
      <c r="G26" s="83">
        <v>623443805.34</v>
      </c>
      <c r="H26" s="83">
        <v>459330717.21</v>
      </c>
      <c r="I26" s="53">
        <f t="shared" si="1"/>
        <v>164113088.13000005</v>
      </c>
      <c r="J26" s="53">
        <f t="shared" si="2"/>
        <v>0</v>
      </c>
    </row>
    <row r="27" spans="1:10" ht="15.75">
      <c r="A27" s="71" t="s">
        <v>21</v>
      </c>
      <c r="B27" s="81">
        <v>-11574719.96</v>
      </c>
      <c r="C27" s="81">
        <v>11574719.96</v>
      </c>
      <c r="D27" s="81">
        <v>0</v>
      </c>
      <c r="E27" s="81">
        <v>0</v>
      </c>
      <c r="F27" s="81">
        <f t="shared" si="0"/>
        <v>0</v>
      </c>
      <c r="G27" s="83">
        <v>222353747.05</v>
      </c>
      <c r="H27" s="83">
        <v>137778951.05</v>
      </c>
      <c r="I27" s="53">
        <f t="shared" si="1"/>
        <v>84574796</v>
      </c>
      <c r="J27" s="53">
        <f t="shared" si="2"/>
        <v>0</v>
      </c>
    </row>
    <row r="28" spans="1:10" ht="15.75">
      <c r="A28" s="71" t="s">
        <v>22</v>
      </c>
      <c r="B28" s="81">
        <v>-23096709.78</v>
      </c>
      <c r="C28" s="81">
        <v>23096709.78</v>
      </c>
      <c r="D28" s="81">
        <v>0</v>
      </c>
      <c r="E28" s="81">
        <v>0</v>
      </c>
      <c r="F28" s="81">
        <f t="shared" si="0"/>
        <v>0</v>
      </c>
      <c r="G28" s="83">
        <v>421050639.95</v>
      </c>
      <c r="H28" s="83">
        <v>334070993.84</v>
      </c>
      <c r="I28" s="53">
        <f t="shared" si="1"/>
        <v>86979646.11000001</v>
      </c>
      <c r="J28" s="53">
        <f t="shared" si="2"/>
        <v>0</v>
      </c>
    </row>
    <row r="29" spans="1:10" ht="15.75">
      <c r="A29" s="71" t="s">
        <v>23</v>
      </c>
      <c r="B29" s="81">
        <v>-15697604.18</v>
      </c>
      <c r="C29" s="81">
        <v>15697604.18</v>
      </c>
      <c r="D29" s="81">
        <v>0</v>
      </c>
      <c r="E29" s="81">
        <v>0</v>
      </c>
      <c r="F29" s="81">
        <f t="shared" si="0"/>
        <v>0</v>
      </c>
      <c r="G29" s="83">
        <v>302866865.97</v>
      </c>
      <c r="H29" s="83">
        <v>246479865.97</v>
      </c>
      <c r="I29" s="53">
        <f t="shared" si="1"/>
        <v>56387000.00000003</v>
      </c>
      <c r="J29" s="53">
        <f t="shared" si="2"/>
        <v>0</v>
      </c>
    </row>
    <row r="30" spans="1:10" ht="15.75">
      <c r="A30" s="71" t="s">
        <v>24</v>
      </c>
      <c r="B30" s="81">
        <v>-57125169.59</v>
      </c>
      <c r="C30" s="81">
        <v>57125169.59</v>
      </c>
      <c r="D30" s="81">
        <v>0</v>
      </c>
      <c r="E30" s="81">
        <v>0</v>
      </c>
      <c r="F30" s="81">
        <f t="shared" si="0"/>
        <v>0</v>
      </c>
      <c r="G30" s="83">
        <v>517561937.15</v>
      </c>
      <c r="H30" s="83">
        <v>266070939.15</v>
      </c>
      <c r="I30" s="53">
        <f t="shared" si="1"/>
        <v>251490997.99999997</v>
      </c>
      <c r="J30" s="53">
        <f t="shared" si="2"/>
        <v>0</v>
      </c>
    </row>
    <row r="31" spans="1:10" ht="15.75">
      <c r="A31" s="71" t="s">
        <v>25</v>
      </c>
      <c r="B31" s="81">
        <v>0</v>
      </c>
      <c r="C31" s="81">
        <v>1514278.15</v>
      </c>
      <c r="D31" s="81">
        <v>0</v>
      </c>
      <c r="E31" s="81">
        <v>0</v>
      </c>
      <c r="F31" s="81">
        <f t="shared" si="0"/>
        <v>0</v>
      </c>
      <c r="G31" s="83">
        <v>132807858.32</v>
      </c>
      <c r="H31" s="83">
        <v>100974838.32</v>
      </c>
      <c r="I31" s="53">
        <f t="shared" si="1"/>
        <v>31833020</v>
      </c>
      <c r="J31" s="53">
        <f t="shared" si="2"/>
        <v>0</v>
      </c>
    </row>
    <row r="32" spans="1:10" ht="15.75">
      <c r="A32" s="71" t="s">
        <v>26</v>
      </c>
      <c r="B32" s="81">
        <v>-62378926.25</v>
      </c>
      <c r="C32" s="81">
        <v>58410926.25</v>
      </c>
      <c r="D32" s="81">
        <v>0</v>
      </c>
      <c r="E32" s="81">
        <v>3968000</v>
      </c>
      <c r="F32" s="81">
        <f t="shared" si="0"/>
        <v>0</v>
      </c>
      <c r="G32" s="83">
        <v>477022260.26</v>
      </c>
      <c r="H32" s="83">
        <v>317016260.26</v>
      </c>
      <c r="I32" s="53">
        <f t="shared" si="1"/>
        <v>160006000</v>
      </c>
      <c r="J32" s="53">
        <f t="shared" si="2"/>
        <v>0</v>
      </c>
    </row>
    <row r="33" spans="1:10" ht="15.75">
      <c r="A33" s="71" t="s">
        <v>27</v>
      </c>
      <c r="B33" s="81">
        <v>-6401878.57</v>
      </c>
      <c r="C33" s="81">
        <v>12195878.57</v>
      </c>
      <c r="D33" s="81">
        <v>0</v>
      </c>
      <c r="E33" s="81">
        <v>0</v>
      </c>
      <c r="F33" s="81">
        <f t="shared" si="0"/>
        <v>0</v>
      </c>
      <c r="G33" s="83">
        <v>209916781.66</v>
      </c>
      <c r="H33" s="83">
        <v>141560162.66</v>
      </c>
      <c r="I33" s="53">
        <f t="shared" si="1"/>
        <v>68356619</v>
      </c>
      <c r="J33" s="53">
        <f t="shared" si="2"/>
        <v>0</v>
      </c>
    </row>
    <row r="34" spans="1:10" ht="15.75">
      <c r="A34" s="71" t="s">
        <v>28</v>
      </c>
      <c r="B34" s="81">
        <v>-43079810.91</v>
      </c>
      <c r="C34" s="81">
        <v>39477010.91</v>
      </c>
      <c r="D34" s="81">
        <v>0</v>
      </c>
      <c r="E34" s="81">
        <v>3602800</v>
      </c>
      <c r="F34" s="81">
        <f t="shared" si="0"/>
        <v>0</v>
      </c>
      <c r="G34" s="83">
        <v>498567749.25</v>
      </c>
      <c r="H34" s="83">
        <v>439466749.25</v>
      </c>
      <c r="I34" s="53">
        <f t="shared" si="1"/>
        <v>59101000</v>
      </c>
      <c r="J34" s="53">
        <f t="shared" si="2"/>
        <v>0</v>
      </c>
    </row>
    <row r="35" spans="1:10" ht="15.75">
      <c r="A35" s="71" t="s">
        <v>29</v>
      </c>
      <c r="B35" s="81">
        <v>-2386759.85</v>
      </c>
      <c r="C35" s="81">
        <v>2386759.85</v>
      </c>
      <c r="D35" s="81">
        <v>0</v>
      </c>
      <c r="E35" s="81">
        <v>0</v>
      </c>
      <c r="F35" s="81">
        <f t="shared" si="0"/>
        <v>0</v>
      </c>
      <c r="G35" s="83">
        <v>261372840.14</v>
      </c>
      <c r="H35" s="83">
        <v>199609840.14</v>
      </c>
      <c r="I35" s="53">
        <f t="shared" si="1"/>
        <v>61763000</v>
      </c>
      <c r="J35" s="53">
        <f t="shared" si="2"/>
        <v>0</v>
      </c>
    </row>
    <row r="36" spans="1:10" ht="15.75">
      <c r="A36" s="71" t="s">
        <v>30</v>
      </c>
      <c r="B36" s="81">
        <v>-47812649.58</v>
      </c>
      <c r="C36" s="81">
        <v>53870649.58</v>
      </c>
      <c r="D36" s="81">
        <v>0</v>
      </c>
      <c r="E36" s="81">
        <v>0</v>
      </c>
      <c r="F36" s="81">
        <f t="shared" si="0"/>
        <v>0</v>
      </c>
      <c r="G36" s="83">
        <v>895014355.41</v>
      </c>
      <c r="H36" s="83">
        <v>590442179.83</v>
      </c>
      <c r="I36" s="53">
        <f t="shared" si="1"/>
        <v>304572175.5799999</v>
      </c>
      <c r="J36" s="53">
        <f t="shared" si="2"/>
        <v>0</v>
      </c>
    </row>
    <row r="37" spans="1:10" ht="15.75">
      <c r="A37" s="71" t="s">
        <v>31</v>
      </c>
      <c r="B37" s="81">
        <v>-13687763.91</v>
      </c>
      <c r="C37" s="81">
        <v>13687763.91</v>
      </c>
      <c r="D37" s="81">
        <v>0</v>
      </c>
      <c r="E37" s="81">
        <v>0</v>
      </c>
      <c r="F37" s="81">
        <f t="shared" si="0"/>
        <v>0</v>
      </c>
      <c r="G37" s="83">
        <v>775685183.2</v>
      </c>
      <c r="H37" s="83">
        <v>559161797.2</v>
      </c>
      <c r="I37" s="53">
        <f t="shared" si="1"/>
        <v>216523386</v>
      </c>
      <c r="J37" s="53">
        <f t="shared" si="2"/>
        <v>0</v>
      </c>
    </row>
    <row r="38" spans="1:10" ht="15.75">
      <c r="A38" s="71" t="s">
        <v>32</v>
      </c>
      <c r="B38" s="81">
        <v>-15853985.14</v>
      </c>
      <c r="C38" s="81">
        <v>15853985.14</v>
      </c>
      <c r="D38" s="81">
        <v>0</v>
      </c>
      <c r="E38" s="81">
        <v>0</v>
      </c>
      <c r="F38" s="81">
        <f t="shared" si="0"/>
        <v>0</v>
      </c>
      <c r="G38" s="83">
        <v>309078637.29</v>
      </c>
      <c r="H38" s="83">
        <v>201171237.45</v>
      </c>
      <c r="I38" s="53">
        <f t="shared" si="1"/>
        <v>107907399.84000003</v>
      </c>
      <c r="J38" s="53">
        <f t="shared" si="2"/>
        <v>0</v>
      </c>
    </row>
    <row r="39" spans="1:10" ht="15.75">
      <c r="A39" s="71" t="s">
        <v>33</v>
      </c>
      <c r="B39" s="81">
        <v>-3113613.67</v>
      </c>
      <c r="C39" s="81">
        <v>3113613.67</v>
      </c>
      <c r="D39" s="81">
        <v>0</v>
      </c>
      <c r="E39" s="81">
        <v>0</v>
      </c>
      <c r="F39" s="81">
        <f t="shared" si="0"/>
        <v>0</v>
      </c>
      <c r="G39" s="83">
        <v>231439188.82</v>
      </c>
      <c r="H39" s="83">
        <v>188607188.82</v>
      </c>
      <c r="I39" s="53">
        <f t="shared" si="1"/>
        <v>42832000</v>
      </c>
      <c r="J39" s="53">
        <f t="shared" si="2"/>
        <v>0</v>
      </c>
    </row>
    <row r="40" spans="1:10" ht="15.75">
      <c r="A40" s="71" t="s">
        <v>34</v>
      </c>
      <c r="B40" s="81">
        <v>-12844255.26</v>
      </c>
      <c r="C40" s="81">
        <v>12844255.26</v>
      </c>
      <c r="D40" s="81">
        <v>0</v>
      </c>
      <c r="E40" s="81">
        <v>0</v>
      </c>
      <c r="F40" s="81">
        <f t="shared" si="0"/>
        <v>0</v>
      </c>
      <c r="G40" s="83">
        <v>184878775.39</v>
      </c>
      <c r="H40" s="83">
        <v>139829340.96</v>
      </c>
      <c r="I40" s="53">
        <f t="shared" si="1"/>
        <v>45049434.42999998</v>
      </c>
      <c r="J40" s="53">
        <f t="shared" si="2"/>
        <v>0</v>
      </c>
    </row>
    <row r="41" spans="1:10" ht="15.75">
      <c r="A41" s="71" t="s">
        <v>35</v>
      </c>
      <c r="B41" s="81">
        <v>-10055952.83</v>
      </c>
      <c r="C41" s="81">
        <v>11055952.83</v>
      </c>
      <c r="D41" s="81">
        <v>0</v>
      </c>
      <c r="E41" s="81">
        <v>0</v>
      </c>
      <c r="F41" s="81">
        <f t="shared" si="0"/>
        <v>0</v>
      </c>
      <c r="G41" s="83">
        <v>267017731.54</v>
      </c>
      <c r="H41" s="83">
        <v>218160740.46</v>
      </c>
      <c r="I41" s="53">
        <f t="shared" si="1"/>
        <v>48856991.07999998</v>
      </c>
      <c r="J41" s="53">
        <f t="shared" si="2"/>
        <v>0</v>
      </c>
    </row>
    <row r="42" spans="1:10" ht="15.75">
      <c r="A42" s="71" t="s">
        <v>36</v>
      </c>
      <c r="B42" s="81">
        <v>-4917933.77</v>
      </c>
      <c r="C42" s="81">
        <v>8201933.77</v>
      </c>
      <c r="D42" s="81">
        <v>0</v>
      </c>
      <c r="E42" s="81">
        <v>0</v>
      </c>
      <c r="F42" s="81">
        <f t="shared" si="0"/>
        <v>0</v>
      </c>
      <c r="G42" s="83">
        <v>302353959.39</v>
      </c>
      <c r="H42" s="83">
        <v>249455192.39</v>
      </c>
      <c r="I42" s="53">
        <f t="shared" si="1"/>
        <v>52898767</v>
      </c>
      <c r="J42" s="53">
        <f t="shared" si="2"/>
        <v>0</v>
      </c>
    </row>
    <row r="43" spans="1:10" s="74" customFormat="1" ht="15.75">
      <c r="A43" s="14" t="s">
        <v>44</v>
      </c>
      <c r="B43" s="72">
        <f>SUM(B$6:B$42)</f>
        <v>-4405672334.380002</v>
      </c>
      <c r="C43" s="72">
        <f aca="true" t="shared" si="3" ref="C43:I43">SUM(C$6:C$42)</f>
        <v>2840571812.4300003</v>
      </c>
      <c r="D43" s="72">
        <f t="shared" si="3"/>
        <v>0</v>
      </c>
      <c r="E43" s="72">
        <f t="shared" si="3"/>
        <v>212947714.69</v>
      </c>
      <c r="F43" s="72">
        <f t="shared" si="3"/>
        <v>-1414625000</v>
      </c>
      <c r="G43" s="72">
        <f t="shared" si="3"/>
        <v>55415955396.73</v>
      </c>
      <c r="H43" s="72">
        <f t="shared" si="3"/>
        <v>27298738293.69</v>
      </c>
      <c r="I43" s="72">
        <f t="shared" si="3"/>
        <v>28117217103.039997</v>
      </c>
      <c r="J43" s="73"/>
    </row>
    <row r="45" spans="6:9" ht="15.75">
      <c r="F45" s="44"/>
      <c r="I45" s="44">
        <f>$G$43-$H$43-$I$43</f>
        <v>0</v>
      </c>
    </row>
  </sheetData>
  <sheetProtection/>
  <mergeCells count="5">
    <mergeCell ref="A1:J1"/>
    <mergeCell ref="A3:A4"/>
    <mergeCell ref="B3:F3"/>
    <mergeCell ref="G3:I3"/>
    <mergeCell ref="J3:J4"/>
  </mergeCells>
  <printOptions horizontalCentered="1"/>
  <pageMargins left="0.23" right="0.15748031496062992" top="0.15748031496062992" bottom="0.15748031496062992" header="0.15748031496062992" footer="0.15748031496062992"/>
  <pageSetup fitToHeight="1" fitToWidth="1" horizontalDpi="600" verticalDpi="600" orientation="landscape" paperSize="9" scale="70" r:id="rId1"/>
  <colBreaks count="1" manualBreakCount="1">
    <brk id="4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SheetLayoutView="100" zoomScalePageLayoutView="0" workbookViewId="0" topLeftCell="A10">
      <selection activeCell="B2" sqref="B1:H16384"/>
    </sheetView>
  </sheetViews>
  <sheetFormatPr defaultColWidth="8.7109375" defaultRowHeight="15"/>
  <cols>
    <col min="1" max="1" width="24.421875" style="31" customWidth="1"/>
    <col min="2" max="2" width="18.421875" style="31" bestFit="1" customWidth="1"/>
    <col min="3" max="3" width="18.00390625" style="31" bestFit="1" customWidth="1"/>
    <col min="4" max="6" width="18.421875" style="31" bestFit="1" customWidth="1"/>
    <col min="7" max="7" width="19.00390625" style="31" bestFit="1" customWidth="1"/>
    <col min="8" max="8" width="21.7109375" style="31" bestFit="1" customWidth="1"/>
    <col min="9" max="16384" width="8.7109375" style="31" customWidth="1"/>
  </cols>
  <sheetData>
    <row r="1" spans="1:8" ht="27" customHeight="1">
      <c r="A1" s="109" t="s">
        <v>172</v>
      </c>
      <c r="B1" s="109"/>
      <c r="C1" s="109"/>
      <c r="D1" s="109"/>
      <c r="E1" s="109"/>
      <c r="F1" s="109"/>
      <c r="G1" s="109"/>
      <c r="H1" s="109"/>
    </row>
    <row r="3" spans="1:8" s="35" customFormat="1" ht="24.75" customHeight="1">
      <c r="A3" s="110" t="s">
        <v>39</v>
      </c>
      <c r="B3" s="110" t="s">
        <v>237</v>
      </c>
      <c r="C3" s="110"/>
      <c r="D3" s="110"/>
      <c r="E3" s="110" t="s">
        <v>235</v>
      </c>
      <c r="F3" s="110"/>
      <c r="G3" s="110"/>
      <c r="H3" s="110" t="s">
        <v>238</v>
      </c>
    </row>
    <row r="4" spans="1:8" s="35" customFormat="1" ht="120" customHeight="1">
      <c r="A4" s="110"/>
      <c r="B4" s="28" t="s">
        <v>169</v>
      </c>
      <c r="C4" s="28" t="s">
        <v>161</v>
      </c>
      <c r="D4" s="28" t="s">
        <v>170</v>
      </c>
      <c r="E4" s="28" t="s">
        <v>98</v>
      </c>
      <c r="F4" s="28" t="s">
        <v>106</v>
      </c>
      <c r="G4" s="28" t="s">
        <v>99</v>
      </c>
      <c r="H4" s="110"/>
    </row>
    <row r="5" spans="1:8" s="33" customFormat="1" ht="15.75">
      <c r="A5" s="34">
        <v>1</v>
      </c>
      <c r="B5" s="34">
        <v>2</v>
      </c>
      <c r="C5" s="34">
        <v>3</v>
      </c>
      <c r="D5" s="34" t="s">
        <v>151</v>
      </c>
      <c r="E5" s="34">
        <v>5</v>
      </c>
      <c r="F5" s="34">
        <v>6</v>
      </c>
      <c r="G5" s="34" t="s">
        <v>162</v>
      </c>
      <c r="H5" s="34" t="s">
        <v>171</v>
      </c>
    </row>
    <row r="6" spans="1:8" ht="15.75">
      <c r="A6" s="71" t="s">
        <v>0</v>
      </c>
      <c r="B6" s="83">
        <v>6314090800</v>
      </c>
      <c r="C6" s="83">
        <v>516300000</v>
      </c>
      <c r="D6" s="81">
        <f>$B6-$C6</f>
        <v>5797790800</v>
      </c>
      <c r="E6" s="83">
        <v>23147264703.85</v>
      </c>
      <c r="F6" s="83">
        <v>9033496103.85</v>
      </c>
      <c r="G6" s="53">
        <f>$E6-$F6</f>
        <v>14113768599.999998</v>
      </c>
      <c r="H6" s="53">
        <f>$D6/$G6*100</f>
        <v>41.07897021919433</v>
      </c>
    </row>
    <row r="7" spans="1:8" ht="15.75">
      <c r="A7" s="71" t="s">
        <v>1</v>
      </c>
      <c r="B7" s="83">
        <v>4402012934.62</v>
      </c>
      <c r="C7" s="83">
        <v>300000000</v>
      </c>
      <c r="D7" s="81">
        <f aca="true" t="shared" si="0" ref="D7:D42">$B7-$C7</f>
        <v>4102012934.62</v>
      </c>
      <c r="E7" s="83">
        <v>11757865797.55</v>
      </c>
      <c r="F7" s="83">
        <v>5195007797.55</v>
      </c>
      <c r="G7" s="53">
        <f aca="true" t="shared" si="1" ref="G7:G42">$E7-$F7</f>
        <v>6562857999.999999</v>
      </c>
      <c r="H7" s="53">
        <f aca="true" t="shared" si="2" ref="H7:H42">$D7/$G7*100</f>
        <v>62.50345405340174</v>
      </c>
    </row>
    <row r="8" spans="1:8" ht="15.75">
      <c r="A8" s="71" t="s">
        <v>2</v>
      </c>
      <c r="B8" s="83">
        <v>111627940.09</v>
      </c>
      <c r="C8" s="83">
        <v>16443940.09</v>
      </c>
      <c r="D8" s="81">
        <f t="shared" si="0"/>
        <v>95184000</v>
      </c>
      <c r="E8" s="83">
        <v>2558218849.22</v>
      </c>
      <c r="F8" s="83">
        <v>1280774751.22</v>
      </c>
      <c r="G8" s="53">
        <f t="shared" si="1"/>
        <v>1277444097.9999998</v>
      </c>
      <c r="H8" s="53">
        <f t="shared" si="2"/>
        <v>7.451128401549828</v>
      </c>
    </row>
    <row r="9" spans="1:8" ht="15.75">
      <c r="A9" s="71" t="s">
        <v>3</v>
      </c>
      <c r="B9" s="83">
        <v>50707000</v>
      </c>
      <c r="C9" s="83">
        <v>50707000</v>
      </c>
      <c r="D9" s="81">
        <f t="shared" si="0"/>
        <v>0</v>
      </c>
      <c r="E9" s="83">
        <v>2107564000</v>
      </c>
      <c r="F9" s="83">
        <v>919938000</v>
      </c>
      <c r="G9" s="53">
        <f t="shared" si="1"/>
        <v>1187626000</v>
      </c>
      <c r="H9" s="53">
        <f t="shared" si="2"/>
        <v>0</v>
      </c>
    </row>
    <row r="10" spans="1:8" ht="15.75">
      <c r="A10" s="71" t="s">
        <v>4</v>
      </c>
      <c r="B10" s="83">
        <v>121000000</v>
      </c>
      <c r="C10" s="83">
        <v>0</v>
      </c>
      <c r="D10" s="81">
        <f t="shared" si="0"/>
        <v>121000000</v>
      </c>
      <c r="E10" s="83">
        <v>954451036</v>
      </c>
      <c r="F10" s="83">
        <v>629170036</v>
      </c>
      <c r="G10" s="53">
        <f t="shared" si="1"/>
        <v>325281000</v>
      </c>
      <c r="H10" s="53">
        <f t="shared" si="2"/>
        <v>37.198606743092895</v>
      </c>
    </row>
    <row r="11" spans="1:8" ht="15.75">
      <c r="A11" s="71" t="s">
        <v>5</v>
      </c>
      <c r="B11" s="83">
        <v>24581000</v>
      </c>
      <c r="C11" s="83">
        <v>24581000</v>
      </c>
      <c r="D11" s="81">
        <f t="shared" si="0"/>
        <v>0</v>
      </c>
      <c r="E11" s="83">
        <v>787936941.69</v>
      </c>
      <c r="F11" s="83">
        <v>394037441.69</v>
      </c>
      <c r="G11" s="53">
        <f t="shared" si="1"/>
        <v>393899500.00000006</v>
      </c>
      <c r="H11" s="53">
        <f t="shared" si="2"/>
        <v>0</v>
      </c>
    </row>
    <row r="12" spans="1:8" ht="15.75">
      <c r="A12" s="71" t="s">
        <v>6</v>
      </c>
      <c r="B12" s="83">
        <v>35496000</v>
      </c>
      <c r="C12" s="83">
        <v>35496000</v>
      </c>
      <c r="D12" s="81">
        <f t="shared" si="0"/>
        <v>0</v>
      </c>
      <c r="E12" s="83">
        <v>1367214179.99</v>
      </c>
      <c r="F12" s="83">
        <v>1015619622.79</v>
      </c>
      <c r="G12" s="53">
        <f t="shared" si="1"/>
        <v>351594557.20000005</v>
      </c>
      <c r="H12" s="53">
        <f t="shared" si="2"/>
        <v>0</v>
      </c>
    </row>
    <row r="13" spans="1:8" ht="15.75">
      <c r="A13" s="71" t="s">
        <v>7</v>
      </c>
      <c r="B13" s="83">
        <v>79847000</v>
      </c>
      <c r="C13" s="83">
        <v>69180000</v>
      </c>
      <c r="D13" s="81">
        <f t="shared" si="0"/>
        <v>10667000</v>
      </c>
      <c r="E13" s="83">
        <v>579659910.44</v>
      </c>
      <c r="F13" s="83">
        <v>434422010.44</v>
      </c>
      <c r="G13" s="53">
        <f t="shared" si="1"/>
        <v>145237900.00000006</v>
      </c>
      <c r="H13" s="53">
        <f t="shared" si="2"/>
        <v>7.344501676215365</v>
      </c>
    </row>
    <row r="14" spans="1:8" ht="15.75">
      <c r="A14" s="71" t="s">
        <v>8</v>
      </c>
      <c r="B14" s="83">
        <v>0</v>
      </c>
      <c r="C14" s="83">
        <v>0</v>
      </c>
      <c r="D14" s="81">
        <f t="shared" si="0"/>
        <v>0</v>
      </c>
      <c r="E14" s="83">
        <v>816236000</v>
      </c>
      <c r="F14" s="83">
        <v>469087000</v>
      </c>
      <c r="G14" s="53">
        <f t="shared" si="1"/>
        <v>347149000</v>
      </c>
      <c r="H14" s="53">
        <f t="shared" si="2"/>
        <v>0</v>
      </c>
    </row>
    <row r="15" spans="1:8" ht="15.75">
      <c r="A15" s="71" t="s">
        <v>9</v>
      </c>
      <c r="B15" s="83">
        <v>0</v>
      </c>
      <c r="C15" s="83">
        <v>0</v>
      </c>
      <c r="D15" s="81">
        <f t="shared" si="0"/>
        <v>0</v>
      </c>
      <c r="E15" s="83">
        <v>654178000</v>
      </c>
      <c r="F15" s="83">
        <v>467320000</v>
      </c>
      <c r="G15" s="53">
        <f t="shared" si="1"/>
        <v>186858000</v>
      </c>
      <c r="H15" s="53">
        <f t="shared" si="2"/>
        <v>0</v>
      </c>
    </row>
    <row r="16" spans="1:8" ht="15.75">
      <c r="A16" s="71" t="s">
        <v>10</v>
      </c>
      <c r="B16" s="83">
        <v>0</v>
      </c>
      <c r="C16" s="83">
        <v>0</v>
      </c>
      <c r="D16" s="81">
        <f t="shared" si="0"/>
        <v>0</v>
      </c>
      <c r="E16" s="83">
        <v>142053181.59</v>
      </c>
      <c r="F16" s="83">
        <v>112711278.86</v>
      </c>
      <c r="G16" s="53">
        <f t="shared" si="1"/>
        <v>29341902.730000004</v>
      </c>
      <c r="H16" s="53">
        <f t="shared" si="2"/>
        <v>0</v>
      </c>
    </row>
    <row r="17" spans="1:8" ht="15.75">
      <c r="A17" s="71" t="s">
        <v>11</v>
      </c>
      <c r="B17" s="83">
        <v>51021802.09</v>
      </c>
      <c r="C17" s="83">
        <v>37996802.09</v>
      </c>
      <c r="D17" s="81">
        <f t="shared" si="0"/>
        <v>13025000</v>
      </c>
      <c r="E17" s="83">
        <v>796052819.8</v>
      </c>
      <c r="F17" s="83">
        <v>649015069.62</v>
      </c>
      <c r="G17" s="53">
        <f t="shared" si="1"/>
        <v>147037750.17999995</v>
      </c>
      <c r="H17" s="53">
        <f t="shared" si="2"/>
        <v>8.858269379159516</v>
      </c>
    </row>
    <row r="18" spans="1:8" ht="15.75">
      <c r="A18" s="71" t="s">
        <v>12</v>
      </c>
      <c r="B18" s="83">
        <v>26830000</v>
      </c>
      <c r="C18" s="83">
        <v>26830000</v>
      </c>
      <c r="D18" s="81">
        <f t="shared" si="0"/>
        <v>0</v>
      </c>
      <c r="E18" s="83">
        <v>166332040.94</v>
      </c>
      <c r="F18" s="83">
        <v>117040040.94</v>
      </c>
      <c r="G18" s="53">
        <f t="shared" si="1"/>
        <v>49292000</v>
      </c>
      <c r="H18" s="53">
        <f t="shared" si="2"/>
        <v>0</v>
      </c>
    </row>
    <row r="19" spans="1:8" ht="15.75">
      <c r="A19" s="71" t="s">
        <v>13</v>
      </c>
      <c r="B19" s="83">
        <v>44400000</v>
      </c>
      <c r="C19" s="83">
        <v>44400000</v>
      </c>
      <c r="D19" s="81">
        <f t="shared" si="0"/>
        <v>0</v>
      </c>
      <c r="E19" s="83">
        <v>392853195.25</v>
      </c>
      <c r="F19" s="83">
        <v>314409195.25</v>
      </c>
      <c r="G19" s="53">
        <f t="shared" si="1"/>
        <v>78444000</v>
      </c>
      <c r="H19" s="53">
        <f t="shared" si="2"/>
        <v>0</v>
      </c>
    </row>
    <row r="20" spans="1:8" ht="15.75">
      <c r="A20" s="71" t="s">
        <v>14</v>
      </c>
      <c r="B20" s="83">
        <v>9987000</v>
      </c>
      <c r="C20" s="83">
        <v>9987000</v>
      </c>
      <c r="D20" s="81">
        <f t="shared" si="0"/>
        <v>0</v>
      </c>
      <c r="E20" s="83">
        <v>362160560.71</v>
      </c>
      <c r="F20" s="83">
        <v>255394101.71</v>
      </c>
      <c r="G20" s="53">
        <f t="shared" si="1"/>
        <v>106766458.99999997</v>
      </c>
      <c r="H20" s="53">
        <f t="shared" si="2"/>
        <v>0</v>
      </c>
    </row>
    <row r="21" spans="1:8" ht="15.75">
      <c r="A21" s="71" t="s">
        <v>15</v>
      </c>
      <c r="B21" s="83">
        <v>0</v>
      </c>
      <c r="C21" s="83">
        <v>0</v>
      </c>
      <c r="D21" s="81">
        <f t="shared" si="0"/>
        <v>0</v>
      </c>
      <c r="E21" s="83">
        <v>385218097.92</v>
      </c>
      <c r="F21" s="83">
        <v>327786097.92</v>
      </c>
      <c r="G21" s="53">
        <f t="shared" si="1"/>
        <v>57432000</v>
      </c>
      <c r="H21" s="53">
        <f t="shared" si="2"/>
        <v>0</v>
      </c>
    </row>
    <row r="22" spans="1:8" ht="15.75">
      <c r="A22" s="71" t="s">
        <v>16</v>
      </c>
      <c r="B22" s="83">
        <v>93060000</v>
      </c>
      <c r="C22" s="83">
        <v>93060000</v>
      </c>
      <c r="D22" s="81">
        <f t="shared" si="0"/>
        <v>0</v>
      </c>
      <c r="E22" s="83">
        <v>1033214670</v>
      </c>
      <c r="F22" s="83">
        <v>393594596.24</v>
      </c>
      <c r="G22" s="53">
        <f t="shared" si="1"/>
        <v>639620073.76</v>
      </c>
      <c r="H22" s="53">
        <f t="shared" si="2"/>
        <v>0</v>
      </c>
    </row>
    <row r="23" spans="1:8" ht="15.75">
      <c r="A23" s="71" t="s">
        <v>17</v>
      </c>
      <c r="B23" s="83">
        <v>5250000</v>
      </c>
      <c r="C23" s="83">
        <v>5250000</v>
      </c>
      <c r="D23" s="81">
        <f t="shared" si="0"/>
        <v>0</v>
      </c>
      <c r="E23" s="83">
        <v>108318243.49</v>
      </c>
      <c r="F23" s="83">
        <v>75836097.49</v>
      </c>
      <c r="G23" s="53">
        <f t="shared" si="1"/>
        <v>32482146</v>
      </c>
      <c r="H23" s="53">
        <f t="shared" si="2"/>
        <v>0</v>
      </c>
    </row>
    <row r="24" spans="1:8" ht="15.75">
      <c r="A24" s="71" t="s">
        <v>18</v>
      </c>
      <c r="B24" s="83">
        <v>12154000</v>
      </c>
      <c r="C24" s="83">
        <v>12154000</v>
      </c>
      <c r="D24" s="81">
        <f t="shared" si="0"/>
        <v>0</v>
      </c>
      <c r="E24" s="83">
        <v>222397829.72</v>
      </c>
      <c r="F24" s="83">
        <v>172728829.72</v>
      </c>
      <c r="G24" s="53">
        <f t="shared" si="1"/>
        <v>49669000</v>
      </c>
      <c r="H24" s="53">
        <f t="shared" si="2"/>
        <v>0</v>
      </c>
    </row>
    <row r="25" spans="1:8" ht="15.75">
      <c r="A25" s="71" t="s">
        <v>19</v>
      </c>
      <c r="B25" s="83">
        <v>0</v>
      </c>
      <c r="C25" s="83">
        <v>0</v>
      </c>
      <c r="D25" s="81">
        <f t="shared" si="0"/>
        <v>0</v>
      </c>
      <c r="E25" s="83">
        <v>444333022.44</v>
      </c>
      <c r="F25" s="83">
        <v>252163227.44</v>
      </c>
      <c r="G25" s="53">
        <f t="shared" si="1"/>
        <v>192169795</v>
      </c>
      <c r="H25" s="53">
        <f t="shared" si="2"/>
        <v>0</v>
      </c>
    </row>
    <row r="26" spans="1:8" ht="15.75">
      <c r="A26" s="71" t="s">
        <v>20</v>
      </c>
      <c r="B26" s="83">
        <v>0</v>
      </c>
      <c r="C26" s="83">
        <v>0</v>
      </c>
      <c r="D26" s="81">
        <f t="shared" si="0"/>
        <v>0</v>
      </c>
      <c r="E26" s="83">
        <v>623443805.34</v>
      </c>
      <c r="F26" s="83">
        <v>459330717.21</v>
      </c>
      <c r="G26" s="53">
        <f t="shared" si="1"/>
        <v>164113088.13000005</v>
      </c>
      <c r="H26" s="53">
        <f t="shared" si="2"/>
        <v>0</v>
      </c>
    </row>
    <row r="27" spans="1:8" ht="15.75">
      <c r="A27" s="71" t="s">
        <v>21</v>
      </c>
      <c r="B27" s="83">
        <v>50750000</v>
      </c>
      <c r="C27" s="83">
        <v>50750000</v>
      </c>
      <c r="D27" s="81">
        <f t="shared" si="0"/>
        <v>0</v>
      </c>
      <c r="E27" s="83">
        <v>222353747.05</v>
      </c>
      <c r="F27" s="83">
        <v>137778951.05</v>
      </c>
      <c r="G27" s="53">
        <f t="shared" si="1"/>
        <v>84574796</v>
      </c>
      <c r="H27" s="53">
        <f t="shared" si="2"/>
        <v>0</v>
      </c>
    </row>
    <row r="28" spans="1:8" ht="15.75">
      <c r="A28" s="71" t="s">
        <v>22</v>
      </c>
      <c r="B28" s="83">
        <v>0</v>
      </c>
      <c r="C28" s="83">
        <v>0</v>
      </c>
      <c r="D28" s="81">
        <f t="shared" si="0"/>
        <v>0</v>
      </c>
      <c r="E28" s="83">
        <v>421050639.95</v>
      </c>
      <c r="F28" s="83">
        <v>334070993.84</v>
      </c>
      <c r="G28" s="53">
        <f t="shared" si="1"/>
        <v>86979646.11000001</v>
      </c>
      <c r="H28" s="53">
        <f t="shared" si="2"/>
        <v>0</v>
      </c>
    </row>
    <row r="29" spans="1:8" ht="15.75">
      <c r="A29" s="71" t="s">
        <v>23</v>
      </c>
      <c r="B29" s="83">
        <v>66484000</v>
      </c>
      <c r="C29" s="83">
        <v>66484000</v>
      </c>
      <c r="D29" s="81">
        <f t="shared" si="0"/>
        <v>0</v>
      </c>
      <c r="E29" s="83">
        <v>302866865.97</v>
      </c>
      <c r="F29" s="83">
        <v>246479865.97</v>
      </c>
      <c r="G29" s="53">
        <f t="shared" si="1"/>
        <v>56387000.00000003</v>
      </c>
      <c r="H29" s="53">
        <f t="shared" si="2"/>
        <v>0</v>
      </c>
    </row>
    <row r="30" spans="1:8" ht="15.75">
      <c r="A30" s="71" t="s">
        <v>24</v>
      </c>
      <c r="B30" s="83">
        <v>0</v>
      </c>
      <c r="C30" s="83">
        <v>0</v>
      </c>
      <c r="D30" s="81">
        <f t="shared" si="0"/>
        <v>0</v>
      </c>
      <c r="E30" s="83">
        <v>517561937.15</v>
      </c>
      <c r="F30" s="83">
        <v>266070939.15</v>
      </c>
      <c r="G30" s="53">
        <f t="shared" si="1"/>
        <v>251490997.99999997</v>
      </c>
      <c r="H30" s="53">
        <f t="shared" si="2"/>
        <v>0</v>
      </c>
    </row>
    <row r="31" spans="1:8" ht="15.75">
      <c r="A31" s="71" t="s">
        <v>25</v>
      </c>
      <c r="B31" s="83">
        <v>21307096.7</v>
      </c>
      <c r="C31" s="83">
        <v>20403000</v>
      </c>
      <c r="D31" s="81">
        <f t="shared" si="0"/>
        <v>904096.6999999993</v>
      </c>
      <c r="E31" s="83">
        <v>132807858.32</v>
      </c>
      <c r="F31" s="83">
        <v>100974838.32</v>
      </c>
      <c r="G31" s="53">
        <f t="shared" si="1"/>
        <v>31833020</v>
      </c>
      <c r="H31" s="53">
        <f t="shared" si="2"/>
        <v>2.8401223006802345</v>
      </c>
    </row>
    <row r="32" spans="1:8" ht="15.75">
      <c r="A32" s="71" t="s">
        <v>26</v>
      </c>
      <c r="B32" s="83">
        <v>9607000</v>
      </c>
      <c r="C32" s="83">
        <v>9607000</v>
      </c>
      <c r="D32" s="81">
        <f t="shared" si="0"/>
        <v>0</v>
      </c>
      <c r="E32" s="83">
        <v>477022260.26</v>
      </c>
      <c r="F32" s="83">
        <v>317016260.26</v>
      </c>
      <c r="G32" s="53">
        <f t="shared" si="1"/>
        <v>160006000</v>
      </c>
      <c r="H32" s="53">
        <f t="shared" si="2"/>
        <v>0</v>
      </c>
    </row>
    <row r="33" spans="1:8" ht="15.75">
      <c r="A33" s="71" t="s">
        <v>27</v>
      </c>
      <c r="B33" s="83">
        <v>5794000</v>
      </c>
      <c r="C33" s="83">
        <v>5794000</v>
      </c>
      <c r="D33" s="81">
        <f t="shared" si="0"/>
        <v>0</v>
      </c>
      <c r="E33" s="83">
        <v>209916781.66</v>
      </c>
      <c r="F33" s="83">
        <v>141560162.66</v>
      </c>
      <c r="G33" s="53">
        <f t="shared" si="1"/>
        <v>68356619</v>
      </c>
      <c r="H33" s="53">
        <f t="shared" si="2"/>
        <v>0</v>
      </c>
    </row>
    <row r="34" spans="1:8" ht="15.75">
      <c r="A34" s="71" t="s">
        <v>28</v>
      </c>
      <c r="B34" s="83">
        <v>1947200</v>
      </c>
      <c r="C34" s="83">
        <v>1947200</v>
      </c>
      <c r="D34" s="81">
        <f t="shared" si="0"/>
        <v>0</v>
      </c>
      <c r="E34" s="83">
        <v>498567749.25</v>
      </c>
      <c r="F34" s="83">
        <v>439466749.25</v>
      </c>
      <c r="G34" s="53">
        <f t="shared" si="1"/>
        <v>59101000</v>
      </c>
      <c r="H34" s="53">
        <f t="shared" si="2"/>
        <v>0</v>
      </c>
    </row>
    <row r="35" spans="1:8" ht="15.75">
      <c r="A35" s="71" t="s">
        <v>29</v>
      </c>
      <c r="B35" s="83">
        <v>31605000</v>
      </c>
      <c r="C35" s="83">
        <v>31605000</v>
      </c>
      <c r="D35" s="81">
        <f t="shared" si="0"/>
        <v>0</v>
      </c>
      <c r="E35" s="83">
        <v>261372840.14</v>
      </c>
      <c r="F35" s="83">
        <v>199609840.14</v>
      </c>
      <c r="G35" s="53">
        <f t="shared" si="1"/>
        <v>61763000</v>
      </c>
      <c r="H35" s="53">
        <f t="shared" si="2"/>
        <v>0</v>
      </c>
    </row>
    <row r="36" spans="1:8" ht="15.75">
      <c r="A36" s="71" t="s">
        <v>30</v>
      </c>
      <c r="B36" s="83">
        <v>86994000</v>
      </c>
      <c r="C36" s="83">
        <v>86994000</v>
      </c>
      <c r="D36" s="81">
        <f t="shared" si="0"/>
        <v>0</v>
      </c>
      <c r="E36" s="83">
        <v>895014355.41</v>
      </c>
      <c r="F36" s="83">
        <v>590442179.83</v>
      </c>
      <c r="G36" s="53">
        <f t="shared" si="1"/>
        <v>304572175.5799999</v>
      </c>
      <c r="H36" s="53">
        <f t="shared" si="2"/>
        <v>0</v>
      </c>
    </row>
    <row r="37" spans="1:8" ht="15.75">
      <c r="A37" s="71" t="s">
        <v>31</v>
      </c>
      <c r="B37" s="83">
        <v>0</v>
      </c>
      <c r="C37" s="83">
        <v>0</v>
      </c>
      <c r="D37" s="81">
        <f t="shared" si="0"/>
        <v>0</v>
      </c>
      <c r="E37" s="83">
        <v>775685183.2</v>
      </c>
      <c r="F37" s="83">
        <v>559161797.2</v>
      </c>
      <c r="G37" s="53">
        <f t="shared" si="1"/>
        <v>216523386</v>
      </c>
      <c r="H37" s="53">
        <f t="shared" si="2"/>
        <v>0</v>
      </c>
    </row>
    <row r="38" spans="1:8" ht="15.75">
      <c r="A38" s="71" t="s">
        <v>32</v>
      </c>
      <c r="B38" s="83">
        <v>0</v>
      </c>
      <c r="C38" s="83">
        <v>0</v>
      </c>
      <c r="D38" s="81">
        <f t="shared" si="0"/>
        <v>0</v>
      </c>
      <c r="E38" s="83">
        <v>309078637.29</v>
      </c>
      <c r="F38" s="83">
        <v>201171237.45</v>
      </c>
      <c r="G38" s="53">
        <f t="shared" si="1"/>
        <v>107907399.84000003</v>
      </c>
      <c r="H38" s="53">
        <f t="shared" si="2"/>
        <v>0</v>
      </c>
    </row>
    <row r="39" spans="1:8" ht="15.75">
      <c r="A39" s="71" t="s">
        <v>33</v>
      </c>
      <c r="B39" s="83">
        <v>33713000</v>
      </c>
      <c r="C39" s="83">
        <v>33713000</v>
      </c>
      <c r="D39" s="81">
        <f t="shared" si="0"/>
        <v>0</v>
      </c>
      <c r="E39" s="83">
        <v>231439188.82</v>
      </c>
      <c r="F39" s="83">
        <v>188607188.82</v>
      </c>
      <c r="G39" s="53">
        <f t="shared" si="1"/>
        <v>42832000</v>
      </c>
      <c r="H39" s="53">
        <f t="shared" si="2"/>
        <v>0</v>
      </c>
    </row>
    <row r="40" spans="1:8" ht="15.75">
      <c r="A40" s="71" t="s">
        <v>34</v>
      </c>
      <c r="B40" s="83">
        <v>0</v>
      </c>
      <c r="C40" s="83">
        <v>0</v>
      </c>
      <c r="D40" s="81">
        <f t="shared" si="0"/>
        <v>0</v>
      </c>
      <c r="E40" s="83">
        <v>184878775.39</v>
      </c>
      <c r="F40" s="83">
        <v>139829340.96</v>
      </c>
      <c r="G40" s="53">
        <f t="shared" si="1"/>
        <v>45049434.42999998</v>
      </c>
      <c r="H40" s="53">
        <f t="shared" si="2"/>
        <v>0</v>
      </c>
    </row>
    <row r="41" spans="1:8" ht="15.75">
      <c r="A41" s="71" t="s">
        <v>35</v>
      </c>
      <c r="B41" s="83">
        <v>12837000</v>
      </c>
      <c r="C41" s="83">
        <v>12837000</v>
      </c>
      <c r="D41" s="81">
        <f t="shared" si="0"/>
        <v>0</v>
      </c>
      <c r="E41" s="83">
        <v>267017731.54</v>
      </c>
      <c r="F41" s="83">
        <v>218160740.46</v>
      </c>
      <c r="G41" s="53">
        <f t="shared" si="1"/>
        <v>48856991.07999998</v>
      </c>
      <c r="H41" s="53">
        <f t="shared" si="2"/>
        <v>0</v>
      </c>
    </row>
    <row r="42" spans="1:8" ht="15.75">
      <c r="A42" s="71" t="s">
        <v>36</v>
      </c>
      <c r="B42" s="83">
        <v>17125000</v>
      </c>
      <c r="C42" s="83">
        <v>17125000</v>
      </c>
      <c r="D42" s="81">
        <f t="shared" si="0"/>
        <v>0</v>
      </c>
      <c r="E42" s="83">
        <v>302353959.39</v>
      </c>
      <c r="F42" s="83">
        <v>249455192.39</v>
      </c>
      <c r="G42" s="53">
        <f t="shared" si="1"/>
        <v>52898767</v>
      </c>
      <c r="H42" s="53">
        <f t="shared" si="2"/>
        <v>0</v>
      </c>
    </row>
    <row r="43" spans="1:8" s="74" customFormat="1" ht="15.75">
      <c r="A43" s="14" t="s">
        <v>44</v>
      </c>
      <c r="B43" s="73">
        <f aca="true" t="shared" si="3" ref="B43:G43">SUM(B$6:B$42)</f>
        <v>11720228773.5</v>
      </c>
      <c r="C43" s="73">
        <f t="shared" si="3"/>
        <v>1579644942.18</v>
      </c>
      <c r="D43" s="73">
        <f t="shared" si="3"/>
        <v>10140583831.32</v>
      </c>
      <c r="E43" s="73">
        <f t="shared" si="3"/>
        <v>55415955396.73</v>
      </c>
      <c r="F43" s="73">
        <f t="shared" si="3"/>
        <v>27298738293.69</v>
      </c>
      <c r="G43" s="73">
        <f t="shared" si="3"/>
        <v>28117217103.039997</v>
      </c>
      <c r="H43" s="75">
        <f>$D43/$G43*100</f>
        <v>36.06538938102666</v>
      </c>
    </row>
    <row r="45" spans="4:7" ht="15.75">
      <c r="D45" s="44">
        <f>$B$43-$C$43-$D$43</f>
        <v>0</v>
      </c>
      <c r="G45" s="44">
        <f>$E$43-$F$43-$G$43</f>
        <v>0</v>
      </c>
    </row>
  </sheetData>
  <sheetProtection/>
  <mergeCells count="5">
    <mergeCell ref="A1:H1"/>
    <mergeCell ref="A3:A4"/>
    <mergeCell ref="B3:D3"/>
    <mergeCell ref="E3:G3"/>
    <mergeCell ref="H3:H4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43" sqref="E43"/>
    </sheetView>
  </sheetViews>
  <sheetFormatPr defaultColWidth="8.7109375" defaultRowHeight="15"/>
  <cols>
    <col min="1" max="1" width="24.57421875" style="31" customWidth="1"/>
    <col min="2" max="2" width="17.28125" style="31" bestFit="1" customWidth="1"/>
    <col min="3" max="4" width="18.421875" style="31" bestFit="1" customWidth="1"/>
    <col min="5" max="5" width="18.57421875" style="31" bestFit="1" customWidth="1"/>
    <col min="6" max="6" width="21.421875" style="31" bestFit="1" customWidth="1"/>
    <col min="7" max="16384" width="8.7109375" style="31" customWidth="1"/>
  </cols>
  <sheetData>
    <row r="1" spans="1:6" ht="39.75" customHeight="1">
      <c r="A1" s="111" t="s">
        <v>174</v>
      </c>
      <c r="B1" s="111"/>
      <c r="C1" s="111"/>
      <c r="D1" s="111"/>
      <c r="E1" s="111"/>
      <c r="F1" s="111"/>
    </row>
    <row r="2" spans="1:6" s="35" customFormat="1" ht="128.25" customHeight="1">
      <c r="A2" s="28" t="s">
        <v>39</v>
      </c>
      <c r="B2" s="28" t="s">
        <v>239</v>
      </c>
      <c r="C2" s="28" t="s">
        <v>240</v>
      </c>
      <c r="D2" s="28" t="s">
        <v>242</v>
      </c>
      <c r="E2" s="28" t="s">
        <v>241</v>
      </c>
      <c r="F2" s="28" t="s">
        <v>175</v>
      </c>
    </row>
    <row r="3" spans="1:6" s="33" customFormat="1" ht="15.75">
      <c r="A3" s="34">
        <v>1</v>
      </c>
      <c r="B3" s="34">
        <v>2</v>
      </c>
      <c r="C3" s="34">
        <v>3</v>
      </c>
      <c r="D3" s="34">
        <v>4</v>
      </c>
      <c r="E3" s="34" t="s">
        <v>163</v>
      </c>
      <c r="F3" s="34" t="s">
        <v>173</v>
      </c>
    </row>
    <row r="4" spans="1:6" ht="15.75">
      <c r="A4" s="71" t="s">
        <v>0</v>
      </c>
      <c r="B4" s="83">
        <v>685487411.23</v>
      </c>
      <c r="C4" s="83">
        <v>24553183607.65</v>
      </c>
      <c r="D4" s="83">
        <v>6535618038.92</v>
      </c>
      <c r="E4" s="32">
        <f>$C4-$D4</f>
        <v>18017565568.730003</v>
      </c>
      <c r="F4" s="32">
        <f>$B4/$E4*100</f>
        <v>3.804550668152877</v>
      </c>
    </row>
    <row r="5" spans="1:6" ht="15.75">
      <c r="A5" s="71" t="s">
        <v>1</v>
      </c>
      <c r="B5" s="83">
        <v>577456000</v>
      </c>
      <c r="C5" s="83">
        <v>12957184570.42</v>
      </c>
      <c r="D5" s="83">
        <v>3861787261.68</v>
      </c>
      <c r="E5" s="32">
        <f aca="true" t="shared" si="0" ref="E5:E40">$C5-$D5</f>
        <v>9095397308.74</v>
      </c>
      <c r="F5" s="32">
        <f aca="true" t="shared" si="1" ref="F5:F40">$B5/$E5*100</f>
        <v>6.348881532037175</v>
      </c>
    </row>
    <row r="6" spans="1:6" ht="15.75">
      <c r="A6" s="71" t="s">
        <v>2</v>
      </c>
      <c r="B6" s="83">
        <v>15231800</v>
      </c>
      <c r="C6" s="83">
        <v>2818930770.25</v>
      </c>
      <c r="D6" s="83">
        <v>138879438.62</v>
      </c>
      <c r="E6" s="32">
        <f t="shared" si="0"/>
        <v>2680051331.63</v>
      </c>
      <c r="F6" s="32">
        <f t="shared" si="1"/>
        <v>0.5683398605181215</v>
      </c>
    </row>
    <row r="7" spans="1:6" ht="15.75">
      <c r="A7" s="71" t="s">
        <v>3</v>
      </c>
      <c r="B7" s="83">
        <v>1100000</v>
      </c>
      <c r="C7" s="83">
        <v>2372560000</v>
      </c>
      <c r="D7" s="83">
        <v>147047000</v>
      </c>
      <c r="E7" s="32">
        <f t="shared" si="0"/>
        <v>2225513000</v>
      </c>
      <c r="F7" s="32">
        <f t="shared" si="1"/>
        <v>0.04942680631387011</v>
      </c>
    </row>
    <row r="8" spans="1:6" ht="15.75">
      <c r="A8" s="71" t="s">
        <v>4</v>
      </c>
      <c r="B8" s="83">
        <v>200000</v>
      </c>
      <c r="C8" s="83">
        <v>1045527633.71</v>
      </c>
      <c r="D8" s="83">
        <v>68783300</v>
      </c>
      <c r="E8" s="32">
        <f t="shared" si="0"/>
        <v>976744333.71</v>
      </c>
      <c r="F8" s="32">
        <f t="shared" si="1"/>
        <v>0.02047618738061509</v>
      </c>
    </row>
    <row r="9" spans="1:6" ht="15.75">
      <c r="A9" s="71" t="s">
        <v>5</v>
      </c>
      <c r="B9" s="83">
        <v>300000</v>
      </c>
      <c r="C9" s="83">
        <v>967736630.78</v>
      </c>
      <c r="D9" s="83">
        <v>52396369.64</v>
      </c>
      <c r="E9" s="32">
        <f t="shared" si="0"/>
        <v>915340261.14</v>
      </c>
      <c r="F9" s="32">
        <f t="shared" si="1"/>
        <v>0.032774697315987006</v>
      </c>
    </row>
    <row r="10" spans="1:6" ht="15.75">
      <c r="A10" s="71" t="s">
        <v>6</v>
      </c>
      <c r="B10" s="83">
        <v>875000</v>
      </c>
      <c r="C10" s="83">
        <v>1400504675.44</v>
      </c>
      <c r="D10" s="83">
        <v>61116737.05</v>
      </c>
      <c r="E10" s="32">
        <f t="shared" si="0"/>
        <v>1339387938.39</v>
      </c>
      <c r="F10" s="32">
        <f t="shared" si="1"/>
        <v>0.06532834699495549</v>
      </c>
    </row>
    <row r="11" spans="1:6" ht="15.75">
      <c r="A11" s="71" t="s">
        <v>7</v>
      </c>
      <c r="B11" s="83">
        <v>2800000</v>
      </c>
      <c r="C11" s="83">
        <v>601580135.43</v>
      </c>
      <c r="D11" s="83">
        <v>64671300.15</v>
      </c>
      <c r="E11" s="32">
        <f t="shared" si="0"/>
        <v>536908835.28</v>
      </c>
      <c r="F11" s="32">
        <f t="shared" si="1"/>
        <v>0.521503804000504</v>
      </c>
    </row>
    <row r="12" spans="1:6" ht="15.75">
      <c r="A12" s="71" t="s">
        <v>8</v>
      </c>
      <c r="B12" s="83">
        <v>0</v>
      </c>
      <c r="C12" s="83">
        <v>874284253.51</v>
      </c>
      <c r="D12" s="83">
        <v>56302000</v>
      </c>
      <c r="E12" s="32">
        <f t="shared" si="0"/>
        <v>817982253.51</v>
      </c>
      <c r="F12" s="32">
        <f t="shared" si="1"/>
        <v>0</v>
      </c>
    </row>
    <row r="13" spans="1:6" ht="15.75">
      <c r="A13" s="71" t="s">
        <v>9</v>
      </c>
      <c r="B13" s="83">
        <v>0</v>
      </c>
      <c r="C13" s="83">
        <v>737780767.72</v>
      </c>
      <c r="D13" s="83">
        <v>73761000</v>
      </c>
      <c r="E13" s="32">
        <f t="shared" si="0"/>
        <v>664019767.72</v>
      </c>
      <c r="F13" s="32">
        <f t="shared" si="1"/>
        <v>0</v>
      </c>
    </row>
    <row r="14" spans="1:6" ht="15.75">
      <c r="A14" s="71" t="s">
        <v>10</v>
      </c>
      <c r="B14" s="83">
        <v>0</v>
      </c>
      <c r="C14" s="83">
        <v>167896701.15</v>
      </c>
      <c r="D14" s="83">
        <v>43014091.4</v>
      </c>
      <c r="E14" s="32">
        <f t="shared" si="0"/>
        <v>124882609.75</v>
      </c>
      <c r="F14" s="32">
        <f t="shared" si="1"/>
        <v>0</v>
      </c>
    </row>
    <row r="15" spans="1:6" ht="15.75">
      <c r="A15" s="71" t="s">
        <v>11</v>
      </c>
      <c r="B15" s="83">
        <v>1000000</v>
      </c>
      <c r="C15" s="83">
        <v>836296936.65</v>
      </c>
      <c r="D15" s="83">
        <v>132043352.23</v>
      </c>
      <c r="E15" s="32">
        <f t="shared" si="0"/>
        <v>704253584.42</v>
      </c>
      <c r="F15" s="32">
        <f t="shared" si="1"/>
        <v>0.1419943074657642</v>
      </c>
    </row>
    <row r="16" spans="1:6" ht="15.75">
      <c r="A16" s="71" t="s">
        <v>12</v>
      </c>
      <c r="B16" s="83">
        <v>600000</v>
      </c>
      <c r="C16" s="83">
        <v>168624947.14</v>
      </c>
      <c r="D16" s="83">
        <v>30226499.94</v>
      </c>
      <c r="E16" s="32">
        <f t="shared" si="0"/>
        <v>138398447.2</v>
      </c>
      <c r="F16" s="32">
        <f t="shared" si="1"/>
        <v>0.43353087562676074</v>
      </c>
    </row>
    <row r="17" spans="1:6" ht="15.75">
      <c r="A17" s="71" t="s">
        <v>13</v>
      </c>
      <c r="B17" s="83">
        <v>714000</v>
      </c>
      <c r="C17" s="83">
        <v>416429528.02</v>
      </c>
      <c r="D17" s="83">
        <v>53355843.01</v>
      </c>
      <c r="E17" s="32">
        <f t="shared" si="0"/>
        <v>363073685.01</v>
      </c>
      <c r="F17" s="32">
        <f t="shared" si="1"/>
        <v>0.19665429621547334</v>
      </c>
    </row>
    <row r="18" spans="1:6" ht="15.75">
      <c r="A18" s="71" t="s">
        <v>14</v>
      </c>
      <c r="B18" s="83">
        <v>226100</v>
      </c>
      <c r="C18" s="83">
        <v>362318743.67</v>
      </c>
      <c r="D18" s="83">
        <v>59456703.71</v>
      </c>
      <c r="E18" s="32">
        <f t="shared" si="0"/>
        <v>302862039.96000004</v>
      </c>
      <c r="F18" s="32">
        <f t="shared" si="1"/>
        <v>0.07465445323879537</v>
      </c>
    </row>
    <row r="19" spans="1:6" ht="15.75">
      <c r="A19" s="71" t="s">
        <v>15</v>
      </c>
      <c r="B19" s="83">
        <v>0</v>
      </c>
      <c r="C19" s="83">
        <v>417477946.65</v>
      </c>
      <c r="D19" s="83">
        <v>35597452.32</v>
      </c>
      <c r="E19" s="32">
        <f t="shared" si="0"/>
        <v>381880494.33</v>
      </c>
      <c r="F19" s="32">
        <f t="shared" si="1"/>
        <v>0</v>
      </c>
    </row>
    <row r="20" spans="1:6" ht="15.75">
      <c r="A20" s="71" t="s">
        <v>16</v>
      </c>
      <c r="B20" s="83">
        <v>6000000</v>
      </c>
      <c r="C20" s="83">
        <v>1121387166</v>
      </c>
      <c r="D20" s="83">
        <v>138849694.85</v>
      </c>
      <c r="E20" s="32">
        <f t="shared" si="0"/>
        <v>982537471.15</v>
      </c>
      <c r="F20" s="32">
        <f t="shared" si="1"/>
        <v>0.6106637330561415</v>
      </c>
    </row>
    <row r="21" spans="1:6" ht="15.75">
      <c r="A21" s="71" t="s">
        <v>17</v>
      </c>
      <c r="B21" s="83">
        <v>110000</v>
      </c>
      <c r="C21" s="83">
        <v>115632825.56</v>
      </c>
      <c r="D21" s="83">
        <v>36168953.73</v>
      </c>
      <c r="E21" s="32">
        <f t="shared" si="0"/>
        <v>79463871.83000001</v>
      </c>
      <c r="F21" s="32">
        <f t="shared" si="1"/>
        <v>0.13842768728325627</v>
      </c>
    </row>
    <row r="22" spans="1:6" ht="15.75">
      <c r="A22" s="71" t="s">
        <v>18</v>
      </c>
      <c r="B22" s="83">
        <v>700000</v>
      </c>
      <c r="C22" s="83">
        <v>231851287.33</v>
      </c>
      <c r="D22" s="83">
        <v>34786166</v>
      </c>
      <c r="E22" s="32">
        <f t="shared" si="0"/>
        <v>197065121.33</v>
      </c>
      <c r="F22" s="32">
        <f t="shared" si="1"/>
        <v>0.35521252836406225</v>
      </c>
    </row>
    <row r="23" spans="1:6" ht="15.75">
      <c r="A23" s="71" t="s">
        <v>19</v>
      </c>
      <c r="B23" s="83">
        <v>40000</v>
      </c>
      <c r="C23" s="83">
        <v>631346988.82</v>
      </c>
      <c r="D23" s="83">
        <v>54736210</v>
      </c>
      <c r="E23" s="32">
        <f t="shared" si="0"/>
        <v>576610778.82</v>
      </c>
      <c r="F23" s="32">
        <f t="shared" si="1"/>
        <v>0.006937088495268445</v>
      </c>
    </row>
    <row r="24" spans="1:6" ht="15.75">
      <c r="A24" s="71" t="s">
        <v>20</v>
      </c>
      <c r="B24" s="83">
        <v>12290.22</v>
      </c>
      <c r="C24" s="83">
        <v>684075371.17</v>
      </c>
      <c r="D24" s="83">
        <v>85805468.32</v>
      </c>
      <c r="E24" s="32">
        <f t="shared" si="0"/>
        <v>598269902.8499999</v>
      </c>
      <c r="F24" s="32">
        <f t="shared" si="1"/>
        <v>0.002054293545681077</v>
      </c>
    </row>
    <row r="25" spans="1:6" ht="15.75">
      <c r="A25" s="71" t="s">
        <v>21</v>
      </c>
      <c r="B25" s="83">
        <v>1100000</v>
      </c>
      <c r="C25" s="83">
        <v>233928467.01</v>
      </c>
      <c r="D25" s="83">
        <v>52843475.17</v>
      </c>
      <c r="E25" s="32">
        <f t="shared" si="0"/>
        <v>181084991.83999997</v>
      </c>
      <c r="F25" s="32">
        <f t="shared" si="1"/>
        <v>0.6074495676438606</v>
      </c>
    </row>
    <row r="26" spans="1:6" ht="15.75">
      <c r="A26" s="71" t="s">
        <v>22</v>
      </c>
      <c r="B26" s="83">
        <v>0</v>
      </c>
      <c r="C26" s="83">
        <v>444147349.73</v>
      </c>
      <c r="D26" s="83">
        <v>89417590.48</v>
      </c>
      <c r="E26" s="32">
        <f t="shared" si="0"/>
        <v>354729759.25</v>
      </c>
      <c r="F26" s="32">
        <f t="shared" si="1"/>
        <v>0</v>
      </c>
    </row>
    <row r="27" spans="1:6" ht="15.75">
      <c r="A27" s="71" t="s">
        <v>23</v>
      </c>
      <c r="B27" s="83">
        <v>774000</v>
      </c>
      <c r="C27" s="83">
        <v>318564470.15</v>
      </c>
      <c r="D27" s="83">
        <v>36898239.97</v>
      </c>
      <c r="E27" s="32">
        <f t="shared" si="0"/>
        <v>281666230.17999995</v>
      </c>
      <c r="F27" s="32">
        <f t="shared" si="1"/>
        <v>0.2747933252436304</v>
      </c>
    </row>
    <row r="28" spans="1:6" ht="15.75">
      <c r="A28" s="71" t="s">
        <v>24</v>
      </c>
      <c r="B28" s="83">
        <v>0</v>
      </c>
      <c r="C28" s="83">
        <v>574687106.74</v>
      </c>
      <c r="D28" s="83">
        <v>64295781.22</v>
      </c>
      <c r="E28" s="32">
        <f t="shared" si="0"/>
        <v>510391325.52</v>
      </c>
      <c r="F28" s="32">
        <f t="shared" si="1"/>
        <v>0</v>
      </c>
    </row>
    <row r="29" spans="1:6" ht="15.75">
      <c r="A29" s="71" t="s">
        <v>25</v>
      </c>
      <c r="B29" s="83">
        <v>800000</v>
      </c>
      <c r="C29" s="83">
        <v>129731136.47</v>
      </c>
      <c r="D29" s="83">
        <v>46835044.17</v>
      </c>
      <c r="E29" s="32">
        <f t="shared" si="0"/>
        <v>82896092.3</v>
      </c>
      <c r="F29" s="32">
        <f t="shared" si="1"/>
        <v>0.9650635847885438</v>
      </c>
    </row>
    <row r="30" spans="1:6" ht="15.75">
      <c r="A30" s="71" t="s">
        <v>26</v>
      </c>
      <c r="B30" s="83">
        <v>196117</v>
      </c>
      <c r="C30" s="83">
        <v>539401186.51</v>
      </c>
      <c r="D30" s="83">
        <v>71397158.76</v>
      </c>
      <c r="E30" s="32">
        <f t="shared" si="0"/>
        <v>468004027.75</v>
      </c>
      <c r="F30" s="32">
        <f t="shared" si="1"/>
        <v>0.041904981233358625</v>
      </c>
    </row>
    <row r="31" spans="1:6" ht="15.75">
      <c r="A31" s="71" t="s">
        <v>27</v>
      </c>
      <c r="B31" s="83">
        <v>300000</v>
      </c>
      <c r="C31" s="83">
        <v>216318660.23</v>
      </c>
      <c r="D31" s="83">
        <v>64647209.93</v>
      </c>
      <c r="E31" s="32">
        <f t="shared" si="0"/>
        <v>151671450.29999998</v>
      </c>
      <c r="F31" s="32">
        <f t="shared" si="1"/>
        <v>0.19779595923070042</v>
      </c>
    </row>
    <row r="32" spans="1:6" ht="15.75">
      <c r="A32" s="71" t="s">
        <v>28</v>
      </c>
      <c r="B32" s="83">
        <v>50000</v>
      </c>
      <c r="C32" s="83">
        <v>541647560.16</v>
      </c>
      <c r="D32" s="83">
        <v>106024818.8</v>
      </c>
      <c r="E32" s="32">
        <f t="shared" si="0"/>
        <v>435622741.35999995</v>
      </c>
      <c r="F32" s="32">
        <f t="shared" si="1"/>
        <v>0.011477821346953016</v>
      </c>
    </row>
    <row r="33" spans="1:6" ht="15.75">
      <c r="A33" s="71" t="s">
        <v>29</v>
      </c>
      <c r="B33" s="83">
        <v>652000</v>
      </c>
      <c r="C33" s="83">
        <v>263759599.99</v>
      </c>
      <c r="D33" s="83">
        <v>47339959.12</v>
      </c>
      <c r="E33" s="32">
        <f t="shared" si="0"/>
        <v>216419640.87</v>
      </c>
      <c r="F33" s="32">
        <f t="shared" si="1"/>
        <v>0.3012665566669369</v>
      </c>
    </row>
    <row r="34" spans="1:6" ht="15.75">
      <c r="A34" s="71" t="s">
        <v>30</v>
      </c>
      <c r="B34" s="83">
        <v>4000000</v>
      </c>
      <c r="C34" s="83">
        <v>942827004.99</v>
      </c>
      <c r="D34" s="83">
        <v>79451534.2</v>
      </c>
      <c r="E34" s="32">
        <f t="shared" si="0"/>
        <v>863375470.79</v>
      </c>
      <c r="F34" s="32">
        <f t="shared" si="1"/>
        <v>0.46329785074157215</v>
      </c>
    </row>
    <row r="35" spans="1:6" ht="15.75">
      <c r="A35" s="71" t="s">
        <v>31</v>
      </c>
      <c r="B35" s="83">
        <v>0</v>
      </c>
      <c r="C35" s="83">
        <v>789372947.11</v>
      </c>
      <c r="D35" s="83">
        <v>104000030.3</v>
      </c>
      <c r="E35" s="32">
        <f t="shared" si="0"/>
        <v>685372916.8100001</v>
      </c>
      <c r="F35" s="32">
        <f t="shared" si="1"/>
        <v>0</v>
      </c>
    </row>
    <row r="36" spans="1:6" ht="15.75">
      <c r="A36" s="71" t="s">
        <v>32</v>
      </c>
      <c r="B36" s="83">
        <v>0</v>
      </c>
      <c r="C36" s="83">
        <v>324932622.43</v>
      </c>
      <c r="D36" s="83">
        <v>35213823.29</v>
      </c>
      <c r="E36" s="32">
        <f t="shared" si="0"/>
        <v>289718799.14</v>
      </c>
      <c r="F36" s="32">
        <f t="shared" si="1"/>
        <v>0</v>
      </c>
    </row>
    <row r="37" spans="1:6" ht="15.75">
      <c r="A37" s="71" t="s">
        <v>33</v>
      </c>
      <c r="B37" s="83">
        <v>800000</v>
      </c>
      <c r="C37" s="83">
        <v>234552802.49</v>
      </c>
      <c r="D37" s="83">
        <v>41991168.74</v>
      </c>
      <c r="E37" s="32">
        <f t="shared" si="0"/>
        <v>192561633.75</v>
      </c>
      <c r="F37" s="32">
        <f t="shared" si="1"/>
        <v>0.41545139829807864</v>
      </c>
    </row>
    <row r="38" spans="1:6" ht="15.75">
      <c r="A38" s="71" t="s">
        <v>34</v>
      </c>
      <c r="B38" s="83">
        <v>8975.61</v>
      </c>
      <c r="C38" s="83">
        <v>197723030.65</v>
      </c>
      <c r="D38" s="83">
        <v>43810065.03</v>
      </c>
      <c r="E38" s="32">
        <f t="shared" si="0"/>
        <v>153912965.62</v>
      </c>
      <c r="F38" s="32">
        <f t="shared" si="1"/>
        <v>0.005831613966922146</v>
      </c>
    </row>
    <row r="39" spans="1:6" ht="15.75">
      <c r="A39" s="71" t="s">
        <v>35</v>
      </c>
      <c r="B39" s="83">
        <v>206000</v>
      </c>
      <c r="C39" s="83">
        <v>277073684.37</v>
      </c>
      <c r="D39" s="83">
        <v>31916055.86</v>
      </c>
      <c r="E39" s="32">
        <f t="shared" si="0"/>
        <v>245157628.51</v>
      </c>
      <c r="F39" s="32">
        <f t="shared" si="1"/>
        <v>0.08402757085390768</v>
      </c>
    </row>
    <row r="40" spans="1:6" ht="15.75">
      <c r="A40" s="71" t="s">
        <v>36</v>
      </c>
      <c r="B40" s="83">
        <v>420000</v>
      </c>
      <c r="C40" s="83">
        <v>307271893.16</v>
      </c>
      <c r="D40" s="83">
        <v>45073272.49</v>
      </c>
      <c r="E40" s="32">
        <f t="shared" si="0"/>
        <v>262198620.67000002</v>
      </c>
      <c r="F40" s="32">
        <f t="shared" si="1"/>
        <v>0.1601839090254433</v>
      </c>
    </row>
    <row r="41" spans="1:6" s="74" customFormat="1" ht="15.75">
      <c r="A41" s="14" t="s">
        <v>44</v>
      </c>
      <c r="B41" s="73">
        <f>SUM(B$4:B$40)</f>
        <v>1302159694.06</v>
      </c>
      <c r="C41" s="73">
        <f>SUM(C$4:C$40)</f>
        <v>59818551009.26002</v>
      </c>
      <c r="D41" s="73">
        <f>SUM(D$4:D$40)</f>
        <v>12725558109.099998</v>
      </c>
      <c r="E41" s="73">
        <f>SUM(E$4:E$40)</f>
        <v>47092992900.16001</v>
      </c>
      <c r="F41" s="73">
        <f>$B41/$E41*100</f>
        <v>2.7650816265185294</v>
      </c>
    </row>
    <row r="43" spans="5:6" ht="15.75">
      <c r="E43" s="44">
        <f>$C$41-$D$41-$E$41</f>
        <v>0</v>
      </c>
      <c r="F43" s="44"/>
    </row>
  </sheetData>
  <sheetProtection/>
  <mergeCells count="1">
    <mergeCell ref="A1:F1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2"/>
  <sheetViews>
    <sheetView view="pageBreakPreview" zoomScaleSheetLayoutView="100" zoomScalePageLayoutView="0" workbookViewId="0" topLeftCell="A1">
      <selection activeCell="F21" sqref="F21"/>
    </sheetView>
  </sheetViews>
  <sheetFormatPr defaultColWidth="8.7109375" defaultRowHeight="15"/>
  <cols>
    <col min="1" max="1" width="24.140625" style="31" customWidth="1"/>
    <col min="2" max="2" width="33.8515625" style="31" customWidth="1"/>
    <col min="3" max="3" width="15.7109375" style="31" customWidth="1"/>
    <col min="4" max="4" width="7.28125" style="31" customWidth="1"/>
    <col min="5" max="5" width="6.140625" style="31" customWidth="1"/>
    <col min="6" max="6" width="12.7109375" style="31" customWidth="1"/>
    <col min="7" max="7" width="8.7109375" style="31" customWidth="1"/>
    <col min="8" max="16384" width="8.7109375" style="31" customWidth="1"/>
  </cols>
  <sheetData>
    <row r="1" spans="1:6" ht="33" customHeight="1">
      <c r="A1" s="112" t="s">
        <v>243</v>
      </c>
      <c r="B1" s="112"/>
      <c r="C1" s="112"/>
      <c r="D1" s="112"/>
      <c r="E1" s="112"/>
      <c r="F1" s="112"/>
    </row>
    <row r="3" spans="1:3" ht="15.75">
      <c r="A3" s="41" t="s">
        <v>244</v>
      </c>
      <c r="B3" s="40">
        <f>MAX($D$9:$D$21)</f>
        <v>0.6966430551278103</v>
      </c>
      <c r="C3" s="46"/>
    </row>
    <row r="4" spans="1:3" ht="15.75">
      <c r="A4" s="39" t="s">
        <v>245</v>
      </c>
      <c r="B4" s="38">
        <f>MIN($D$9:$D$21)</f>
        <v>0.08100979653353428</v>
      </c>
      <c r="C4" s="47"/>
    </row>
    <row r="5" spans="1:3" ht="15.75">
      <c r="A5" s="37" t="s">
        <v>246</v>
      </c>
      <c r="B5" s="36" t="s">
        <v>42</v>
      </c>
      <c r="C5" s="43"/>
    </row>
    <row r="7" spans="1:7" s="35" customFormat="1" ht="81" customHeight="1">
      <c r="A7" s="86" t="s">
        <v>39</v>
      </c>
      <c r="B7" s="28" t="s">
        <v>247</v>
      </c>
      <c r="C7" s="28" t="s">
        <v>223</v>
      </c>
      <c r="D7" s="34" t="s">
        <v>248</v>
      </c>
      <c r="E7" s="34" t="s">
        <v>249</v>
      </c>
      <c r="F7" s="34" t="s">
        <v>250</v>
      </c>
      <c r="G7" s="113"/>
    </row>
    <row r="8" spans="1:7" s="33" customFormat="1" ht="15.75">
      <c r="A8" s="87">
        <v>1</v>
      </c>
      <c r="B8" s="87">
        <v>2</v>
      </c>
      <c r="C8" s="87">
        <v>3</v>
      </c>
      <c r="D8" s="87" t="s">
        <v>49</v>
      </c>
      <c r="E8" s="87">
        <v>5</v>
      </c>
      <c r="F8" s="87">
        <v>6</v>
      </c>
      <c r="G8" s="113"/>
    </row>
    <row r="9" spans="1:7" ht="15.75">
      <c r="A9" s="17" t="s">
        <v>227</v>
      </c>
      <c r="B9" s="81">
        <v>24861</v>
      </c>
      <c r="C9" s="56">
        <v>107274</v>
      </c>
      <c r="D9" s="32">
        <f>$B9/$C9</f>
        <v>0.23175233514178645</v>
      </c>
      <c r="E9" s="32">
        <f>($D9-$B$4)/($B$3-$B$4)</f>
        <v>0.2448576916595677</v>
      </c>
      <c r="F9" s="32">
        <f>$E9*$B$5</f>
        <v>-0.2448576916595677</v>
      </c>
      <c r="G9" s="48"/>
    </row>
    <row r="10" spans="1:7" ht="15.75">
      <c r="A10" s="17" t="s">
        <v>222</v>
      </c>
      <c r="B10" s="81">
        <v>15979</v>
      </c>
      <c r="C10" s="56">
        <v>57130</v>
      </c>
      <c r="D10" s="32">
        <f aca="true" t="shared" si="0" ref="D10:D21">$B10/$C10</f>
        <v>0.2796954314720812</v>
      </c>
      <c r="E10" s="32">
        <f aca="true" t="shared" si="1" ref="E10:E21">($D10-$B$4)/($B$3-$B$4)</f>
        <v>0.3227337577443777</v>
      </c>
      <c r="F10" s="32">
        <f aca="true" t="shared" si="2" ref="F10:F21">$E10*$B$5</f>
        <v>-0.3227337577443777</v>
      </c>
      <c r="G10" s="48"/>
    </row>
    <row r="11" spans="1:7" ht="15.75">
      <c r="A11" s="17" t="s">
        <v>265</v>
      </c>
      <c r="B11" s="81">
        <v>19011</v>
      </c>
      <c r="C11" s="56">
        <v>40569</v>
      </c>
      <c r="D11" s="32">
        <f t="shared" si="0"/>
        <v>0.4686090364564076</v>
      </c>
      <c r="E11" s="32">
        <f t="shared" si="1"/>
        <v>0.6295943802774873</v>
      </c>
      <c r="F11" s="32">
        <f t="shared" si="2"/>
        <v>-0.6295943802774873</v>
      </c>
      <c r="G11" s="48"/>
    </row>
    <row r="12" spans="1:7" ht="15.75">
      <c r="A12" s="17" t="s">
        <v>226</v>
      </c>
      <c r="B12" s="81">
        <v>3146</v>
      </c>
      <c r="C12" s="56">
        <v>19285</v>
      </c>
      <c r="D12" s="32">
        <f t="shared" si="0"/>
        <v>0.16313196785066114</v>
      </c>
      <c r="E12" s="32">
        <f t="shared" si="1"/>
        <v>0.13339463092790485</v>
      </c>
      <c r="F12" s="32">
        <f t="shared" si="2"/>
        <v>-0.13339463092790485</v>
      </c>
      <c r="G12" s="48"/>
    </row>
    <row r="13" spans="1:7" ht="15.75">
      <c r="A13" s="17" t="s">
        <v>266</v>
      </c>
      <c r="B13" s="81">
        <v>1048</v>
      </c>
      <c r="C13" s="56">
        <v>12875</v>
      </c>
      <c r="D13" s="64">
        <f t="shared" si="0"/>
        <v>0.08139805825242719</v>
      </c>
      <c r="E13" s="32">
        <f t="shared" si="1"/>
        <v>0.000630670473813343</v>
      </c>
      <c r="F13" s="64">
        <f t="shared" si="2"/>
        <v>-0.000630670473813343</v>
      </c>
      <c r="G13" s="48"/>
    </row>
    <row r="14" spans="1:7" ht="15.75">
      <c r="A14" s="17" t="s">
        <v>158</v>
      </c>
      <c r="B14" s="81">
        <v>22620</v>
      </c>
      <c r="C14" s="56">
        <v>32470</v>
      </c>
      <c r="D14" s="32">
        <f t="shared" si="0"/>
        <v>0.6966430551278103</v>
      </c>
      <c r="E14" s="32">
        <f t="shared" si="1"/>
        <v>1</v>
      </c>
      <c r="F14" s="32">
        <f t="shared" si="2"/>
        <v>-1</v>
      </c>
      <c r="G14" s="48"/>
    </row>
    <row r="15" spans="1:7" ht="15.75">
      <c r="A15" s="17" t="s">
        <v>159</v>
      </c>
      <c r="B15" s="81">
        <v>8684</v>
      </c>
      <c r="C15" s="56">
        <v>45276</v>
      </c>
      <c r="D15" s="32">
        <f t="shared" si="0"/>
        <v>0.19180139588302852</v>
      </c>
      <c r="E15" s="32">
        <f t="shared" si="1"/>
        <v>0.17996363549700584</v>
      </c>
      <c r="F15" s="32">
        <f t="shared" si="2"/>
        <v>-0.17996363549700584</v>
      </c>
      <c r="G15" s="48"/>
    </row>
    <row r="16" spans="1:7" ht="15.75">
      <c r="A16" s="17" t="s">
        <v>267</v>
      </c>
      <c r="B16" s="81">
        <v>1247</v>
      </c>
      <c r="C16" s="56">
        <v>15022</v>
      </c>
      <c r="D16" s="64">
        <f t="shared" si="0"/>
        <v>0.08301158301158301</v>
      </c>
      <c r="E16" s="32">
        <f t="shared" si="1"/>
        <v>0.003251589237754256</v>
      </c>
      <c r="F16" s="64">
        <f t="shared" si="2"/>
        <v>-0.003251589237754256</v>
      </c>
      <c r="G16" s="48"/>
    </row>
    <row r="17" spans="1:7" ht="15.75">
      <c r="A17" s="17" t="s">
        <v>268</v>
      </c>
      <c r="B17" s="81">
        <v>9296</v>
      </c>
      <c r="C17" s="56">
        <v>17325</v>
      </c>
      <c r="D17" s="32">
        <f t="shared" si="0"/>
        <v>0.5365656565656566</v>
      </c>
      <c r="E17" s="32">
        <f t="shared" si="1"/>
        <v>0.7399792874613839</v>
      </c>
      <c r="F17" s="32">
        <f t="shared" si="2"/>
        <v>-0.7399792874613839</v>
      </c>
      <c r="G17" s="48"/>
    </row>
    <row r="18" spans="1:7" ht="15.75">
      <c r="A18" s="17" t="s">
        <v>269</v>
      </c>
      <c r="B18" s="81">
        <v>3342</v>
      </c>
      <c r="C18" s="56">
        <v>33797</v>
      </c>
      <c r="D18" s="32">
        <f t="shared" si="0"/>
        <v>0.09888451637719324</v>
      </c>
      <c r="E18" s="32">
        <f t="shared" si="1"/>
        <v>0.02903468841900081</v>
      </c>
      <c r="F18" s="32">
        <f t="shared" si="2"/>
        <v>-0.02903468841900081</v>
      </c>
      <c r="G18" s="48"/>
    </row>
    <row r="19" spans="1:7" ht="15.75">
      <c r="A19" s="17" t="s">
        <v>270</v>
      </c>
      <c r="B19" s="81">
        <v>3151</v>
      </c>
      <c r="C19" s="56">
        <v>28097</v>
      </c>
      <c r="D19" s="32">
        <f t="shared" si="0"/>
        <v>0.11214720432786418</v>
      </c>
      <c r="E19" s="32">
        <f t="shared" si="1"/>
        <v>0.05057785192669479</v>
      </c>
      <c r="F19" s="32">
        <f t="shared" si="2"/>
        <v>-0.05057785192669479</v>
      </c>
      <c r="G19" s="48"/>
    </row>
    <row r="20" spans="1:7" ht="15.75">
      <c r="A20" s="17" t="s">
        <v>271</v>
      </c>
      <c r="B20" s="81">
        <v>8481</v>
      </c>
      <c r="C20" s="56">
        <v>45900</v>
      </c>
      <c r="D20" s="32">
        <f t="shared" si="0"/>
        <v>0.18477124183006535</v>
      </c>
      <c r="E20" s="32">
        <f t="shared" si="1"/>
        <v>0.16854424910937682</v>
      </c>
      <c r="F20" s="32">
        <f t="shared" si="2"/>
        <v>-0.16854424910937682</v>
      </c>
      <c r="G20" s="48"/>
    </row>
    <row r="21" spans="1:7" ht="15.75">
      <c r="A21" s="17" t="s">
        <v>272</v>
      </c>
      <c r="B21" s="81">
        <v>1290</v>
      </c>
      <c r="C21" s="56">
        <v>15924</v>
      </c>
      <c r="D21" s="64">
        <f t="shared" si="0"/>
        <v>0.08100979653353428</v>
      </c>
      <c r="E21" s="32">
        <f t="shared" si="1"/>
        <v>0</v>
      </c>
      <c r="F21" s="64">
        <f t="shared" si="2"/>
        <v>0</v>
      </c>
      <c r="G21" s="48"/>
    </row>
    <row r="22" spans="1:7" ht="15.75">
      <c r="A22" s="5" t="s">
        <v>40</v>
      </c>
      <c r="B22" s="105"/>
      <c r="G22" s="44"/>
    </row>
  </sheetData>
  <sheetProtection/>
  <mergeCells count="2">
    <mergeCell ref="A1:F1"/>
    <mergeCell ref="G7:G8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6"/>
  <sheetViews>
    <sheetView view="pageBreakPreview" zoomScaleSheetLayoutView="100" zoomScalePageLayoutView="0" workbookViewId="0" topLeftCell="A1">
      <selection activeCell="K11" sqref="K11:K23"/>
    </sheetView>
  </sheetViews>
  <sheetFormatPr defaultColWidth="8.7109375" defaultRowHeight="15"/>
  <cols>
    <col min="1" max="1" width="24.57421875" style="31" customWidth="1"/>
    <col min="2" max="2" width="15.421875" style="31" bestFit="1" customWidth="1"/>
    <col min="3" max="3" width="14.28125" style="31" bestFit="1" customWidth="1"/>
    <col min="4" max="4" width="10.28125" style="31" customWidth="1"/>
    <col min="5" max="6" width="15.421875" style="31" bestFit="1" customWidth="1"/>
    <col min="7" max="7" width="10.00390625" style="31" customWidth="1"/>
    <col min="8" max="8" width="15.140625" style="31" customWidth="1"/>
    <col min="9" max="9" width="7.28125" style="31" customWidth="1"/>
    <col min="10" max="10" width="6.140625" style="31" customWidth="1"/>
    <col min="11" max="11" width="8.7109375" style="31" customWidth="1"/>
    <col min="12" max="16384" width="8.7109375" style="31" customWidth="1"/>
  </cols>
  <sheetData>
    <row r="1" spans="1:11" ht="18" customHeight="1">
      <c r="A1" s="109" t="s">
        <v>176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3" spans="1:2" ht="15.75">
      <c r="A3" s="41" t="s">
        <v>56</v>
      </c>
      <c r="B3" s="40">
        <f>MAX($I$11:$I$23)</f>
        <v>99.40652086262136</v>
      </c>
    </row>
    <row r="4" spans="1:2" ht="15.75">
      <c r="A4" s="39" t="s">
        <v>57</v>
      </c>
      <c r="B4" s="38">
        <f>MIN($I$11:$I$23)</f>
        <v>2.1951177230172583</v>
      </c>
    </row>
    <row r="5" spans="1:2" ht="15.75">
      <c r="A5" s="37" t="s">
        <v>58</v>
      </c>
      <c r="B5" s="36" t="s">
        <v>46</v>
      </c>
    </row>
    <row r="6" spans="1:5" ht="15.75">
      <c r="A6" s="42"/>
      <c r="B6" s="43"/>
      <c r="E6" s="43"/>
    </row>
    <row r="7" spans="1:11" s="33" customFormat="1" ht="18" customHeight="1">
      <c r="A7" s="110" t="s">
        <v>39</v>
      </c>
      <c r="B7" s="110" t="s">
        <v>62</v>
      </c>
      <c r="C7" s="110"/>
      <c r="D7" s="110"/>
      <c r="E7" s="110"/>
      <c r="F7" s="110"/>
      <c r="G7" s="110"/>
      <c r="H7" s="110"/>
      <c r="I7" s="116" t="s">
        <v>59</v>
      </c>
      <c r="J7" s="116" t="s">
        <v>60</v>
      </c>
      <c r="K7" s="116" t="s">
        <v>61</v>
      </c>
    </row>
    <row r="8" spans="1:11" s="33" customFormat="1" ht="22.5" customHeight="1">
      <c r="A8" s="110"/>
      <c r="B8" s="110" t="s">
        <v>251</v>
      </c>
      <c r="C8" s="110"/>
      <c r="D8" s="110"/>
      <c r="E8" s="110" t="s">
        <v>252</v>
      </c>
      <c r="F8" s="110"/>
      <c r="G8" s="110"/>
      <c r="H8" s="114" t="s">
        <v>133</v>
      </c>
      <c r="I8" s="116"/>
      <c r="J8" s="116"/>
      <c r="K8" s="116"/>
    </row>
    <row r="9" spans="1:11" s="35" customFormat="1" ht="49.5" customHeight="1">
      <c r="A9" s="115"/>
      <c r="B9" s="28" t="s">
        <v>130</v>
      </c>
      <c r="C9" s="28" t="s">
        <v>131</v>
      </c>
      <c r="D9" s="28" t="s">
        <v>134</v>
      </c>
      <c r="E9" s="28" t="s">
        <v>130</v>
      </c>
      <c r="F9" s="28" t="s">
        <v>131</v>
      </c>
      <c r="G9" s="28" t="s">
        <v>134</v>
      </c>
      <c r="H9" s="114"/>
      <c r="I9" s="117"/>
      <c r="J9" s="117"/>
      <c r="K9" s="117"/>
    </row>
    <row r="10" spans="1:11" s="33" customFormat="1" ht="15.75">
      <c r="A10" s="34">
        <v>1</v>
      </c>
      <c r="B10" s="34">
        <v>2</v>
      </c>
      <c r="C10" s="34">
        <v>3</v>
      </c>
      <c r="D10" s="58" t="s">
        <v>63</v>
      </c>
      <c r="E10" s="34">
        <v>5</v>
      </c>
      <c r="F10" s="34">
        <v>6</v>
      </c>
      <c r="G10" s="58" t="s">
        <v>132</v>
      </c>
      <c r="H10" s="34">
        <v>8</v>
      </c>
      <c r="I10" s="34">
        <v>9</v>
      </c>
      <c r="J10" s="34">
        <v>10</v>
      </c>
      <c r="K10" s="34">
        <v>11</v>
      </c>
    </row>
    <row r="11" spans="1:11" ht="15.75">
      <c r="A11" s="17" t="s">
        <v>227</v>
      </c>
      <c r="B11" s="24">
        <v>64253000</v>
      </c>
      <c r="C11" s="24">
        <v>20730251.37</v>
      </c>
      <c r="D11" s="83">
        <f>C11/B11*100</f>
        <v>32.26347621122749</v>
      </c>
      <c r="E11" s="24">
        <v>64253000</v>
      </c>
      <c r="F11" s="24">
        <v>31678543.25</v>
      </c>
      <c r="G11" s="83">
        <f>F11/E11*100</f>
        <v>49.30282360356715</v>
      </c>
      <c r="H11" s="32">
        <f>AVERAGE($D11,$G11)</f>
        <v>40.783149907397316</v>
      </c>
      <c r="I11" s="32">
        <f>IF($H11&gt;100,100,$H11)</f>
        <v>40.783149907397316</v>
      </c>
      <c r="J11" s="32">
        <f>($I11-$B$4)/($B$3-$B$4)</f>
        <v>0.39694964724420506</v>
      </c>
      <c r="K11" s="32">
        <f>$J11*$B$5</f>
        <v>0.39694964724420506</v>
      </c>
    </row>
    <row r="12" spans="1:11" ht="15.75">
      <c r="A12" s="17" t="s">
        <v>222</v>
      </c>
      <c r="B12" s="24">
        <v>35481000</v>
      </c>
      <c r="C12" s="24">
        <v>24242199.78</v>
      </c>
      <c r="D12" s="83">
        <f aca="true" t="shared" si="0" ref="D12:D23">C12/B12*100</f>
        <v>68.3244547222457</v>
      </c>
      <c r="E12" s="24">
        <v>37519000</v>
      </c>
      <c r="F12" s="24">
        <v>28773543.1</v>
      </c>
      <c r="G12" s="83">
        <f aca="true" t="shared" si="1" ref="G12:G23">F12/E12*100</f>
        <v>76.69059170020523</v>
      </c>
      <c r="H12" s="32">
        <f aca="true" t="shared" si="2" ref="H12:H23">AVERAGE($D12,$G12)</f>
        <v>72.50752321122548</v>
      </c>
      <c r="I12" s="32">
        <f aca="true" t="shared" si="3" ref="I12:I23">IF($H12&gt;100,100,$H12)</f>
        <v>72.50752321122548</v>
      </c>
      <c r="J12" s="32">
        <f aca="true" t="shared" si="4" ref="J12:J23">($I12-$B$4)/($B$3-$B$4)</f>
        <v>0.7232938031686821</v>
      </c>
      <c r="K12" s="32">
        <f aca="true" t="shared" si="5" ref="K12:K23">$J12*$B$5</f>
        <v>0.7232938031686821</v>
      </c>
    </row>
    <row r="13" spans="1:11" ht="15.75">
      <c r="A13" s="17" t="s">
        <v>265</v>
      </c>
      <c r="B13" s="24">
        <v>6198785.38</v>
      </c>
      <c r="C13" s="24">
        <v>1914981.49</v>
      </c>
      <c r="D13" s="83">
        <f t="shared" si="0"/>
        <v>30.89285033449569</v>
      </c>
      <c r="E13" s="24">
        <v>8631600</v>
      </c>
      <c r="F13" s="24">
        <v>4776843.56</v>
      </c>
      <c r="G13" s="83">
        <f t="shared" si="1"/>
        <v>55.34134528940173</v>
      </c>
      <c r="H13" s="32">
        <f t="shared" si="2"/>
        <v>43.11709781194871</v>
      </c>
      <c r="I13" s="32">
        <f t="shared" si="3"/>
        <v>43.11709781194871</v>
      </c>
      <c r="J13" s="32">
        <f t="shared" si="4"/>
        <v>0.42095864031675273</v>
      </c>
      <c r="K13" s="32">
        <f t="shared" si="5"/>
        <v>0.42095864031675273</v>
      </c>
    </row>
    <row r="14" spans="1:11" ht="15.75">
      <c r="A14" s="17" t="s">
        <v>226</v>
      </c>
      <c r="B14" s="24">
        <v>5493782</v>
      </c>
      <c r="C14" s="24">
        <v>5373612.03</v>
      </c>
      <c r="D14" s="83">
        <f t="shared" si="0"/>
        <v>97.81261852035628</v>
      </c>
      <c r="E14" s="24">
        <v>5973466</v>
      </c>
      <c r="F14" s="24">
        <v>6033225.94</v>
      </c>
      <c r="G14" s="83">
        <f t="shared" si="1"/>
        <v>101.00042320488643</v>
      </c>
      <c r="H14" s="32">
        <f t="shared" si="2"/>
        <v>99.40652086262136</v>
      </c>
      <c r="I14" s="32">
        <f t="shared" si="3"/>
        <v>99.40652086262136</v>
      </c>
      <c r="J14" s="98">
        <f t="shared" si="4"/>
        <v>1</v>
      </c>
      <c r="K14" s="98">
        <f t="shared" si="5"/>
        <v>1</v>
      </c>
    </row>
    <row r="15" spans="1:11" ht="15.75">
      <c r="A15" s="17" t="s">
        <v>266</v>
      </c>
      <c r="B15" s="24">
        <v>10004800</v>
      </c>
      <c r="C15" s="24">
        <v>14917.32</v>
      </c>
      <c r="D15" s="83">
        <f t="shared" si="0"/>
        <v>0.14910163121701583</v>
      </c>
      <c r="E15" s="24">
        <v>11157307</v>
      </c>
      <c r="F15" s="24">
        <v>473196.32</v>
      </c>
      <c r="G15" s="83">
        <f t="shared" si="1"/>
        <v>4.241133814817501</v>
      </c>
      <c r="H15" s="32">
        <f t="shared" si="2"/>
        <v>2.1951177230172583</v>
      </c>
      <c r="I15" s="32">
        <f t="shared" si="3"/>
        <v>2.1951177230172583</v>
      </c>
      <c r="J15" s="98">
        <f t="shared" si="4"/>
        <v>0</v>
      </c>
      <c r="K15" s="98">
        <f t="shared" si="5"/>
        <v>0</v>
      </c>
    </row>
    <row r="16" spans="1:11" ht="15.75">
      <c r="A16" s="17" t="s">
        <v>158</v>
      </c>
      <c r="B16" s="24">
        <v>27134690</v>
      </c>
      <c r="C16" s="24">
        <v>5164698.43</v>
      </c>
      <c r="D16" s="83">
        <f t="shared" si="0"/>
        <v>19.033563420109093</v>
      </c>
      <c r="E16" s="24">
        <v>26330290</v>
      </c>
      <c r="F16" s="24">
        <v>9089472.66</v>
      </c>
      <c r="G16" s="83">
        <f t="shared" si="1"/>
        <v>34.52097436070776</v>
      </c>
      <c r="H16" s="32">
        <f t="shared" si="2"/>
        <v>26.77726889040843</v>
      </c>
      <c r="I16" s="32">
        <f t="shared" si="3"/>
        <v>26.77726889040843</v>
      </c>
      <c r="J16" s="32">
        <f t="shared" si="4"/>
        <v>0.2528731236611105</v>
      </c>
      <c r="K16" s="32">
        <f t="shared" si="5"/>
        <v>0.2528731236611105</v>
      </c>
    </row>
    <row r="17" spans="1:11" ht="15.75">
      <c r="A17" s="17" t="s">
        <v>159</v>
      </c>
      <c r="B17" s="24">
        <v>2680750</v>
      </c>
      <c r="C17" s="24">
        <v>610918.16</v>
      </c>
      <c r="D17" s="83">
        <f t="shared" si="0"/>
        <v>22.78907619136436</v>
      </c>
      <c r="E17" s="24">
        <v>2152750</v>
      </c>
      <c r="F17" s="24">
        <v>2236792.5</v>
      </c>
      <c r="G17" s="83">
        <f t="shared" si="1"/>
        <v>103.90396005109743</v>
      </c>
      <c r="H17" s="32">
        <f t="shared" si="2"/>
        <v>63.34651812123089</v>
      </c>
      <c r="I17" s="32">
        <f t="shared" si="3"/>
        <v>63.34651812123089</v>
      </c>
      <c r="J17" s="32">
        <f t="shared" si="4"/>
        <v>0.6290558352541714</v>
      </c>
      <c r="K17" s="32">
        <f t="shared" si="5"/>
        <v>0.6290558352541714</v>
      </c>
    </row>
    <row r="18" spans="1:11" ht="15.75">
      <c r="A18" s="17" t="s">
        <v>267</v>
      </c>
      <c r="B18" s="24">
        <v>19855000</v>
      </c>
      <c r="C18" s="24">
        <v>1224881.1</v>
      </c>
      <c r="D18" s="83">
        <f t="shared" si="0"/>
        <v>6.169131704860238</v>
      </c>
      <c r="E18" s="24">
        <v>21825000</v>
      </c>
      <c r="F18" s="24">
        <v>1811939.14</v>
      </c>
      <c r="G18" s="83">
        <f t="shared" si="1"/>
        <v>8.302126643757159</v>
      </c>
      <c r="H18" s="32">
        <f t="shared" si="2"/>
        <v>7.2356291743086985</v>
      </c>
      <c r="I18" s="32">
        <f t="shared" si="3"/>
        <v>7.2356291743086985</v>
      </c>
      <c r="J18" s="32">
        <f t="shared" si="4"/>
        <v>0.05185103072787483</v>
      </c>
      <c r="K18" s="32">
        <f t="shared" si="5"/>
        <v>0.05185103072787483</v>
      </c>
    </row>
    <row r="19" spans="1:11" ht="15.75">
      <c r="A19" s="17" t="s">
        <v>268</v>
      </c>
      <c r="B19" s="24">
        <v>11977000</v>
      </c>
      <c r="C19" s="24">
        <v>921964.17</v>
      </c>
      <c r="D19" s="83">
        <f t="shared" si="0"/>
        <v>7.6977888452868</v>
      </c>
      <c r="E19" s="24">
        <v>4210419.81</v>
      </c>
      <c r="F19" s="24">
        <v>2034216.37</v>
      </c>
      <c r="G19" s="83">
        <f t="shared" si="1"/>
        <v>48.31386089265052</v>
      </c>
      <c r="H19" s="32">
        <f t="shared" si="2"/>
        <v>28.00582486896866</v>
      </c>
      <c r="I19" s="32">
        <f t="shared" si="3"/>
        <v>28.00582486896866</v>
      </c>
      <c r="J19" s="32">
        <f t="shared" si="4"/>
        <v>0.2655111058204248</v>
      </c>
      <c r="K19" s="32">
        <f t="shared" si="5"/>
        <v>0.2655111058204248</v>
      </c>
    </row>
    <row r="20" spans="1:11" ht="15.75">
      <c r="A20" s="17" t="s">
        <v>269</v>
      </c>
      <c r="B20" s="24">
        <v>2955000</v>
      </c>
      <c r="C20" s="24">
        <v>1320779.59</v>
      </c>
      <c r="D20" s="83">
        <f t="shared" si="0"/>
        <v>44.69643282571912</v>
      </c>
      <c r="E20" s="24">
        <v>3793500</v>
      </c>
      <c r="F20" s="24">
        <v>3069797.71</v>
      </c>
      <c r="G20" s="83">
        <f t="shared" si="1"/>
        <v>80.92257044945302</v>
      </c>
      <c r="H20" s="32">
        <f t="shared" si="2"/>
        <v>62.80950163758607</v>
      </c>
      <c r="I20" s="32">
        <f t="shared" si="3"/>
        <v>62.80950163758607</v>
      </c>
      <c r="J20" s="32">
        <f t="shared" si="4"/>
        <v>0.6235316223912665</v>
      </c>
      <c r="K20" s="32">
        <f t="shared" si="5"/>
        <v>0.6235316223912665</v>
      </c>
    </row>
    <row r="21" spans="1:11" ht="15.75">
      <c r="A21" s="17" t="s">
        <v>270</v>
      </c>
      <c r="B21" s="24">
        <v>1398000</v>
      </c>
      <c r="C21" s="24">
        <v>144353</v>
      </c>
      <c r="D21" s="83">
        <f t="shared" si="0"/>
        <v>10.325679542203147</v>
      </c>
      <c r="E21" s="24">
        <v>248000</v>
      </c>
      <c r="F21" s="24">
        <v>147678.65</v>
      </c>
      <c r="G21" s="83">
        <f t="shared" si="1"/>
        <v>59.54784274193548</v>
      </c>
      <c r="H21" s="32">
        <f t="shared" si="2"/>
        <v>34.936761142069315</v>
      </c>
      <c r="I21" s="32">
        <f t="shared" si="3"/>
        <v>34.936761142069315</v>
      </c>
      <c r="J21" s="32">
        <f t="shared" si="4"/>
        <v>0.33680867019306554</v>
      </c>
      <c r="K21" s="32">
        <f t="shared" si="5"/>
        <v>0.33680867019306554</v>
      </c>
    </row>
    <row r="22" spans="1:11" ht="15.75">
      <c r="A22" s="17" t="s">
        <v>271</v>
      </c>
      <c r="B22" s="24">
        <v>29048000</v>
      </c>
      <c r="C22" s="24">
        <v>24324332.2</v>
      </c>
      <c r="D22" s="83">
        <f t="shared" si="0"/>
        <v>83.73840608647755</v>
      </c>
      <c r="E22" s="24">
        <v>27052328.03</v>
      </c>
      <c r="F22" s="24">
        <v>25460277.5</v>
      </c>
      <c r="G22" s="83">
        <f t="shared" si="1"/>
        <v>94.11492227865018</v>
      </c>
      <c r="H22" s="32">
        <f t="shared" si="2"/>
        <v>88.92666418256387</v>
      </c>
      <c r="I22" s="32">
        <f t="shared" si="3"/>
        <v>88.92666418256387</v>
      </c>
      <c r="J22" s="32">
        <f t="shared" si="4"/>
        <v>0.8921951916998101</v>
      </c>
      <c r="K22" s="32">
        <f t="shared" si="5"/>
        <v>0.8921951916998101</v>
      </c>
    </row>
    <row r="23" spans="1:11" ht="15.75">
      <c r="A23" s="17" t="s">
        <v>272</v>
      </c>
      <c r="B23" s="24">
        <v>5062036.94</v>
      </c>
      <c r="C23" s="24">
        <v>312420</v>
      </c>
      <c r="D23" s="83">
        <f t="shared" si="0"/>
        <v>6.171823787599622</v>
      </c>
      <c r="E23" s="24">
        <v>5077435.94</v>
      </c>
      <c r="F23" s="24">
        <v>724851</v>
      </c>
      <c r="G23" s="83">
        <f t="shared" si="1"/>
        <v>14.275926049398862</v>
      </c>
      <c r="H23" s="32">
        <f t="shared" si="2"/>
        <v>10.223874918499241</v>
      </c>
      <c r="I23" s="32">
        <f t="shared" si="3"/>
        <v>10.223874918499241</v>
      </c>
      <c r="J23" s="32">
        <f t="shared" si="4"/>
        <v>0.0825906934390401</v>
      </c>
      <c r="K23" s="32">
        <f t="shared" si="5"/>
        <v>0.0825906934390401</v>
      </c>
    </row>
    <row r="24" ht="15.75">
      <c r="A24" s="5" t="s">
        <v>40</v>
      </c>
    </row>
    <row r="25" ht="15.75">
      <c r="I25" s="44"/>
    </row>
    <row r="26" spans="2:8" ht="15.75">
      <c r="B26" s="44"/>
      <c r="C26" s="44"/>
      <c r="D26" s="44"/>
      <c r="E26" s="44"/>
      <c r="F26" s="44"/>
      <c r="G26" s="44"/>
      <c r="H26" s="44"/>
    </row>
  </sheetData>
  <sheetProtection/>
  <mergeCells count="9">
    <mergeCell ref="H8:H9"/>
    <mergeCell ref="B7:H7"/>
    <mergeCell ref="A1:K1"/>
    <mergeCell ref="A7:A9"/>
    <mergeCell ref="I7:I9"/>
    <mergeCell ref="J7:J9"/>
    <mergeCell ref="K7:K9"/>
    <mergeCell ref="B8:D8"/>
    <mergeCell ref="E8:G8"/>
  </mergeCells>
  <printOptions horizontalCentered="1" verticalCentered="1"/>
  <pageMargins left="0.23" right="0.15748031496062992" top="0.17" bottom="0.31496062992125984" header="0.17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1"/>
  <sheetViews>
    <sheetView view="pageBreakPreview" zoomScaleSheetLayoutView="100" zoomScalePageLayoutView="0" workbookViewId="0" topLeftCell="A1">
      <selection activeCell="G9" sqref="G9:G21"/>
    </sheetView>
  </sheetViews>
  <sheetFormatPr defaultColWidth="9.140625" defaultRowHeight="15"/>
  <cols>
    <col min="1" max="1" width="24.7109375" style="1" customWidth="1"/>
    <col min="2" max="2" width="15.140625" style="1" customWidth="1"/>
    <col min="3" max="3" width="18.57421875" style="1" customWidth="1"/>
    <col min="4" max="4" width="24.28125" style="1" customWidth="1"/>
    <col min="5" max="5" width="8.57421875" style="1" customWidth="1"/>
    <col min="6" max="6" width="7.57421875" style="1" customWidth="1"/>
    <col min="7" max="7" width="10.140625" style="1" customWidth="1"/>
    <col min="8" max="16384" width="9.140625" style="1" customWidth="1"/>
  </cols>
  <sheetData>
    <row r="1" spans="1:7" ht="15.75">
      <c r="A1" s="108" t="s">
        <v>177</v>
      </c>
      <c r="B1" s="108"/>
      <c r="C1" s="108"/>
      <c r="D1" s="108"/>
      <c r="E1" s="108"/>
      <c r="F1" s="108"/>
      <c r="G1" s="108"/>
    </row>
    <row r="3" spans="1:4" ht="15.75">
      <c r="A3" s="10" t="s">
        <v>64</v>
      </c>
      <c r="B3" s="22">
        <f>MAX($E$9:$E$21)</f>
        <v>0.1386617403352441</v>
      </c>
      <c r="C3" s="76"/>
      <c r="D3" s="26"/>
    </row>
    <row r="4" spans="1:4" ht="15.75">
      <c r="A4" s="11" t="s">
        <v>65</v>
      </c>
      <c r="B4" s="100">
        <f>MIN($E$9:$E$21)</f>
        <v>0</v>
      </c>
      <c r="C4" s="77"/>
      <c r="D4" s="27"/>
    </row>
    <row r="5" spans="1:4" ht="15.75">
      <c r="A5" s="12" t="s">
        <v>66</v>
      </c>
      <c r="B5" s="13" t="s">
        <v>46</v>
      </c>
      <c r="C5" s="19"/>
      <c r="D5" s="19"/>
    </row>
    <row r="6" spans="1:4" ht="15.75">
      <c r="A6" s="21"/>
      <c r="B6" s="19"/>
      <c r="C6" s="19"/>
      <c r="D6" s="19"/>
    </row>
    <row r="7" spans="1:7" s="7" customFormat="1" ht="84" customHeight="1">
      <c r="A7" s="95" t="s">
        <v>39</v>
      </c>
      <c r="B7" s="95" t="s">
        <v>178</v>
      </c>
      <c r="C7" s="95" t="s">
        <v>179</v>
      </c>
      <c r="D7" s="95" t="s">
        <v>180</v>
      </c>
      <c r="E7" s="96" t="s">
        <v>67</v>
      </c>
      <c r="F7" s="96" t="s">
        <v>68</v>
      </c>
      <c r="G7" s="96" t="s">
        <v>69</v>
      </c>
    </row>
    <row r="8" spans="1:7" s="7" customFormat="1" ht="15.75">
      <c r="A8" s="9">
        <v>1</v>
      </c>
      <c r="B8" s="9">
        <v>2</v>
      </c>
      <c r="C8" s="9">
        <v>3</v>
      </c>
      <c r="D8" s="9">
        <v>4</v>
      </c>
      <c r="E8" s="9" t="s">
        <v>181</v>
      </c>
      <c r="F8" s="9">
        <v>6</v>
      </c>
      <c r="G8" s="9">
        <v>7</v>
      </c>
    </row>
    <row r="9" spans="1:7" s="7" customFormat="1" ht="15.75">
      <c r="A9" s="17" t="s">
        <v>227</v>
      </c>
      <c r="B9" s="29">
        <v>70</v>
      </c>
      <c r="C9" s="29">
        <v>23976</v>
      </c>
      <c r="D9" s="29">
        <v>27</v>
      </c>
      <c r="E9" s="6">
        <f>$B9/$C9*$D9</f>
        <v>0.07882882882882883</v>
      </c>
      <c r="F9" s="6">
        <f>($E9-$B$4)/($B$3-$B$4)</f>
        <v>0.5684973276568105</v>
      </c>
      <c r="G9" s="6">
        <f>$F9*$B$5</f>
        <v>0.5684973276568105</v>
      </c>
    </row>
    <row r="10" spans="1:7" s="7" customFormat="1" ht="15.75">
      <c r="A10" s="17" t="s">
        <v>222</v>
      </c>
      <c r="B10" s="29">
        <v>32</v>
      </c>
      <c r="C10" s="29">
        <v>38356</v>
      </c>
      <c r="D10" s="29">
        <v>4</v>
      </c>
      <c r="E10" s="101">
        <f aca="true" t="shared" si="0" ref="E10:E21">$B10/$C10*$D10</f>
        <v>0.0033371571592449682</v>
      </c>
      <c r="F10" s="6">
        <f aca="true" t="shared" si="1" ref="F10:F21">($E10-$B$4)/($B$3-$B$4)</f>
        <v>0.02406689221681976</v>
      </c>
      <c r="G10" s="6">
        <f aca="true" t="shared" si="2" ref="G10:G21">$F10*$B$5</f>
        <v>0.02406689221681976</v>
      </c>
    </row>
    <row r="11" spans="1:7" s="7" customFormat="1" ht="15.75">
      <c r="A11" s="17" t="s">
        <v>265</v>
      </c>
      <c r="B11" s="29">
        <v>319</v>
      </c>
      <c r="C11" s="29">
        <v>36809</v>
      </c>
      <c r="D11" s="29">
        <v>16</v>
      </c>
      <c r="E11" s="6">
        <f t="shared" si="0"/>
        <v>0.1386617403352441</v>
      </c>
      <c r="F11" s="61">
        <f t="shared" si="1"/>
        <v>1</v>
      </c>
      <c r="G11" s="61">
        <f t="shared" si="2"/>
        <v>1</v>
      </c>
    </row>
    <row r="12" spans="1:7" s="7" customFormat="1" ht="15.75">
      <c r="A12" s="17" t="s">
        <v>226</v>
      </c>
      <c r="B12" s="29">
        <v>19</v>
      </c>
      <c r="C12" s="29">
        <v>10399</v>
      </c>
      <c r="D12" s="29">
        <v>0</v>
      </c>
      <c r="E12" s="61">
        <f t="shared" si="0"/>
        <v>0</v>
      </c>
      <c r="F12" s="61">
        <f t="shared" si="1"/>
        <v>0</v>
      </c>
      <c r="G12" s="61">
        <f t="shared" si="2"/>
        <v>0</v>
      </c>
    </row>
    <row r="13" spans="1:7" s="7" customFormat="1" ht="15.75">
      <c r="A13" s="17" t="s">
        <v>266</v>
      </c>
      <c r="B13" s="29">
        <v>14</v>
      </c>
      <c r="C13" s="29">
        <v>12541</v>
      </c>
      <c r="D13" s="29">
        <v>0</v>
      </c>
      <c r="E13" s="61">
        <f t="shared" si="0"/>
        <v>0</v>
      </c>
      <c r="F13" s="61">
        <f t="shared" si="1"/>
        <v>0</v>
      </c>
      <c r="G13" s="61">
        <f t="shared" si="2"/>
        <v>0</v>
      </c>
    </row>
    <row r="14" spans="1:7" s="7" customFormat="1" ht="15.75">
      <c r="A14" s="17" t="s">
        <v>158</v>
      </c>
      <c r="B14" s="29">
        <v>39</v>
      </c>
      <c r="C14" s="29">
        <v>49681</v>
      </c>
      <c r="D14" s="29">
        <v>9</v>
      </c>
      <c r="E14" s="6">
        <f t="shared" si="0"/>
        <v>0.007065075179646142</v>
      </c>
      <c r="F14" s="6">
        <f t="shared" si="1"/>
        <v>0.05095187152970119</v>
      </c>
      <c r="G14" s="6">
        <f t="shared" si="2"/>
        <v>0.05095187152970119</v>
      </c>
    </row>
    <row r="15" spans="1:7" s="7" customFormat="1" ht="15.75">
      <c r="A15" s="17" t="s">
        <v>159</v>
      </c>
      <c r="B15" s="29">
        <v>36</v>
      </c>
      <c r="C15" s="29">
        <v>29358</v>
      </c>
      <c r="D15" s="29">
        <v>3</v>
      </c>
      <c r="E15" s="101">
        <f t="shared" si="0"/>
        <v>0.003678724708767627</v>
      </c>
      <c r="F15" s="6">
        <f t="shared" si="1"/>
        <v>0.026530207250201332</v>
      </c>
      <c r="G15" s="6">
        <f t="shared" si="2"/>
        <v>0.026530207250201332</v>
      </c>
    </row>
    <row r="16" spans="1:7" s="7" customFormat="1" ht="15.75">
      <c r="A16" s="17" t="s">
        <v>267</v>
      </c>
      <c r="B16" s="29">
        <v>31</v>
      </c>
      <c r="C16" s="29">
        <v>9408</v>
      </c>
      <c r="D16" s="29">
        <v>2</v>
      </c>
      <c r="E16" s="6">
        <f t="shared" si="0"/>
        <v>0.006590136054421769</v>
      </c>
      <c r="F16" s="6">
        <f t="shared" si="1"/>
        <v>0.047526708077431604</v>
      </c>
      <c r="G16" s="6">
        <f t="shared" si="2"/>
        <v>0.047526708077431604</v>
      </c>
    </row>
    <row r="17" spans="1:7" s="7" customFormat="1" ht="15.75">
      <c r="A17" s="17" t="s">
        <v>268</v>
      </c>
      <c r="B17" s="29">
        <v>27</v>
      </c>
      <c r="C17" s="29">
        <v>27190</v>
      </c>
      <c r="D17" s="29">
        <v>1</v>
      </c>
      <c r="E17" s="101">
        <f t="shared" si="0"/>
        <v>0.0009930121368150054</v>
      </c>
      <c r="F17" s="6">
        <f t="shared" si="1"/>
        <v>0.007161399636368248</v>
      </c>
      <c r="G17" s="6">
        <f t="shared" si="2"/>
        <v>0.007161399636368248</v>
      </c>
    </row>
    <row r="18" spans="1:7" s="7" customFormat="1" ht="15.75">
      <c r="A18" s="17" t="s">
        <v>269</v>
      </c>
      <c r="B18" s="29">
        <v>56</v>
      </c>
      <c r="C18" s="29">
        <v>22615</v>
      </c>
      <c r="D18" s="29">
        <v>17</v>
      </c>
      <c r="E18" s="6">
        <f t="shared" si="0"/>
        <v>0.042095954012823344</v>
      </c>
      <c r="F18" s="6">
        <f t="shared" si="1"/>
        <v>0.3035873768138743</v>
      </c>
      <c r="G18" s="6">
        <f t="shared" si="2"/>
        <v>0.3035873768138743</v>
      </c>
    </row>
    <row r="19" spans="1:7" s="7" customFormat="1" ht="15.75">
      <c r="A19" s="17" t="s">
        <v>270</v>
      </c>
      <c r="B19" s="29">
        <v>57</v>
      </c>
      <c r="C19" s="29">
        <v>22384</v>
      </c>
      <c r="D19" s="29">
        <v>14</v>
      </c>
      <c r="E19" s="6">
        <f t="shared" si="0"/>
        <v>0.035650464617583984</v>
      </c>
      <c r="F19" s="6">
        <f t="shared" si="1"/>
        <v>0.25710383074229015</v>
      </c>
      <c r="G19" s="6">
        <f t="shared" si="2"/>
        <v>0.25710383074229015</v>
      </c>
    </row>
    <row r="20" spans="1:7" s="7" customFormat="1" ht="15.75">
      <c r="A20" s="17" t="s">
        <v>271</v>
      </c>
      <c r="B20" s="29">
        <v>64</v>
      </c>
      <c r="C20" s="29">
        <v>29271</v>
      </c>
      <c r="D20" s="29">
        <v>2</v>
      </c>
      <c r="E20" s="101">
        <f t="shared" si="0"/>
        <v>0.004372928837415873</v>
      </c>
      <c r="F20" s="6">
        <f t="shared" si="1"/>
        <v>0.03153666488566632</v>
      </c>
      <c r="G20" s="6">
        <f t="shared" si="2"/>
        <v>0.03153666488566632</v>
      </c>
    </row>
    <row r="21" spans="1:7" s="7" customFormat="1" ht="15.75">
      <c r="A21" s="17" t="s">
        <v>272</v>
      </c>
      <c r="B21" s="29">
        <v>18</v>
      </c>
      <c r="C21" s="29">
        <v>12819</v>
      </c>
      <c r="D21" s="29">
        <v>0</v>
      </c>
      <c r="E21" s="61">
        <f t="shared" si="0"/>
        <v>0</v>
      </c>
      <c r="F21" s="61">
        <f t="shared" si="1"/>
        <v>0</v>
      </c>
      <c r="G21" s="61">
        <f t="shared" si="2"/>
        <v>0</v>
      </c>
    </row>
  </sheetData>
  <sheetProtection/>
  <mergeCells count="1">
    <mergeCell ref="A1:G1"/>
  </mergeCells>
  <printOptions horizontalCentered="1" verticalCentered="1"/>
  <pageMargins left="0.2362204724409449" right="0.15748031496062992" top="0.15748031496062992" bottom="0.31496062992125984" header="0.15748031496062992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3"/>
  <sheetViews>
    <sheetView view="pageBreakPreview" zoomScaleSheetLayoutView="100" zoomScalePageLayoutView="0" workbookViewId="0" topLeftCell="A1">
      <selection activeCell="G10" sqref="G10:G22"/>
    </sheetView>
  </sheetViews>
  <sheetFormatPr defaultColWidth="9.140625" defaultRowHeight="15"/>
  <cols>
    <col min="1" max="1" width="24.7109375" style="31" customWidth="1"/>
    <col min="2" max="2" width="17.28125" style="31" customWidth="1"/>
    <col min="3" max="3" width="20.57421875" style="31" customWidth="1"/>
    <col min="4" max="4" width="17.57421875" style="31" customWidth="1"/>
    <col min="5" max="5" width="9.8515625" style="45" customWidth="1"/>
    <col min="6" max="6" width="6.57421875" style="45" customWidth="1"/>
    <col min="7" max="7" width="12.57421875" style="45" customWidth="1"/>
    <col min="8" max="16384" width="9.140625" style="31" customWidth="1"/>
  </cols>
  <sheetData>
    <row r="1" spans="1:7" ht="15.75">
      <c r="A1" s="112" t="s">
        <v>220</v>
      </c>
      <c r="B1" s="118"/>
      <c r="C1" s="118"/>
      <c r="D1" s="118"/>
      <c r="E1" s="118"/>
      <c r="F1" s="118"/>
      <c r="G1" s="118"/>
    </row>
    <row r="3" spans="1:4" ht="15.75">
      <c r="A3" s="41" t="s">
        <v>182</v>
      </c>
      <c r="B3" s="63">
        <f>MAX($E$10:$E$22)</f>
        <v>0.0802874562411607</v>
      </c>
      <c r="C3" s="54"/>
      <c r="D3" s="54"/>
    </row>
    <row r="4" spans="1:4" ht="15.75">
      <c r="A4" s="39" t="s">
        <v>183</v>
      </c>
      <c r="B4" s="99">
        <f>MIN($E$10:$E$22)</f>
        <v>0.04268569738914006</v>
      </c>
      <c r="C4" s="55"/>
      <c r="D4" s="55"/>
    </row>
    <row r="5" spans="1:4" ht="15.75">
      <c r="A5" s="37" t="s">
        <v>184</v>
      </c>
      <c r="B5" s="36" t="s">
        <v>41</v>
      </c>
      <c r="C5" s="43"/>
      <c r="D5" s="43"/>
    </row>
    <row r="7" spans="1:7" s="35" customFormat="1" ht="32.25" customHeight="1">
      <c r="A7" s="110" t="s">
        <v>39</v>
      </c>
      <c r="B7" s="110" t="s">
        <v>187</v>
      </c>
      <c r="C7" s="110"/>
      <c r="D7" s="110" t="s">
        <v>186</v>
      </c>
      <c r="E7" s="116" t="s">
        <v>189</v>
      </c>
      <c r="F7" s="116" t="s">
        <v>190</v>
      </c>
      <c r="G7" s="116" t="s">
        <v>191</v>
      </c>
    </row>
    <row r="8" spans="1:7" s="35" customFormat="1" ht="64.5" customHeight="1">
      <c r="A8" s="110"/>
      <c r="B8" s="28" t="s">
        <v>51</v>
      </c>
      <c r="C8" s="28" t="s">
        <v>185</v>
      </c>
      <c r="D8" s="110"/>
      <c r="E8" s="116"/>
      <c r="F8" s="116"/>
      <c r="G8" s="116"/>
    </row>
    <row r="9" spans="1:7" s="33" customFormat="1" ht="15.75">
      <c r="A9" s="34">
        <v>1</v>
      </c>
      <c r="B9" s="34">
        <v>2</v>
      </c>
      <c r="C9" s="34">
        <v>3</v>
      </c>
      <c r="D9" s="34">
        <v>4</v>
      </c>
      <c r="E9" s="34" t="s">
        <v>188</v>
      </c>
      <c r="F9" s="34">
        <v>6</v>
      </c>
      <c r="G9" s="34">
        <v>7</v>
      </c>
    </row>
    <row r="10" spans="1:7" ht="15.75">
      <c r="A10" s="17" t="s">
        <v>227</v>
      </c>
      <c r="B10" s="82">
        <v>238278009.17</v>
      </c>
      <c r="C10" s="82">
        <v>-26603813.14</v>
      </c>
      <c r="D10" s="82">
        <v>6205399900</v>
      </c>
      <c r="E10" s="65">
        <f>($B10-$C10)/$D10</f>
        <v>0.04268569738914006</v>
      </c>
      <c r="F10" s="79">
        <f>($E10-$B$4)/($B$3-$B$4)</f>
        <v>0</v>
      </c>
      <c r="G10" s="79">
        <f>$F10*$B$5</f>
        <v>0</v>
      </c>
    </row>
    <row r="11" spans="1:7" ht="15.75">
      <c r="A11" s="17" t="s">
        <v>222</v>
      </c>
      <c r="B11" s="82">
        <v>69968455.14</v>
      </c>
      <c r="C11" s="82">
        <v>-6185837.08</v>
      </c>
      <c r="D11" s="82">
        <v>1747579400</v>
      </c>
      <c r="E11" s="65">
        <f aca="true" t="shared" si="0" ref="E11:E22">($B11-$C11)/$D11</f>
        <v>0.0435770141373834</v>
      </c>
      <c r="F11" s="50">
        <f aca="true" t="shared" si="1" ref="F11:F22">($E11-$B$4)/($B$3-$B$4)</f>
        <v>0.023704123835032814</v>
      </c>
      <c r="G11" s="50">
        <f aca="true" t="shared" si="2" ref="G11:G22">$F11*$B$5</f>
        <v>0.04740824767006563</v>
      </c>
    </row>
    <row r="12" spans="1:7" ht="15.75">
      <c r="A12" s="17" t="s">
        <v>265</v>
      </c>
      <c r="B12" s="82">
        <v>64550417.86</v>
      </c>
      <c r="C12" s="82">
        <v>-2938431.66</v>
      </c>
      <c r="D12" s="82">
        <v>1070772900</v>
      </c>
      <c r="E12" s="65">
        <f t="shared" si="0"/>
        <v>0.06302816360033019</v>
      </c>
      <c r="F12" s="50">
        <f t="shared" si="1"/>
        <v>0.5409977307510169</v>
      </c>
      <c r="G12" s="50">
        <f t="shared" si="2"/>
        <v>1.0819954615020337</v>
      </c>
    </row>
    <row r="13" spans="1:7" ht="15.75">
      <c r="A13" s="17" t="s">
        <v>226</v>
      </c>
      <c r="B13" s="82">
        <v>24492183.37</v>
      </c>
      <c r="C13" s="82">
        <v>-1585754.78</v>
      </c>
      <c r="D13" s="82">
        <v>357525800</v>
      </c>
      <c r="E13" s="65">
        <f t="shared" si="0"/>
        <v>0.07294001761551194</v>
      </c>
      <c r="F13" s="50">
        <f t="shared" si="1"/>
        <v>0.8045985387395271</v>
      </c>
      <c r="G13" s="50">
        <f t="shared" si="2"/>
        <v>1.6091970774790543</v>
      </c>
    </row>
    <row r="14" spans="1:7" ht="15.75">
      <c r="A14" s="17" t="s">
        <v>266</v>
      </c>
      <c r="B14" s="82">
        <v>15666747.4</v>
      </c>
      <c r="C14" s="82">
        <v>-670289.46</v>
      </c>
      <c r="D14" s="82">
        <v>240144100</v>
      </c>
      <c r="E14" s="65">
        <f t="shared" si="0"/>
        <v>0.0680301404864829</v>
      </c>
      <c r="F14" s="50">
        <f t="shared" si="1"/>
        <v>0.674022808270334</v>
      </c>
      <c r="G14" s="50">
        <f t="shared" si="2"/>
        <v>1.348045616540668</v>
      </c>
    </row>
    <row r="15" spans="1:7" ht="15.75">
      <c r="A15" s="17" t="s">
        <v>158</v>
      </c>
      <c r="B15" s="82">
        <v>59079511.63</v>
      </c>
      <c r="C15" s="82">
        <v>-3180858.87</v>
      </c>
      <c r="D15" s="82">
        <v>818066800</v>
      </c>
      <c r="E15" s="65">
        <f t="shared" si="0"/>
        <v>0.0761067073006752</v>
      </c>
      <c r="F15" s="50">
        <f t="shared" si="1"/>
        <v>0.8888150696104784</v>
      </c>
      <c r="G15" s="50">
        <f t="shared" si="2"/>
        <v>1.7776301392209568</v>
      </c>
    </row>
    <row r="16" spans="1:7" ht="15.75">
      <c r="A16" s="17" t="s">
        <v>159</v>
      </c>
      <c r="B16" s="82">
        <v>63761556.53</v>
      </c>
      <c r="C16" s="82">
        <v>-2998408.89</v>
      </c>
      <c r="D16" s="82">
        <v>993836100</v>
      </c>
      <c r="E16" s="65">
        <f t="shared" si="0"/>
        <v>0.06717401935792029</v>
      </c>
      <c r="F16" s="50">
        <f t="shared" si="1"/>
        <v>0.6512546943655612</v>
      </c>
      <c r="G16" s="50">
        <f t="shared" si="2"/>
        <v>1.3025093887311223</v>
      </c>
    </row>
    <row r="17" spans="1:7" ht="15.75">
      <c r="A17" s="17" t="s">
        <v>267</v>
      </c>
      <c r="B17" s="82">
        <v>16420506</v>
      </c>
      <c r="C17" s="82">
        <v>-1831961.81</v>
      </c>
      <c r="D17" s="82">
        <v>249836200</v>
      </c>
      <c r="E17" s="65">
        <f t="shared" si="0"/>
        <v>0.07305773867037682</v>
      </c>
      <c r="F17" s="50">
        <f t="shared" si="1"/>
        <v>0.8077292714089259</v>
      </c>
      <c r="G17" s="50">
        <f t="shared" si="2"/>
        <v>1.6154585428178518</v>
      </c>
    </row>
    <row r="18" spans="1:7" ht="15.75">
      <c r="A18" s="17" t="s">
        <v>268</v>
      </c>
      <c r="B18" s="82">
        <v>21751573.99</v>
      </c>
      <c r="C18" s="82">
        <v>-1588072.04</v>
      </c>
      <c r="D18" s="82">
        <v>343421300</v>
      </c>
      <c r="E18" s="65">
        <f t="shared" si="0"/>
        <v>0.06796213871999203</v>
      </c>
      <c r="F18" s="50">
        <f t="shared" si="1"/>
        <v>0.6722143352476095</v>
      </c>
      <c r="G18" s="50">
        <f t="shared" si="2"/>
        <v>1.344428670495219</v>
      </c>
    </row>
    <row r="19" spans="1:7" ht="15.75">
      <c r="A19" s="17" t="s">
        <v>269</v>
      </c>
      <c r="B19" s="82">
        <v>58330704.75</v>
      </c>
      <c r="C19" s="82">
        <v>-4570432.72</v>
      </c>
      <c r="D19" s="82">
        <v>1295873200</v>
      </c>
      <c r="E19" s="65">
        <f t="shared" si="0"/>
        <v>0.04853957738303408</v>
      </c>
      <c r="F19" s="50">
        <f t="shared" si="1"/>
        <v>0.155681015266642</v>
      </c>
      <c r="G19" s="50">
        <f t="shared" si="2"/>
        <v>0.311362030533284</v>
      </c>
    </row>
    <row r="20" spans="1:7" ht="15.75">
      <c r="A20" s="17" t="s">
        <v>270</v>
      </c>
      <c r="B20" s="82">
        <v>19620254.52</v>
      </c>
      <c r="C20" s="82">
        <v>-674607.95</v>
      </c>
      <c r="D20" s="82">
        <v>252777500</v>
      </c>
      <c r="E20" s="65">
        <f t="shared" si="0"/>
        <v>0.0802874562411607</v>
      </c>
      <c r="F20" s="79">
        <f t="shared" si="1"/>
        <v>1</v>
      </c>
      <c r="G20" s="79">
        <f t="shared" si="2"/>
        <v>2</v>
      </c>
    </row>
    <row r="21" spans="1:7" ht="15.75">
      <c r="A21" s="17" t="s">
        <v>271</v>
      </c>
      <c r="B21" s="82">
        <v>93127765.63</v>
      </c>
      <c r="C21" s="82">
        <v>-8634317.78</v>
      </c>
      <c r="D21" s="82">
        <v>1593951400</v>
      </c>
      <c r="E21" s="65">
        <f t="shared" si="0"/>
        <v>0.06384265129413606</v>
      </c>
      <c r="F21" s="50">
        <f t="shared" si="1"/>
        <v>0.5626586242483461</v>
      </c>
      <c r="G21" s="50">
        <f t="shared" si="2"/>
        <v>1.1253172484966922</v>
      </c>
    </row>
    <row r="22" spans="1:7" ht="15.75">
      <c r="A22" s="17" t="s">
        <v>272</v>
      </c>
      <c r="B22" s="82">
        <v>15093208.3</v>
      </c>
      <c r="C22" s="82">
        <v>-1322572.49</v>
      </c>
      <c r="D22" s="82">
        <v>277444600</v>
      </c>
      <c r="E22" s="65">
        <f t="shared" si="0"/>
        <v>0.05916777904489762</v>
      </c>
      <c r="F22" s="50">
        <f t="shared" si="1"/>
        <v>0.4383327312060522</v>
      </c>
      <c r="G22" s="50">
        <f t="shared" si="2"/>
        <v>0.8766654624121044</v>
      </c>
    </row>
    <row r="23" ht="15.75">
      <c r="A23" s="5" t="s">
        <v>40</v>
      </c>
    </row>
  </sheetData>
  <sheetProtection/>
  <mergeCells count="7">
    <mergeCell ref="A1:G1"/>
    <mergeCell ref="B7:C7"/>
    <mergeCell ref="A7:A8"/>
    <mergeCell ref="D7:D8"/>
    <mergeCell ref="E7:E8"/>
    <mergeCell ref="F7:F8"/>
    <mergeCell ref="G7:G8"/>
  </mergeCells>
  <printOptions horizontalCentered="1" verticalCentered="1"/>
  <pageMargins left="0.15748031496062992" right="0.2362204724409449" top="0.15748031496062992" bottom="0.2362204724409449" header="0.15748031496062992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2"/>
  <sheetViews>
    <sheetView view="pageBreakPreview" zoomScaleSheetLayoutView="100" zoomScalePageLayoutView="0" workbookViewId="0" topLeftCell="A1">
      <selection activeCell="F9" sqref="F9:F21"/>
    </sheetView>
  </sheetViews>
  <sheetFormatPr defaultColWidth="8.7109375" defaultRowHeight="15"/>
  <cols>
    <col min="1" max="1" width="24.140625" style="31" customWidth="1"/>
    <col min="2" max="2" width="18.00390625" style="31" customWidth="1"/>
    <col min="3" max="3" width="15.7109375" style="31" customWidth="1"/>
    <col min="4" max="4" width="12.421875" style="31" customWidth="1"/>
    <col min="5" max="5" width="6.140625" style="31" customWidth="1"/>
    <col min="6" max="6" width="12.7109375" style="31" customWidth="1"/>
    <col min="7" max="7" width="8.7109375" style="31" customWidth="1"/>
    <col min="8" max="16384" width="8.7109375" style="31" customWidth="1"/>
  </cols>
  <sheetData>
    <row r="1" spans="1:6" ht="33" customHeight="1">
      <c r="A1" s="112" t="s">
        <v>200</v>
      </c>
      <c r="B1" s="112"/>
      <c r="C1" s="112"/>
      <c r="D1" s="112"/>
      <c r="E1" s="112"/>
      <c r="F1" s="112"/>
    </row>
    <row r="3" spans="1:3" ht="15.75">
      <c r="A3" s="41" t="s">
        <v>192</v>
      </c>
      <c r="B3" s="40">
        <f>MAX($D$9:$D$21)</f>
        <v>17.083843864869593</v>
      </c>
      <c r="C3" s="46"/>
    </row>
    <row r="4" spans="1:3" ht="15.75">
      <c r="A4" s="39" t="s">
        <v>193</v>
      </c>
      <c r="B4" s="38">
        <f>MIN($D$9:$D$21)</f>
        <v>5.285261771719401</v>
      </c>
      <c r="C4" s="47"/>
    </row>
    <row r="5" spans="1:3" ht="15.75">
      <c r="A5" s="37" t="s">
        <v>194</v>
      </c>
      <c r="B5" s="36" t="s">
        <v>46</v>
      </c>
      <c r="C5" s="43"/>
    </row>
    <row r="7" spans="1:7" s="35" customFormat="1" ht="63.75" customHeight="1">
      <c r="A7" s="86" t="s">
        <v>39</v>
      </c>
      <c r="B7" s="28" t="s">
        <v>195</v>
      </c>
      <c r="C7" s="28" t="s">
        <v>223</v>
      </c>
      <c r="D7" s="34" t="s">
        <v>196</v>
      </c>
      <c r="E7" s="34" t="s">
        <v>197</v>
      </c>
      <c r="F7" s="34" t="s">
        <v>198</v>
      </c>
      <c r="G7" s="113"/>
    </row>
    <row r="8" spans="1:7" s="33" customFormat="1" ht="15.75">
      <c r="A8" s="87">
        <v>1</v>
      </c>
      <c r="B8" s="87">
        <v>2</v>
      </c>
      <c r="C8" s="87">
        <v>3</v>
      </c>
      <c r="D8" s="87" t="s">
        <v>199</v>
      </c>
      <c r="E8" s="87">
        <v>5</v>
      </c>
      <c r="F8" s="87">
        <v>6</v>
      </c>
      <c r="G8" s="113"/>
    </row>
    <row r="9" spans="1:7" ht="15.75">
      <c r="A9" s="17" t="s">
        <v>227</v>
      </c>
      <c r="B9" s="84">
        <v>1361</v>
      </c>
      <c r="C9" s="56">
        <v>107274</v>
      </c>
      <c r="D9" s="32">
        <f>$B9/$C9*1000</f>
        <v>12.687137610231742</v>
      </c>
      <c r="E9" s="32">
        <f>($D9-$B$4)/($B$3-$B$4)</f>
        <v>0.6273529971715491</v>
      </c>
      <c r="F9" s="32">
        <f>$E9*$B$5</f>
        <v>0.6273529971715491</v>
      </c>
      <c r="G9" s="48"/>
    </row>
    <row r="10" spans="1:7" ht="15.75">
      <c r="A10" s="17" t="s">
        <v>222</v>
      </c>
      <c r="B10" s="84">
        <v>976</v>
      </c>
      <c r="C10" s="56">
        <v>57130</v>
      </c>
      <c r="D10" s="32">
        <f aca="true" t="shared" si="0" ref="D10:D21">$B10/$C10*1000</f>
        <v>17.083843864869593</v>
      </c>
      <c r="E10" s="98">
        <f aca="true" t="shared" si="1" ref="E10:E21">($D10-$B$4)/($B$3-$B$4)</f>
        <v>1</v>
      </c>
      <c r="F10" s="98">
        <f aca="true" t="shared" si="2" ref="F10:F21">$E10*$B$5</f>
        <v>1</v>
      </c>
      <c r="G10" s="48"/>
    </row>
    <row r="11" spans="1:7" ht="15.75">
      <c r="A11" s="17" t="s">
        <v>265</v>
      </c>
      <c r="B11" s="84">
        <v>406.5</v>
      </c>
      <c r="C11" s="56">
        <v>40569</v>
      </c>
      <c r="D11" s="32">
        <f t="shared" si="0"/>
        <v>10.019965983879317</v>
      </c>
      <c r="E11" s="32">
        <f t="shared" si="1"/>
        <v>0.40129433984348895</v>
      </c>
      <c r="F11" s="32">
        <f t="shared" si="2"/>
        <v>0.40129433984348895</v>
      </c>
      <c r="G11" s="48"/>
    </row>
    <row r="12" spans="1:7" ht="15.75">
      <c r="A12" s="17" t="s">
        <v>226</v>
      </c>
      <c r="B12" s="84">
        <v>220</v>
      </c>
      <c r="C12" s="56">
        <v>19285</v>
      </c>
      <c r="D12" s="32">
        <f t="shared" si="0"/>
        <v>11.407829919626652</v>
      </c>
      <c r="E12" s="32">
        <f t="shared" si="1"/>
        <v>0.5189240621940311</v>
      </c>
      <c r="F12" s="32">
        <f t="shared" si="2"/>
        <v>0.5189240621940311</v>
      </c>
      <c r="G12" s="48"/>
    </row>
    <row r="13" spans="1:7" ht="15.75">
      <c r="A13" s="17" t="s">
        <v>266</v>
      </c>
      <c r="B13" s="84">
        <v>137.5</v>
      </c>
      <c r="C13" s="56">
        <v>12875</v>
      </c>
      <c r="D13" s="32">
        <f t="shared" si="0"/>
        <v>10.679611650485437</v>
      </c>
      <c r="E13" s="32">
        <f t="shared" si="1"/>
        <v>0.45720323308152355</v>
      </c>
      <c r="F13" s="32">
        <f t="shared" si="2"/>
        <v>0.45720323308152355</v>
      </c>
      <c r="G13" s="48"/>
    </row>
    <row r="14" spans="1:7" ht="15.75">
      <c r="A14" s="17" t="s">
        <v>158</v>
      </c>
      <c r="B14" s="84">
        <v>235</v>
      </c>
      <c r="C14" s="56">
        <v>32470</v>
      </c>
      <c r="D14" s="32">
        <f t="shared" si="0"/>
        <v>7.237449953803511</v>
      </c>
      <c r="E14" s="32">
        <f t="shared" si="1"/>
        <v>0.16545955833264714</v>
      </c>
      <c r="F14" s="32">
        <f t="shared" si="2"/>
        <v>0.16545955833264714</v>
      </c>
      <c r="G14" s="48"/>
    </row>
    <row r="15" spans="1:7" ht="15.75">
      <c r="A15" s="17" t="s">
        <v>159</v>
      </c>
      <c r="B15" s="84">
        <v>517</v>
      </c>
      <c r="C15" s="56">
        <v>45276</v>
      </c>
      <c r="D15" s="32">
        <f t="shared" si="0"/>
        <v>11.41885325558795</v>
      </c>
      <c r="E15" s="32">
        <f t="shared" si="1"/>
        <v>0.5198583554738734</v>
      </c>
      <c r="F15" s="32">
        <f t="shared" si="2"/>
        <v>0.5198583554738734</v>
      </c>
      <c r="G15" s="48"/>
    </row>
    <row r="16" spans="1:7" ht="15.75">
      <c r="A16" s="17" t="s">
        <v>267</v>
      </c>
      <c r="B16" s="84">
        <v>156</v>
      </c>
      <c r="C16" s="56">
        <v>15022</v>
      </c>
      <c r="D16" s="32">
        <f t="shared" si="0"/>
        <v>10.38476900545866</v>
      </c>
      <c r="E16" s="32">
        <f t="shared" si="1"/>
        <v>0.43221356545036366</v>
      </c>
      <c r="F16" s="32">
        <f t="shared" si="2"/>
        <v>0.43221356545036366</v>
      </c>
      <c r="G16" s="48"/>
    </row>
    <row r="17" spans="1:7" ht="15.75">
      <c r="A17" s="17" t="s">
        <v>268</v>
      </c>
      <c r="B17" s="84">
        <v>142.5</v>
      </c>
      <c r="C17" s="56">
        <v>17325</v>
      </c>
      <c r="D17" s="32">
        <f t="shared" si="0"/>
        <v>8.225108225108226</v>
      </c>
      <c r="E17" s="32">
        <f t="shared" si="1"/>
        <v>0.24916947054982044</v>
      </c>
      <c r="F17" s="32">
        <f t="shared" si="2"/>
        <v>0.24916947054982044</v>
      </c>
      <c r="G17" s="48"/>
    </row>
    <row r="18" spans="1:7" ht="15.75">
      <c r="A18" s="17" t="s">
        <v>269</v>
      </c>
      <c r="B18" s="84">
        <v>292</v>
      </c>
      <c r="C18" s="56">
        <v>33797</v>
      </c>
      <c r="D18" s="32">
        <f t="shared" si="0"/>
        <v>8.639820102375952</v>
      </c>
      <c r="E18" s="32">
        <f t="shared" si="1"/>
        <v>0.28431876849033244</v>
      </c>
      <c r="F18" s="32">
        <f t="shared" si="2"/>
        <v>0.28431876849033244</v>
      </c>
      <c r="G18" s="48"/>
    </row>
    <row r="19" spans="1:7" ht="15.75">
      <c r="A19" s="17" t="s">
        <v>270</v>
      </c>
      <c r="B19" s="84">
        <v>148.5</v>
      </c>
      <c r="C19" s="56">
        <v>28097</v>
      </c>
      <c r="D19" s="32">
        <f t="shared" si="0"/>
        <v>5.285261771719401</v>
      </c>
      <c r="E19" s="98">
        <f t="shared" si="1"/>
        <v>0</v>
      </c>
      <c r="F19" s="98">
        <f t="shared" si="2"/>
        <v>0</v>
      </c>
      <c r="G19" s="48"/>
    </row>
    <row r="20" spans="1:7" ht="15.75">
      <c r="A20" s="17" t="s">
        <v>271</v>
      </c>
      <c r="B20" s="84">
        <v>449.5</v>
      </c>
      <c r="C20" s="56">
        <v>45900</v>
      </c>
      <c r="D20" s="32">
        <f t="shared" si="0"/>
        <v>9.793028322440087</v>
      </c>
      <c r="E20" s="32">
        <f t="shared" si="1"/>
        <v>0.38206002341058626</v>
      </c>
      <c r="F20" s="32">
        <f t="shared" si="2"/>
        <v>0.38206002341058626</v>
      </c>
      <c r="G20" s="48"/>
    </row>
    <row r="21" spans="1:7" ht="15.75">
      <c r="A21" s="17" t="s">
        <v>272</v>
      </c>
      <c r="B21" s="84">
        <v>166.5</v>
      </c>
      <c r="C21" s="56">
        <v>15924</v>
      </c>
      <c r="D21" s="32">
        <f t="shared" si="0"/>
        <v>10.455915599095706</v>
      </c>
      <c r="E21" s="32">
        <f t="shared" si="1"/>
        <v>0.4382436623785658</v>
      </c>
      <c r="F21" s="32">
        <f t="shared" si="2"/>
        <v>0.4382436623785658</v>
      </c>
      <c r="G21" s="48"/>
    </row>
    <row r="22" spans="1:7" ht="15.75">
      <c r="A22" s="5"/>
      <c r="G22" s="44"/>
    </row>
  </sheetData>
  <sheetProtection/>
  <mergeCells count="2">
    <mergeCell ref="G7:G8"/>
    <mergeCell ref="A1:F1"/>
  </mergeCells>
  <printOptions horizontalCentered="1" verticalCentered="1"/>
  <pageMargins left="0.23" right="0.15748031496062992" top="0.17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2015-10-15T06:06:50Z</dcterms:modified>
  <cp:category/>
  <cp:version/>
  <cp:contentType/>
  <cp:contentStatus/>
</cp:coreProperties>
</file>