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3020" windowHeight="8016" activeTab="17"/>
  </bookViews>
  <sheets>
    <sheet name="Критерии" sheetId="1" r:id="rId1"/>
    <sheet name="ст.92.1" sheetId="2" r:id="rId2"/>
    <sheet name="ст.107" sheetId="3" r:id="rId3"/>
    <sheet name="ст.111" sheetId="4" r:id="rId4"/>
    <sheet name="1.1" sheetId="5" r:id="rId5"/>
    <sheet name="2" sheetId="6" r:id="rId6"/>
    <sheet name="4.1" sheetId="7" r:id="rId7"/>
    <sheet name="5.1" sheetId="8" r:id="rId8"/>
    <sheet name="7" sheetId="9" r:id="rId9"/>
    <sheet name="7.1" sheetId="10" r:id="rId10"/>
    <sheet name="9" sheetId="11" r:id="rId11"/>
    <sheet name="10" sheetId="12" r:id="rId12"/>
    <sheet name="12" sheetId="13" r:id="rId13"/>
    <sheet name="13" sheetId="14" r:id="rId14"/>
    <sheet name="14" sheetId="15" r:id="rId15"/>
    <sheet name="15" sheetId="16" r:id="rId16"/>
    <sheet name="рейтинг" sheetId="17" r:id="rId17"/>
    <sheet name="дотации" sheetId="18" r:id="rId18"/>
  </sheets>
  <definedNames>
    <definedName name="_xlnm.Print_Area" localSheetId="4">'1.1'!$A$1:$G$22</definedName>
    <definedName name="_xlnm.Print_Area" localSheetId="11">'10'!$A$1:$G$22</definedName>
    <definedName name="_xlnm.Print_Area" localSheetId="12">'12'!$A$1:$G$22</definedName>
    <definedName name="_xlnm.Print_Area" localSheetId="13">'13'!$A$1:$M$22</definedName>
    <definedName name="_xlnm.Print_Area" localSheetId="14">'14'!$A$1:$K$22</definedName>
    <definedName name="_xlnm.Print_Area" localSheetId="15">'15'!$A$1:$T$23</definedName>
    <definedName name="_xlnm.Print_Area" localSheetId="5">'2'!$A$1:$R$24</definedName>
    <definedName name="_xlnm.Print_Area" localSheetId="6">'4.1'!$A$1:$H$23</definedName>
    <definedName name="_xlnm.Print_Area" localSheetId="8">'7'!$A$1:$G$22</definedName>
    <definedName name="_xlnm.Print_Area" localSheetId="17">'дотации'!$A$1:$D$12</definedName>
    <definedName name="_xlnm.Print_Area" localSheetId="16">'рейтинг'!$A$1:$P$18</definedName>
    <definedName name="_xlnm.Print_Area" localSheetId="2">'ст.107'!$A$1:$H$43</definedName>
    <definedName name="_xlnm.Print_Area" localSheetId="3">'ст.111'!$A$1:$F$41</definedName>
    <definedName name="_xlnm.Print_Area" localSheetId="1">'ст.92.1'!$A$1:$J$43</definedName>
  </definedNames>
  <calcPr fullCalcOnLoad="1"/>
</workbook>
</file>

<file path=xl/sharedStrings.xml><?xml version="1.0" encoding="utf-8"?>
<sst xmlns="http://schemas.openxmlformats.org/spreadsheetml/2006/main" count="906" uniqueCount="283">
  <si>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</si>
  <si>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</si>
  <si>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</si>
  <si>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</si>
  <si>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</si>
  <si>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</si>
  <si>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</si>
  <si>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</si>
  <si>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</si>
  <si>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</si>
  <si>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</si>
  <si>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</si>
  <si>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</si>
  <si>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</si>
  <si>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</si>
  <si>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</si>
  <si>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</si>
  <si>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</si>
  <si>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</si>
  <si>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</si>
  <si>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</si>
  <si>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</si>
  <si>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</si>
  <si>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</si>
  <si>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</si>
  <si>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</si>
  <si>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</si>
  <si>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</si>
  <si>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</si>
  <si>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</si>
  <si>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</si>
  <si>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</si>
  <si>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</si>
  <si>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</si>
  <si>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</si>
  <si>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</si>
  <si>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</si>
  <si>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"+" - муниципальное образование удовлетворяет критериям отбора</t>
  </si>
  <si>
    <t>+</t>
  </si>
  <si>
    <t>Наименование муниципального образования</t>
  </si>
  <si>
    <t>* для муниципального района - консолидированный бюджет</t>
  </si>
  <si>
    <t>+2</t>
  </si>
  <si>
    <t>-1</t>
  </si>
  <si>
    <t>-2</t>
  </si>
  <si>
    <t>Всего</t>
  </si>
  <si>
    <t>Рейтинг муниципального образования</t>
  </si>
  <si>
    <t>+1</t>
  </si>
  <si>
    <t>Размер дотации из фонда стимулирования</t>
  </si>
  <si>
    <t>4=3/2</t>
  </si>
  <si>
    <t>4=2/3</t>
  </si>
  <si>
    <t>Рейтинг муниципального образования, 
баллов</t>
  </si>
  <si>
    <t>всего</t>
  </si>
  <si>
    <t>Дотации</t>
  </si>
  <si>
    <t>среднее значение</t>
  </si>
  <si>
    <t>Налоговые и неналоговые доходы</t>
  </si>
  <si>
    <t>в т.ч. обслуживаемых в централизованной бухгалтерии</t>
  </si>
  <si>
    <t>П2 макс</t>
  </si>
  <si>
    <t>П2 мин</t>
  </si>
  <si>
    <t>В2</t>
  </si>
  <si>
    <t>П2</t>
  </si>
  <si>
    <t>О2</t>
  </si>
  <si>
    <t>О2 х В2</t>
  </si>
  <si>
    <t>Доходы от продажи имущества</t>
  </si>
  <si>
    <t>4=3/2*100%</t>
  </si>
  <si>
    <t>П7 макс</t>
  </si>
  <si>
    <t>П7 мин</t>
  </si>
  <si>
    <t>В7</t>
  </si>
  <si>
    <t>П7</t>
  </si>
  <si>
    <t>О7</t>
  </si>
  <si>
    <t>О7 х В7</t>
  </si>
  <si>
    <t>П9 макс</t>
  </si>
  <si>
    <t>П9 мин</t>
  </si>
  <si>
    <t>В9</t>
  </si>
  <si>
    <t>П9</t>
  </si>
  <si>
    <t>О9</t>
  </si>
  <si>
    <t>О9 х В9</t>
  </si>
  <si>
    <t>П10 макс</t>
  </si>
  <si>
    <t>П10 мин</t>
  </si>
  <si>
    <t>В10</t>
  </si>
  <si>
    <t>П10</t>
  </si>
  <si>
    <t>О10</t>
  </si>
  <si>
    <t>О10 х В10</t>
  </si>
  <si>
    <t>П12 макс</t>
  </si>
  <si>
    <t>П12 мин</t>
  </si>
  <si>
    <t>В12</t>
  </si>
  <si>
    <t>П13 макс</t>
  </si>
  <si>
    <t>П13 мин</t>
  </si>
  <si>
    <t>В13</t>
  </si>
  <si>
    <t>П13</t>
  </si>
  <si>
    <t>О13</t>
  </si>
  <si>
    <t>О13 х В13</t>
  </si>
  <si>
    <t>Дефицит бюджета, всего</t>
  </si>
  <si>
    <t>Доходы бюджета, всего</t>
  </si>
  <si>
    <t>Доходы бюджета без учета безвозмездных поступлений</t>
  </si>
  <si>
    <t>9=7-8</t>
  </si>
  <si>
    <t>П14 макс</t>
  </si>
  <si>
    <t>П14 мин</t>
  </si>
  <si>
    <t>В14</t>
  </si>
  <si>
    <t>Снижение остатков средств на счетах по учету средств бюджета</t>
  </si>
  <si>
    <t>Средства от продажи акций и иных форм участия в капитале, находящихся в муниципальной собственности</t>
  </si>
  <si>
    <t>Безвозмездные поступления</t>
  </si>
  <si>
    <t>П14</t>
  </si>
  <si>
    <t>О14</t>
  </si>
  <si>
    <t>О14 х В14</t>
  </si>
  <si>
    <t>П15 макс</t>
  </si>
  <si>
    <t>П15 мин</t>
  </si>
  <si>
    <t>В15</t>
  </si>
  <si>
    <t>П15</t>
  </si>
  <si>
    <t>О15</t>
  </si>
  <si>
    <t>О15 х В15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</si>
  <si>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</si>
  <si>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</si>
  <si>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III. Показатели, характеризующие качество работы с источниками финансирования дефицита бюджета</t>
  </si>
  <si>
    <t>П12</t>
  </si>
  <si>
    <t>О12</t>
  </si>
  <si>
    <t>О12 х В12</t>
  </si>
  <si>
    <t>6=2-3-4-5</t>
  </si>
  <si>
    <t>10=6/9*100</t>
  </si>
  <si>
    <t>Скорректи-рованный дефицит бюджета</t>
  </si>
  <si>
    <t>Положительное значение остатков средств бюджета, не имеющих целевого назначения</t>
  </si>
  <si>
    <t>в баллах</t>
  </si>
  <si>
    <t>ранг</t>
  </si>
  <si>
    <t>Критерии отбора муниципальных образований</t>
  </si>
  <si>
    <t>Бюджет муниципального образования отчетного и текущего финансового годов утверждён на 3 года</t>
  </si>
  <si>
    <t>Годовой план</t>
  </si>
  <si>
    <t>Исполнение</t>
  </si>
  <si>
    <t>7=6/5*100%</t>
  </si>
  <si>
    <t>Среднее ежеквартальное значение исполнения годового плана</t>
  </si>
  <si>
    <t>%
 испол-нения</t>
  </si>
  <si>
    <t>7. Доля неэффективных расходов на содержание органов местного самоуправления в общем объеме расходов местного бюджета*</t>
  </si>
  <si>
    <t>9. Размер кредиторской задолженности на одного жителя муниципального образования*</t>
  </si>
  <si>
    <t>12. Доля муниципальных учреждений, обслуживаемых в централизованной бухгалтерии</t>
  </si>
  <si>
    <t>Количество муниципальных учреждений (с учетом поселений)</t>
  </si>
  <si>
    <t>13. Дефицит местного бюджета</t>
  </si>
  <si>
    <t>14. Уровень долговой нагрузки местного бюджета</t>
  </si>
  <si>
    <t>в т.ч. по бюджетным кредитам инвестиционного характера</t>
  </si>
  <si>
    <t>15. Соотношение остатков собственных средств и доходов бюджета*</t>
  </si>
  <si>
    <t>тыс.рублей</t>
  </si>
  <si>
    <t>Доходы бюджета</t>
  </si>
  <si>
    <t>Дефицит бюджета</t>
  </si>
  <si>
    <t>Документы надлежащим образом оформлены, представлены 
в полном объеме и в установленный срок</t>
  </si>
  <si>
    <t>4=2-3</t>
  </si>
  <si>
    <t>Бюджетные кредиты инвестицион-ного характера</t>
  </si>
  <si>
    <t>7.1</t>
  </si>
  <si>
    <t>10. Доля расходов местного бюджета, осуществляемых в рамках программ</t>
  </si>
  <si>
    <t>6=2+3+4+5</t>
  </si>
  <si>
    <t xml:space="preserve">Объем основного долга по бюджетным кредитам, привлеченным в местный бюджет </t>
  </si>
  <si>
    <t>7=5-6</t>
  </si>
  <si>
    <t>5=3-4</t>
  </si>
  <si>
    <t>красным выделены МО, относящиеся к 3 группе</t>
  </si>
  <si>
    <t xml:space="preserve">Средства от продажи акций и иных форм участия в капитале, находящихся в муниципальной собственности </t>
  </si>
  <si>
    <t>Бюджетные кредиты от других бюджетов бюджетной системы РФ</t>
  </si>
  <si>
    <t>Скорректирован-ный дефицит бюджета</t>
  </si>
  <si>
    <t>10=(-6)/9*100%</t>
  </si>
  <si>
    <t>Соблюдение ограничения размера дефицита бюджета муниципального образования, установленного п. 3 ст. 92.1 Бюджетного кодекса РФ</t>
  </si>
  <si>
    <t>8=4/7*100%</t>
  </si>
  <si>
    <r>
      <t xml:space="preserve">Скорректирован-ный дефицит в % к доходам бюджета без учета безвозмездных поступлений </t>
    </r>
    <r>
      <rPr>
        <sz val="12"/>
        <color indexed="8"/>
        <rFont val="Times New Roman"/>
        <family val="1"/>
      </rPr>
      <t>(ограничение - 10%, для 3 группы - 5%)</t>
    </r>
  </si>
  <si>
    <r>
      <t xml:space="preserve">Скорректированный объем муниципаль-ного долга в % 
к доходам бюджета без учета безвозмездных поступлений </t>
    </r>
    <r>
      <rPr>
        <sz val="12"/>
        <color indexed="8"/>
        <rFont val="Times New Roman"/>
        <family val="1"/>
      </rPr>
      <t>(ограничение - 100%, для 3 группы - 50%)</t>
    </r>
  </si>
  <si>
    <t>Соблюдение ограничения предельного объема муниципального долга, установленного п. 3 ст. 107 Бюджетного кодекса РФ</t>
  </si>
  <si>
    <t>6=2/5*100%</t>
  </si>
  <si>
    <t>Соблюдение ограничения предельного объема расходов на обслуживание муниципального долга,
установленного ст. 111 Бюджетного кодекса РФ</t>
  </si>
  <si>
    <r>
      <t xml:space="preserve">Доля расходов на обслуживание муниципального долга в общем объеме расходов  бюджета без учета субвенций, % </t>
    </r>
    <r>
      <rPr>
        <sz val="12"/>
        <color indexed="8"/>
        <rFont val="Times New Roman"/>
        <family val="1"/>
      </rPr>
      <t>(ограничение - 15%)</t>
    </r>
  </si>
  <si>
    <r>
      <t xml:space="preserve">На сайте МО работает раздел "Бюджет для граждан" </t>
    </r>
    <r>
      <rPr>
        <sz val="12"/>
        <color indexed="8"/>
        <rFont val="Times New Roman"/>
        <family val="1"/>
      </rPr>
      <t>(по тем МО, которые представили документы для участия)</t>
    </r>
  </si>
  <si>
    <t>2. Степень исполнения годового плана по доходам от продажи имущества*</t>
  </si>
  <si>
    <t>П4.1 макс</t>
  </si>
  <si>
    <t>П4.1 мин</t>
  </si>
  <si>
    <t>В4.1</t>
  </si>
  <si>
    <t>в том числе суммы, заявленные путем декларирования</t>
  </si>
  <si>
    <t>Фонд оплаты труда</t>
  </si>
  <si>
    <t>Фактическое поступление
налога на доходы физических лиц</t>
  </si>
  <si>
    <t>5=(2-3)/4</t>
  </si>
  <si>
    <t>П4.1</t>
  </si>
  <si>
    <t>О4.1</t>
  </si>
  <si>
    <t>О4.1 х В4.1</t>
  </si>
  <si>
    <t>в т.ч. в рамках программ</t>
  </si>
  <si>
    <t>Муниципальный долг, всего</t>
  </si>
  <si>
    <t>Скорректи-рованный размер долга</t>
  </si>
  <si>
    <t>8=4/7*100</t>
  </si>
  <si>
    <t>Доходы бюджета, не имеющие целевого назначения</t>
  </si>
  <si>
    <t>Степень исполнения годового плана по доходам от продажи имущества</t>
  </si>
  <si>
    <t>4.1</t>
  </si>
  <si>
    <t>5.1</t>
  </si>
  <si>
    <t>Соотношение поступлений НДФЛ и ФОТ</t>
  </si>
  <si>
    <t>Количество "ненулевых" деклараций по ЕНВД в расчете на 1000 жителей</t>
  </si>
  <si>
    <t>Доля неэффективных расходов на содержание ОМСУ</t>
  </si>
  <si>
    <t>Превышение штатной численности работников ОМСУ над оптимальным (расчетным) значением</t>
  </si>
  <si>
    <t>Размер кредиторской задолженности на 1 жителя</t>
  </si>
  <si>
    <t>Доля расходов местного бюджета, осуществляемых
в рамках программ</t>
  </si>
  <si>
    <t>Доля муниц. учреждений, обслуживаемых в централиз. бухгалтерии</t>
  </si>
  <si>
    <t>Дефицит местного бюджета</t>
  </si>
  <si>
    <t>Уровень долговой нагрузки местного бюджета</t>
  </si>
  <si>
    <t>Соотношение остатков собственных средств и доходов бюджета</t>
  </si>
  <si>
    <t>4.1. Соотношение поступлений налога на доходы физических лиц и фонда оплаты труда*</t>
  </si>
  <si>
    <t>10=9/8*100%</t>
  </si>
  <si>
    <t>13=12/11*100%</t>
  </si>
  <si>
    <t>17=14/(15+16)</t>
  </si>
  <si>
    <t>Муниципальный долг, скорректиро-ванный на величину бюджетных кредитов</t>
  </si>
  <si>
    <t>1.1. Задолженность по имущественным налогам перед местным бюджетом в расчете на 1 жителя муниципального образования</t>
  </si>
  <si>
    <t>П1.1 макс</t>
  </si>
  <si>
    <t>П1.1 мин</t>
  </si>
  <si>
    <t>В1.1</t>
  </si>
  <si>
    <t>Задолженность по имущественным налогам (земельному налогу и налогу на имущество физических лиц) перед местным бюджетом</t>
  </si>
  <si>
    <t>П1.1</t>
  </si>
  <si>
    <t>О1.1</t>
  </si>
  <si>
    <t>О1.1 х В1.1</t>
  </si>
  <si>
    <t>Задолженность по имущественным налогам перед местным бюджетом
на 1 жителя</t>
  </si>
  <si>
    <t>1.1</t>
  </si>
  <si>
    <t>Новокуйбышевск</t>
  </si>
  <si>
    <t xml:space="preserve">Безенчукский </t>
  </si>
  <si>
    <t xml:space="preserve">Богатовский </t>
  </si>
  <si>
    <t>Большеглушицкий</t>
  </si>
  <si>
    <t xml:space="preserve">Борский </t>
  </si>
  <si>
    <t xml:space="preserve">Исаклинский </t>
  </si>
  <si>
    <t>Кинель-Черкасский</t>
  </si>
  <si>
    <t xml:space="preserve">Кошкинский </t>
  </si>
  <si>
    <t xml:space="preserve">Похвистневский </t>
  </si>
  <si>
    <t xml:space="preserve">Сергиевский </t>
  </si>
  <si>
    <t>Челно-Вершинский</t>
  </si>
  <si>
    <t xml:space="preserve">Шенталинский </t>
  </si>
  <si>
    <t xml:space="preserve"> </t>
  </si>
  <si>
    <t xml:space="preserve">  </t>
  </si>
  <si>
    <t>1.Кинель-Черкасский</t>
  </si>
  <si>
    <t>2.Большеглушицкий</t>
  </si>
  <si>
    <t>Численность населения на 01.01.2017, человек</t>
  </si>
  <si>
    <t>Дефицит бюджета (исполнено за 2017 год)</t>
  </si>
  <si>
    <t>Доходы бюджета (исполнено за 2017 год)</t>
  </si>
  <si>
    <t>Расходы бюджета за 2017 год</t>
  </si>
  <si>
    <t>Отрадный</t>
  </si>
  <si>
    <t>В течение 
2017 года отсутствовала просроченная кредиторская задолженность бюджета</t>
  </si>
  <si>
    <t>-</t>
  </si>
  <si>
    <t>В 2017 году соблюдены сроки возврата бюджетного кредита и уплаты процентов по кредиту, предоставленному из областного бюджета</t>
  </si>
  <si>
    <t>По итогам 
за 2017 год соблюден норматив формирования расходов на содержание ОМСУ</t>
  </si>
  <si>
    <t>Во 2 полугодии 2017 года муниципальное образование не обращалось в МУФ СО с просьбой о досрочном перечислении дотаций на выравнивание бюджетной обеспеченности</t>
  </si>
  <si>
    <t>По состоянию на 01.01.2018 задолженность по налогам не превышала 1000 рублей (по данным УФНС России по Самарской области)</t>
  </si>
  <si>
    <t>По состоянию на 01.01.2018 соблюдены ограничения, установленные пп. 3 и 4 ст.92.1, пп. 3 и 4 ст.107 и ст. 111 БК РФ</t>
  </si>
  <si>
    <t>Расходы бюджета на обслуживание муниципаль-ного долга 
(исполнено 
за 2017 год)</t>
  </si>
  <si>
    <t>Общий объем расходов бюджета муниципального образования (исполнено 
за 2017 год)</t>
  </si>
  <si>
    <t>Общий объем расходов бюджета муниципального образования без учета субвенций (исполнено 
за 2017 год)</t>
  </si>
  <si>
    <t>Расходы за счет субвенций
(исполнено 
за 2017 год)</t>
  </si>
  <si>
    <t>Численность населения
на 01.01.2018</t>
  </si>
  <si>
    <t>Расходы бюджета 
за 2017 год</t>
  </si>
  <si>
    <t>Неэффективные расходы 
на управление 
на 01.01.2018</t>
  </si>
  <si>
    <t>Кредиторская задолженность по бюджетной деятельности 
на 01.01.2018</t>
  </si>
  <si>
    <t>на 01.04.2017</t>
  </si>
  <si>
    <t>на 01.07.2017</t>
  </si>
  <si>
    <t>на 01.10.2017</t>
  </si>
  <si>
    <t>на 01.01.2018</t>
  </si>
  <si>
    <t>Муниципальный долг на 01.01.2018</t>
  </si>
  <si>
    <t>на 01.02.2017</t>
  </si>
  <si>
    <t>на 01.03.2017</t>
  </si>
  <si>
    <t>на 01.05.2017</t>
  </si>
  <si>
    <t>на 01.06.2017</t>
  </si>
  <si>
    <t>на 01.08.2017</t>
  </si>
  <si>
    <t>на 01.09.2017</t>
  </si>
  <si>
    <t>на 01.11.2017</t>
  </si>
  <si>
    <t>на 01.12.2017</t>
  </si>
  <si>
    <t>5.1. Количество «ненулевых» деклараций по единому налогу на вмененный доход
в расчете на 1000 жителей</t>
  </si>
  <si>
    <t>П5.1 макс</t>
  </si>
  <si>
    <t>П5.1 мин</t>
  </si>
  <si>
    <t>В5.1</t>
  </si>
  <si>
    <t>Количество "ненулевых" деклараций
по ЕНВД</t>
  </si>
  <si>
    <t>П5.1</t>
  </si>
  <si>
    <t>О5.1</t>
  </si>
  <si>
    <t>О5.1 х В5.1</t>
  </si>
  <si>
    <t>4=2/3*1000</t>
  </si>
  <si>
    <t>7.1. Превышение штатной численности работников органов местного самоуправления над оптимальным (расчетным) значением*</t>
  </si>
  <si>
    <t>П7.1 макс</t>
  </si>
  <si>
    <t>П7.1 мин</t>
  </si>
  <si>
    <t>В7.1</t>
  </si>
  <si>
    <t>Штатная численность работников ОМСУ на 01.01.2018</t>
  </si>
  <si>
    <t>Нормированная штатная численность работников ОМСУ на 01.01.2018</t>
  </si>
  <si>
    <t>П7.1</t>
  </si>
  <si>
    <t>О7.1</t>
  </si>
  <si>
    <t>О7.1 х В7.1</t>
  </si>
  <si>
    <t>Расчет рейтинга муниципальных образований Самарской области за 2017 год</t>
  </si>
  <si>
    <t>Распределение дотаций на стимулирование повышения качества управления муниципальными финансами в части дотаций на стимулирование организации лучшей практики управления муниципальными финансами за 2017 год</t>
  </si>
  <si>
    <t>5.Шенталинский</t>
  </si>
  <si>
    <t xml:space="preserve">6.Богатовский </t>
  </si>
  <si>
    <t>7.Сергиевский</t>
  </si>
  <si>
    <t>3.Похвистневский</t>
  </si>
  <si>
    <t>4.Кошкинский</t>
  </si>
  <si>
    <t>Муниципальный долг (на 01.01.2018)</t>
  </si>
  <si>
    <t>Муниципальное образование допущено 
к участию 
в распределении 
дотаций на стимулирование по итогам 
за 2017 год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</si>
</sst>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[Red]\-#,##0.00\ "/>
    <numFmt numFmtId="183" formatCode="#,##0.000"/>
    <numFmt numFmtId="184" formatCode="#,##0.0000"/>
    <numFmt numFmtId="185" formatCode="0.0"/>
    <numFmt numFmtId="186" formatCode="0.00000"/>
    <numFmt numFmtId="187" formatCode="0.0000"/>
    <numFmt numFmtId="188" formatCode="0.000"/>
    <numFmt numFmtId="189" formatCode="#,##0.00000"/>
    <numFmt numFmtId="190" formatCode="#,##0.000000"/>
    <numFmt numFmtId="191" formatCode="#,##0.0000000"/>
    <numFmt numFmtId="192" formatCode="0.00000000"/>
    <numFmt numFmtId="193" formatCode="0.0000000"/>
    <numFmt numFmtId="194" formatCode="0.000000"/>
    <numFmt numFmtId="195" formatCode="#,##0_ ;[Red]\-#,##0\ "/>
    <numFmt numFmtId="196" formatCode="#,##0.0_ ;[Red]\-#,##0.0\ "/>
    <numFmt numFmtId="197" formatCode="#,##0.00_ ;\-#,##0.00\ "/>
    <numFmt numFmtId="198" formatCode="#,##0.000_ ;[Red]\-#,##0.000\ "/>
    <numFmt numFmtId="199" formatCode="#,##0.0000_ ;[Red]\-#,##0.0000\ "/>
    <numFmt numFmtId="200" formatCode="#,##0.00000_ ;[Red]\-#,##0.00000\ "/>
    <numFmt numFmtId="201" formatCode="#,##0.000000_ ;[Red]\-#,##0.000000\ "/>
    <numFmt numFmtId="202" formatCode="#,##0.0000000_ ;[Red]\-#,##0.0000000\ "/>
    <numFmt numFmtId="203" formatCode="#,##0.00000000_ ;[Red]\-#,##0.00000000\ "/>
    <numFmt numFmtId="204" formatCode="#,##0.0_ ;\-#,##0.0\ "/>
    <numFmt numFmtId="205" formatCode="#,##0_ ;\-#,##0\ "/>
    <numFmt numFmtId="206" formatCode="#,##0.000_ ;\-#,##0.000\ "/>
    <numFmt numFmtId="207" formatCode="_(* #,##0_);_(* \(#,##0\);_(* &quot;-&quot;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&quot;$&quot;* #,##0.00_);_(&quot;$&quot;* \(#,##0.00\);_(&quot;$&quot;* &quot;-&quot;??_);_(@_)"/>
    <numFmt numFmtId="211" formatCode="[$-10419]###\ ###\ ###\ ###\ ##0.00"/>
    <numFmt numFmtId="212" formatCode="_-* #,##0_р_._-;\-* #,##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2"/>
      <color indexed="36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  <font>
      <sz val="12"/>
      <color rgb="FF00B050"/>
      <name val="Times New Roman"/>
      <family val="1"/>
    </font>
    <font>
      <i/>
      <sz val="11"/>
      <color theme="1"/>
      <name val="Times New Roman"/>
      <family val="1"/>
    </font>
    <font>
      <sz val="12"/>
      <color rgb="FF7030A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10" fillId="0" borderId="0">
      <alignment vertical="center" wrapText="1"/>
      <protection/>
    </xf>
    <xf numFmtId="0" fontId="11" fillId="0" borderId="0">
      <alignment vertical="top" wrapText="1"/>
      <protection/>
    </xf>
    <xf numFmtId="0" fontId="10" fillId="0" borderId="0">
      <alignment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56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55" fillId="0" borderId="10" xfId="0" applyNumberFormat="1" applyFont="1" applyBorder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0" fontId="55" fillId="0" borderId="0" xfId="0" applyFont="1" applyAlignment="1">
      <alignment wrapText="1"/>
    </xf>
    <xf numFmtId="0" fontId="2" fillId="0" borderId="10" xfId="0" applyFont="1" applyFill="1" applyBorder="1" applyAlignment="1">
      <alignment vertical="center"/>
    </xf>
    <xf numFmtId="3" fontId="56" fillId="0" borderId="10" xfId="0" applyNumberFormat="1" applyFont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right"/>
    </xf>
    <xf numFmtId="0" fontId="60" fillId="0" borderId="0" xfId="0" applyFont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0" fontId="5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right"/>
    </xf>
    <xf numFmtId="0" fontId="9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 horizontal="right"/>
    </xf>
    <xf numFmtId="182" fontId="3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 horizontal="right"/>
    </xf>
    <xf numFmtId="197" fontId="3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55" fillId="0" borderId="10" xfId="0" applyNumberFormat="1" applyFont="1" applyBorder="1" applyAlignment="1">
      <alignment horizontal="center"/>
    </xf>
    <xf numFmtId="183" fontId="61" fillId="0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3" fontId="55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183" fontId="3" fillId="0" borderId="10" xfId="0" applyNumberFormat="1" applyFont="1" applyBorder="1" applyAlignment="1">
      <alignment horizontal="right"/>
    </xf>
    <xf numFmtId="16" fontId="56" fillId="34" borderId="10" xfId="0" applyNumberFormat="1" applyFont="1" applyFill="1" applyBorder="1" applyAlignment="1" quotePrefix="1">
      <alignment horizontal="center" vertical="center" wrapText="1"/>
    </xf>
    <xf numFmtId="182" fontId="3" fillId="0" borderId="10" xfId="0" applyNumberFormat="1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textRotation="90" wrapText="1"/>
    </xf>
    <xf numFmtId="16" fontId="62" fillId="34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/>
    </xf>
    <xf numFmtId="182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10" xfId="0" applyNumberFormat="1" applyFont="1" applyBorder="1" applyAlignment="1">
      <alignment/>
    </xf>
    <xf numFmtId="16" fontId="56" fillId="34" borderId="10" xfId="0" applyNumberFormat="1" applyFont="1" applyFill="1" applyBorder="1" applyAlignment="1" quotePrefix="1">
      <alignment horizontal="center" vertical="center"/>
    </xf>
    <xf numFmtId="3" fontId="8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4" fontId="55" fillId="0" borderId="0" xfId="0" applyNumberFormat="1" applyFont="1" applyAlignment="1">
      <alignment/>
    </xf>
    <xf numFmtId="3" fontId="58" fillId="0" borderId="10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82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55" fillId="0" borderId="10" xfId="0" applyNumberFormat="1" applyFont="1" applyBorder="1" applyAlignment="1">
      <alignment horizontal="center"/>
    </xf>
    <xf numFmtId="0" fontId="56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3" fillId="0" borderId="11" xfId="0" applyNumberFormat="1" applyFont="1" applyBorder="1" applyAlignment="1">
      <alignment/>
    </xf>
    <xf numFmtId="183" fontId="8" fillId="0" borderId="10" xfId="0" applyNumberFormat="1" applyFont="1" applyFill="1" applyBorder="1" applyAlignment="1">
      <alignment horizontal="right"/>
    </xf>
    <xf numFmtId="0" fontId="56" fillId="34" borderId="10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182" fontId="2" fillId="0" borderId="10" xfId="0" applyNumberFormat="1" applyFont="1" applyFill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182" fontId="3" fillId="0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0" fontId="56" fillId="34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6" fillId="0" borderId="15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6" fillId="4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56" fillId="0" borderId="0" xfId="0" applyFont="1" applyBorder="1" applyAlignment="1">
      <alignment horizont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2 2" xfId="54"/>
    <cellStyle name="Обычный 2 3" xfId="55"/>
    <cellStyle name="Обычный 2 4" xfId="56"/>
    <cellStyle name="Обычный 3" xfId="57"/>
    <cellStyle name="Обычный 4" xfId="58"/>
    <cellStyle name="Обычный 5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="8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4" sqref="K4"/>
    </sheetView>
  </sheetViews>
  <sheetFormatPr defaultColWidth="9.140625" defaultRowHeight="15"/>
  <cols>
    <col min="1" max="1" width="24.140625" style="1" customWidth="1"/>
    <col min="2" max="2" width="18.57421875" style="1" customWidth="1"/>
    <col min="3" max="3" width="16.28125" style="1" customWidth="1"/>
    <col min="4" max="4" width="19.8515625" style="1" customWidth="1"/>
    <col min="5" max="5" width="16.140625" style="1" customWidth="1"/>
    <col min="6" max="6" width="22.421875" style="1" customWidth="1"/>
    <col min="7" max="7" width="16.57421875" style="1" customWidth="1"/>
    <col min="8" max="8" width="17.57421875" style="1" customWidth="1"/>
    <col min="9" max="9" width="17.140625" style="1" customWidth="1"/>
    <col min="10" max="10" width="14.421875" style="1" customWidth="1"/>
    <col min="11" max="11" width="18.8515625" style="1" customWidth="1"/>
    <col min="12" max="16384" width="9.140625" style="1" customWidth="1"/>
  </cols>
  <sheetData>
    <row r="1" spans="1:11" ht="15" customHeight="1">
      <c r="A1" s="108" t="s">
        <v>122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3" ht="15">
      <c r="A3" s="1" t="s">
        <v>37</v>
      </c>
    </row>
    <row r="4" spans="1:11" s="15" customFormat="1" ht="172.5" customHeight="1">
      <c r="A4" s="79" t="s">
        <v>39</v>
      </c>
      <c r="B4" s="79" t="s">
        <v>123</v>
      </c>
      <c r="C4" s="101" t="s">
        <v>228</v>
      </c>
      <c r="D4" s="101" t="s">
        <v>230</v>
      </c>
      <c r="E4" s="101" t="s">
        <v>231</v>
      </c>
      <c r="F4" s="101" t="s">
        <v>232</v>
      </c>
      <c r="G4" s="101" t="s">
        <v>233</v>
      </c>
      <c r="H4" s="101" t="s">
        <v>234</v>
      </c>
      <c r="I4" s="79" t="s">
        <v>140</v>
      </c>
      <c r="J4" s="79" t="s">
        <v>162</v>
      </c>
      <c r="K4" s="107" t="s">
        <v>282</v>
      </c>
    </row>
    <row r="5" spans="1:11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ht="15">
      <c r="A6" s="3" t="s">
        <v>0</v>
      </c>
      <c r="B6" s="18" t="s">
        <v>38</v>
      </c>
      <c r="C6" s="18" t="s">
        <v>229</v>
      </c>
      <c r="D6" s="18" t="s">
        <v>38</v>
      </c>
      <c r="E6" s="18" t="s">
        <v>38</v>
      </c>
      <c r="F6" s="18" t="s">
        <v>38</v>
      </c>
      <c r="G6" s="18" t="s">
        <v>38</v>
      </c>
      <c r="H6" s="18" t="s">
        <v>38</v>
      </c>
      <c r="I6" s="18"/>
      <c r="J6" s="18"/>
      <c r="K6" s="18" t="str">
        <f>IF(AND($B6="+",$C6="+",$D6="+",$E6="+",$F6="+",$G6="+",$J6="+",$H6="+",$I6="+"),"+"," ")</f>
        <v> </v>
      </c>
    </row>
    <row r="7" spans="1:11" ht="15">
      <c r="A7" s="3" t="s">
        <v>1</v>
      </c>
      <c r="B7" s="18" t="s">
        <v>38</v>
      </c>
      <c r="C7" s="18" t="s">
        <v>38</v>
      </c>
      <c r="D7" s="18" t="s">
        <v>38</v>
      </c>
      <c r="E7" s="18" t="s">
        <v>38</v>
      </c>
      <c r="F7" s="18" t="s">
        <v>38</v>
      </c>
      <c r="G7" s="18" t="s">
        <v>38</v>
      </c>
      <c r="H7" s="18" t="s">
        <v>38</v>
      </c>
      <c r="I7" s="18"/>
      <c r="J7" s="18"/>
      <c r="K7" s="18" t="str">
        <f aca="true" t="shared" si="0" ref="K7:K42">IF(AND($B7="+",$C7="+",$D7="+",$E7="+",$F7="+",$G7="+",$J7="+",$H7="+",$I7="+"),"+"," ")</f>
        <v> </v>
      </c>
    </row>
    <row r="8" spans="1:11" ht="15">
      <c r="A8" s="3" t="s">
        <v>2</v>
      </c>
      <c r="B8" s="18" t="s">
        <v>38</v>
      </c>
      <c r="C8" s="18" t="s">
        <v>38</v>
      </c>
      <c r="D8" s="18" t="s">
        <v>38</v>
      </c>
      <c r="E8" s="18" t="s">
        <v>38</v>
      </c>
      <c r="F8" s="18" t="s">
        <v>38</v>
      </c>
      <c r="G8" s="18" t="s">
        <v>38</v>
      </c>
      <c r="H8" s="18" t="s">
        <v>38</v>
      </c>
      <c r="I8" s="18"/>
      <c r="J8" s="18"/>
      <c r="K8" s="18" t="str">
        <f t="shared" si="0"/>
        <v> </v>
      </c>
    </row>
    <row r="9" spans="1:11" ht="15">
      <c r="A9" s="3" t="s">
        <v>3</v>
      </c>
      <c r="B9" s="18" t="s">
        <v>38</v>
      </c>
      <c r="C9" s="18" t="s">
        <v>38</v>
      </c>
      <c r="D9" s="18" t="s">
        <v>38</v>
      </c>
      <c r="E9" s="18" t="s">
        <v>38</v>
      </c>
      <c r="F9" s="18" t="s">
        <v>38</v>
      </c>
      <c r="G9" s="18" t="s">
        <v>38</v>
      </c>
      <c r="H9" s="18" t="s">
        <v>38</v>
      </c>
      <c r="I9" s="18" t="s">
        <v>38</v>
      </c>
      <c r="J9" s="18" t="s">
        <v>38</v>
      </c>
      <c r="K9" s="18" t="str">
        <f t="shared" si="0"/>
        <v>+</v>
      </c>
    </row>
    <row r="10" spans="1:11" ht="15">
      <c r="A10" s="3" t="s">
        <v>4</v>
      </c>
      <c r="B10" s="18" t="s">
        <v>38</v>
      </c>
      <c r="C10" s="18" t="s">
        <v>38</v>
      </c>
      <c r="D10" s="18" t="s">
        <v>38</v>
      </c>
      <c r="E10" s="18" t="s">
        <v>38</v>
      </c>
      <c r="F10" s="18" t="s">
        <v>38</v>
      </c>
      <c r="G10" s="18" t="s">
        <v>38</v>
      </c>
      <c r="H10" s="18" t="s">
        <v>38</v>
      </c>
      <c r="I10" s="18"/>
      <c r="J10" s="18"/>
      <c r="K10" s="18" t="str">
        <f t="shared" si="0"/>
        <v> </v>
      </c>
    </row>
    <row r="11" spans="1:11" ht="15">
      <c r="A11" s="3" t="s">
        <v>5</v>
      </c>
      <c r="B11" s="18" t="s">
        <v>38</v>
      </c>
      <c r="C11" s="18" t="s">
        <v>38</v>
      </c>
      <c r="D11" s="18" t="s">
        <v>38</v>
      </c>
      <c r="E11" s="18" t="s">
        <v>38</v>
      </c>
      <c r="F11" s="18" t="s">
        <v>38</v>
      </c>
      <c r="G11" s="18" t="s">
        <v>38</v>
      </c>
      <c r="H11" s="18" t="s">
        <v>38</v>
      </c>
      <c r="I11" s="18" t="s">
        <v>38</v>
      </c>
      <c r="J11" s="18" t="s">
        <v>38</v>
      </c>
      <c r="K11" s="18" t="str">
        <f t="shared" si="0"/>
        <v>+</v>
      </c>
    </row>
    <row r="12" spans="1:11" ht="15">
      <c r="A12" s="3" t="s">
        <v>6</v>
      </c>
      <c r="B12" s="18" t="s">
        <v>38</v>
      </c>
      <c r="C12" s="18" t="s">
        <v>38</v>
      </c>
      <c r="D12" s="18" t="s">
        <v>38</v>
      </c>
      <c r="E12" s="18" t="s">
        <v>38</v>
      </c>
      <c r="F12" s="18" t="s">
        <v>38</v>
      </c>
      <c r="G12" s="18" t="s">
        <v>38</v>
      </c>
      <c r="H12" s="18" t="s">
        <v>38</v>
      </c>
      <c r="I12" s="18"/>
      <c r="J12" s="18"/>
      <c r="K12" s="18" t="str">
        <f t="shared" si="0"/>
        <v> </v>
      </c>
    </row>
    <row r="13" spans="1:11" ht="15">
      <c r="A13" s="3" t="s">
        <v>7</v>
      </c>
      <c r="B13" s="18" t="s">
        <v>38</v>
      </c>
      <c r="C13" s="18" t="s">
        <v>229</v>
      </c>
      <c r="D13" s="18" t="s">
        <v>38</v>
      </c>
      <c r="E13" s="18" t="s">
        <v>38</v>
      </c>
      <c r="F13" s="18" t="s">
        <v>38</v>
      </c>
      <c r="G13" s="18" t="s">
        <v>38</v>
      </c>
      <c r="H13" s="18" t="s">
        <v>38</v>
      </c>
      <c r="I13" s="18"/>
      <c r="J13" s="18"/>
      <c r="K13" s="18" t="str">
        <f t="shared" si="0"/>
        <v> </v>
      </c>
    </row>
    <row r="14" spans="1:11" ht="15">
      <c r="A14" s="3" t="s">
        <v>8</v>
      </c>
      <c r="B14" s="18" t="s">
        <v>38</v>
      </c>
      <c r="C14" s="18" t="s">
        <v>38</v>
      </c>
      <c r="D14" s="18" t="s">
        <v>38</v>
      </c>
      <c r="E14" s="18" t="s">
        <v>38</v>
      </c>
      <c r="F14" s="18" t="s">
        <v>229</v>
      </c>
      <c r="G14" s="18" t="s">
        <v>38</v>
      </c>
      <c r="H14" s="18" t="s">
        <v>38</v>
      </c>
      <c r="I14" s="18"/>
      <c r="J14" s="18"/>
      <c r="K14" s="18" t="str">
        <f t="shared" si="0"/>
        <v> </v>
      </c>
    </row>
    <row r="15" spans="1:11" ht="15">
      <c r="A15" s="3" t="s">
        <v>9</v>
      </c>
      <c r="B15" s="18" t="s">
        <v>38</v>
      </c>
      <c r="C15" s="18" t="s">
        <v>38</v>
      </c>
      <c r="D15" s="18" t="s">
        <v>38</v>
      </c>
      <c r="E15" s="18" t="s">
        <v>38</v>
      </c>
      <c r="F15" s="18" t="s">
        <v>229</v>
      </c>
      <c r="G15" s="18" t="s">
        <v>38</v>
      </c>
      <c r="H15" s="18" t="s">
        <v>38</v>
      </c>
      <c r="I15" s="18"/>
      <c r="J15" s="18"/>
      <c r="K15" s="18" t="str">
        <f t="shared" si="0"/>
        <v> </v>
      </c>
    </row>
    <row r="16" spans="1:11" ht="15">
      <c r="A16" s="3" t="s">
        <v>10</v>
      </c>
      <c r="B16" s="18" t="s">
        <v>38</v>
      </c>
      <c r="C16" s="18" t="s">
        <v>38</v>
      </c>
      <c r="D16" s="18" t="s">
        <v>38</v>
      </c>
      <c r="E16" s="18" t="s">
        <v>38</v>
      </c>
      <c r="F16" s="18" t="s">
        <v>38</v>
      </c>
      <c r="G16" s="18" t="s">
        <v>229</v>
      </c>
      <c r="H16" s="18" t="s">
        <v>38</v>
      </c>
      <c r="I16" s="18" t="s">
        <v>38</v>
      </c>
      <c r="J16" s="18"/>
      <c r="K16" s="18" t="str">
        <f t="shared" si="0"/>
        <v> </v>
      </c>
    </row>
    <row r="17" spans="1:11" ht="15">
      <c r="A17" s="3" t="s">
        <v>11</v>
      </c>
      <c r="B17" s="18" t="s">
        <v>38</v>
      </c>
      <c r="C17" s="18" t="s">
        <v>38</v>
      </c>
      <c r="D17" s="18" t="s">
        <v>38</v>
      </c>
      <c r="E17" s="18" t="s">
        <v>38</v>
      </c>
      <c r="F17" s="18" t="s">
        <v>38</v>
      </c>
      <c r="G17" s="18" t="s">
        <v>38</v>
      </c>
      <c r="H17" s="18" t="s">
        <v>38</v>
      </c>
      <c r="I17" s="18" t="s">
        <v>38</v>
      </c>
      <c r="J17" s="18" t="s">
        <v>38</v>
      </c>
      <c r="K17" s="18" t="str">
        <f t="shared" si="0"/>
        <v>+</v>
      </c>
    </row>
    <row r="18" spans="1:11" ht="15">
      <c r="A18" s="3" t="s">
        <v>12</v>
      </c>
      <c r="B18" s="18" t="s">
        <v>38</v>
      </c>
      <c r="C18" s="18" t="s">
        <v>38</v>
      </c>
      <c r="D18" s="18" t="s">
        <v>38</v>
      </c>
      <c r="E18" s="18" t="s">
        <v>38</v>
      </c>
      <c r="F18" s="18" t="s">
        <v>38</v>
      </c>
      <c r="G18" s="18" t="s">
        <v>38</v>
      </c>
      <c r="H18" s="18" t="s">
        <v>38</v>
      </c>
      <c r="I18" s="18" t="s">
        <v>38</v>
      </c>
      <c r="J18" s="18" t="s">
        <v>38</v>
      </c>
      <c r="K18" s="18" t="str">
        <f t="shared" si="0"/>
        <v>+</v>
      </c>
    </row>
    <row r="19" spans="1:11" ht="15">
      <c r="A19" s="3" t="s">
        <v>13</v>
      </c>
      <c r="B19" s="18" t="s">
        <v>38</v>
      </c>
      <c r="C19" s="18" t="s">
        <v>38</v>
      </c>
      <c r="D19" s="18" t="s">
        <v>38</v>
      </c>
      <c r="E19" s="18" t="s">
        <v>38</v>
      </c>
      <c r="F19" s="18" t="s">
        <v>38</v>
      </c>
      <c r="G19" s="18" t="s">
        <v>38</v>
      </c>
      <c r="H19" s="18" t="s">
        <v>38</v>
      </c>
      <c r="I19" s="18" t="s">
        <v>38</v>
      </c>
      <c r="J19" s="18" t="s">
        <v>38</v>
      </c>
      <c r="K19" s="18" t="str">
        <f t="shared" si="0"/>
        <v>+</v>
      </c>
    </row>
    <row r="20" spans="1:11" ht="15">
      <c r="A20" s="3" t="s">
        <v>14</v>
      </c>
      <c r="B20" s="18" t="s">
        <v>38</v>
      </c>
      <c r="C20" s="18" t="s">
        <v>38</v>
      </c>
      <c r="D20" s="18" t="s">
        <v>38</v>
      </c>
      <c r="E20" s="18" t="s">
        <v>38</v>
      </c>
      <c r="F20" s="18" t="s">
        <v>38</v>
      </c>
      <c r="G20" s="18" t="s">
        <v>38</v>
      </c>
      <c r="H20" s="18" t="s">
        <v>38</v>
      </c>
      <c r="I20" s="18"/>
      <c r="J20" s="18"/>
      <c r="K20" s="18" t="str">
        <f t="shared" si="0"/>
        <v> </v>
      </c>
    </row>
    <row r="21" spans="1:11" ht="15">
      <c r="A21" s="3" t="s">
        <v>15</v>
      </c>
      <c r="B21" s="18" t="s">
        <v>38</v>
      </c>
      <c r="C21" s="18" t="s">
        <v>38</v>
      </c>
      <c r="D21" s="18" t="s">
        <v>38</v>
      </c>
      <c r="E21" s="18" t="s">
        <v>38</v>
      </c>
      <c r="F21" s="18" t="s">
        <v>38</v>
      </c>
      <c r="G21" s="18" t="s">
        <v>38</v>
      </c>
      <c r="H21" s="18" t="s">
        <v>38</v>
      </c>
      <c r="I21" s="18" t="s">
        <v>38</v>
      </c>
      <c r="J21" s="18" t="s">
        <v>38</v>
      </c>
      <c r="K21" s="18" t="str">
        <f t="shared" si="0"/>
        <v>+</v>
      </c>
    </row>
    <row r="22" spans="1:11" ht="15">
      <c r="A22" s="3" t="s">
        <v>16</v>
      </c>
      <c r="B22" s="18" t="s">
        <v>38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/>
      <c r="J22" s="18"/>
      <c r="K22" s="18" t="str">
        <f t="shared" si="0"/>
        <v> </v>
      </c>
    </row>
    <row r="23" spans="1:11" ht="15">
      <c r="A23" s="3" t="s">
        <v>17</v>
      </c>
      <c r="B23" s="18" t="s">
        <v>38</v>
      </c>
      <c r="C23" s="18" t="s">
        <v>38</v>
      </c>
      <c r="D23" s="18" t="s">
        <v>38</v>
      </c>
      <c r="E23" s="18" t="s">
        <v>38</v>
      </c>
      <c r="F23" s="18" t="s">
        <v>38</v>
      </c>
      <c r="G23" s="18" t="s">
        <v>38</v>
      </c>
      <c r="H23" s="18" t="s">
        <v>38</v>
      </c>
      <c r="I23" s="18"/>
      <c r="J23" s="18"/>
      <c r="K23" s="18" t="str">
        <f t="shared" si="0"/>
        <v> </v>
      </c>
    </row>
    <row r="24" spans="1:11" ht="15">
      <c r="A24" s="3" t="s">
        <v>18</v>
      </c>
      <c r="B24" s="18" t="s">
        <v>38</v>
      </c>
      <c r="C24" s="18" t="s">
        <v>38</v>
      </c>
      <c r="D24" s="18" t="s">
        <v>38</v>
      </c>
      <c r="E24" s="18" t="s">
        <v>38</v>
      </c>
      <c r="F24" s="18" t="s">
        <v>38</v>
      </c>
      <c r="G24" s="18" t="s">
        <v>38</v>
      </c>
      <c r="H24" s="18" t="s">
        <v>38</v>
      </c>
      <c r="I24" s="18" t="s">
        <v>38</v>
      </c>
      <c r="J24" s="18" t="s">
        <v>38</v>
      </c>
      <c r="K24" s="18" t="str">
        <f t="shared" si="0"/>
        <v>+</v>
      </c>
    </row>
    <row r="25" spans="1:11" ht="15">
      <c r="A25" s="3" t="s">
        <v>19</v>
      </c>
      <c r="B25" s="18" t="s">
        <v>38</v>
      </c>
      <c r="C25" s="18" t="s">
        <v>38</v>
      </c>
      <c r="D25" s="18" t="s">
        <v>38</v>
      </c>
      <c r="E25" s="18" t="s">
        <v>38</v>
      </c>
      <c r="F25" s="18" t="s">
        <v>38</v>
      </c>
      <c r="G25" s="18" t="s">
        <v>38</v>
      </c>
      <c r="H25" s="18" t="s">
        <v>38</v>
      </c>
      <c r="I25" s="18"/>
      <c r="J25" s="18"/>
      <c r="K25" s="18" t="str">
        <f t="shared" si="0"/>
        <v> </v>
      </c>
    </row>
    <row r="26" spans="1:11" ht="15">
      <c r="A26" s="3" t="s">
        <v>20</v>
      </c>
      <c r="B26" s="18" t="s">
        <v>38</v>
      </c>
      <c r="C26" s="18" t="s">
        <v>38</v>
      </c>
      <c r="D26" s="18" t="s">
        <v>38</v>
      </c>
      <c r="E26" s="18" t="s">
        <v>38</v>
      </c>
      <c r="F26" s="18" t="s">
        <v>38</v>
      </c>
      <c r="G26" s="18" t="s">
        <v>38</v>
      </c>
      <c r="H26" s="18" t="s">
        <v>38</v>
      </c>
      <c r="I26" s="18" t="s">
        <v>38</v>
      </c>
      <c r="J26" s="18" t="s">
        <v>38</v>
      </c>
      <c r="K26" s="18" t="str">
        <f t="shared" si="0"/>
        <v>+</v>
      </c>
    </row>
    <row r="27" spans="1:11" ht="15">
      <c r="A27" s="3" t="s">
        <v>21</v>
      </c>
      <c r="B27" s="18" t="s">
        <v>38</v>
      </c>
      <c r="C27" s="18" t="s">
        <v>38</v>
      </c>
      <c r="D27" s="18" t="s">
        <v>38</v>
      </c>
      <c r="E27" s="18" t="s">
        <v>38</v>
      </c>
      <c r="F27" s="18" t="s">
        <v>38</v>
      </c>
      <c r="G27" s="18" t="s">
        <v>38</v>
      </c>
      <c r="H27" s="18" t="s">
        <v>38</v>
      </c>
      <c r="I27" s="18"/>
      <c r="J27" s="18"/>
      <c r="K27" s="18" t="str">
        <f t="shared" si="0"/>
        <v> </v>
      </c>
    </row>
    <row r="28" spans="1:11" ht="15">
      <c r="A28" s="3" t="s">
        <v>22</v>
      </c>
      <c r="B28" s="18" t="s">
        <v>38</v>
      </c>
      <c r="C28" s="18" t="s">
        <v>38</v>
      </c>
      <c r="D28" s="18" t="s">
        <v>38</v>
      </c>
      <c r="E28" s="18" t="s">
        <v>38</v>
      </c>
      <c r="F28" s="18" t="s">
        <v>38</v>
      </c>
      <c r="G28" s="18" t="s">
        <v>38</v>
      </c>
      <c r="H28" s="18" t="s">
        <v>38</v>
      </c>
      <c r="I28" s="18" t="s">
        <v>38</v>
      </c>
      <c r="J28" s="18" t="s">
        <v>38</v>
      </c>
      <c r="K28" s="18" t="str">
        <f t="shared" si="0"/>
        <v>+</v>
      </c>
    </row>
    <row r="29" spans="1:11" ht="15">
      <c r="A29" s="3" t="s">
        <v>23</v>
      </c>
      <c r="B29" s="18" t="s">
        <v>38</v>
      </c>
      <c r="C29" s="18" t="s">
        <v>38</v>
      </c>
      <c r="D29" s="18" t="s">
        <v>38</v>
      </c>
      <c r="E29" s="18" t="s">
        <v>38</v>
      </c>
      <c r="F29" s="18" t="s">
        <v>38</v>
      </c>
      <c r="G29" s="18" t="s">
        <v>38</v>
      </c>
      <c r="H29" s="18" t="s">
        <v>38</v>
      </c>
      <c r="I29" s="18"/>
      <c r="J29" s="18"/>
      <c r="K29" s="18" t="str">
        <f t="shared" si="0"/>
        <v> </v>
      </c>
    </row>
    <row r="30" spans="1:11" ht="15">
      <c r="A30" s="3" t="s">
        <v>24</v>
      </c>
      <c r="B30" s="18" t="s">
        <v>38</v>
      </c>
      <c r="C30" s="18" t="s">
        <v>38</v>
      </c>
      <c r="D30" s="18" t="s">
        <v>38</v>
      </c>
      <c r="E30" s="18" t="s">
        <v>38</v>
      </c>
      <c r="F30" s="18" t="s">
        <v>38</v>
      </c>
      <c r="G30" s="18" t="s">
        <v>38</v>
      </c>
      <c r="H30" s="18" t="s">
        <v>38</v>
      </c>
      <c r="I30" s="18"/>
      <c r="J30" s="18"/>
      <c r="K30" s="18" t="str">
        <f t="shared" si="0"/>
        <v> </v>
      </c>
    </row>
    <row r="31" spans="1:11" ht="15">
      <c r="A31" s="3" t="s">
        <v>25</v>
      </c>
      <c r="B31" s="18" t="s">
        <v>38</v>
      </c>
      <c r="C31" s="18" t="s">
        <v>38</v>
      </c>
      <c r="D31" s="18" t="s">
        <v>38</v>
      </c>
      <c r="E31" s="18" t="s">
        <v>38</v>
      </c>
      <c r="F31" s="18" t="s">
        <v>229</v>
      </c>
      <c r="G31" s="18" t="s">
        <v>38</v>
      </c>
      <c r="H31" s="18" t="s">
        <v>38</v>
      </c>
      <c r="I31" s="18"/>
      <c r="J31" s="18"/>
      <c r="K31" s="18" t="str">
        <f t="shared" si="0"/>
        <v> </v>
      </c>
    </row>
    <row r="32" spans="1:11" ht="15">
      <c r="A32" s="3" t="s">
        <v>26</v>
      </c>
      <c r="B32" s="18" t="s">
        <v>38</v>
      </c>
      <c r="C32" s="18" t="s">
        <v>38</v>
      </c>
      <c r="D32" s="18" t="s">
        <v>38</v>
      </c>
      <c r="E32" s="18" t="s">
        <v>38</v>
      </c>
      <c r="F32" s="18" t="s">
        <v>38</v>
      </c>
      <c r="G32" s="18" t="s">
        <v>38</v>
      </c>
      <c r="H32" s="18" t="s">
        <v>38</v>
      </c>
      <c r="I32" s="18"/>
      <c r="J32" s="18"/>
      <c r="K32" s="18" t="str">
        <f t="shared" si="0"/>
        <v> </v>
      </c>
    </row>
    <row r="33" spans="1:11" ht="15">
      <c r="A33" s="3" t="s">
        <v>27</v>
      </c>
      <c r="B33" s="18" t="s">
        <v>38</v>
      </c>
      <c r="C33" s="18" t="s">
        <v>38</v>
      </c>
      <c r="D33" s="18" t="s">
        <v>38</v>
      </c>
      <c r="E33" s="18" t="s">
        <v>38</v>
      </c>
      <c r="F33" s="18" t="s">
        <v>38</v>
      </c>
      <c r="G33" s="18" t="s">
        <v>38</v>
      </c>
      <c r="H33" s="18" t="s">
        <v>38</v>
      </c>
      <c r="I33" s="18"/>
      <c r="J33" s="18"/>
      <c r="K33" s="18" t="str">
        <f t="shared" si="0"/>
        <v> </v>
      </c>
    </row>
    <row r="34" spans="1:11" ht="15">
      <c r="A34" s="3" t="s">
        <v>28</v>
      </c>
      <c r="B34" s="18" t="s">
        <v>38</v>
      </c>
      <c r="C34" s="18" t="s">
        <v>38</v>
      </c>
      <c r="D34" s="18" t="s">
        <v>38</v>
      </c>
      <c r="E34" s="18" t="s">
        <v>38</v>
      </c>
      <c r="F34" s="18" t="s">
        <v>38</v>
      </c>
      <c r="G34" s="18" t="s">
        <v>38</v>
      </c>
      <c r="H34" s="18" t="s">
        <v>38</v>
      </c>
      <c r="I34" s="18" t="s">
        <v>38</v>
      </c>
      <c r="J34" s="18" t="s">
        <v>38</v>
      </c>
      <c r="K34" s="18" t="str">
        <f t="shared" si="0"/>
        <v>+</v>
      </c>
    </row>
    <row r="35" spans="1:11" ht="15">
      <c r="A35" s="3" t="s">
        <v>29</v>
      </c>
      <c r="B35" s="18" t="s">
        <v>38</v>
      </c>
      <c r="C35" s="18" t="s">
        <v>38</v>
      </c>
      <c r="D35" s="18" t="s">
        <v>38</v>
      </c>
      <c r="E35" s="18" t="s">
        <v>38</v>
      </c>
      <c r="F35" s="18" t="s">
        <v>38</v>
      </c>
      <c r="G35" s="18" t="s">
        <v>38</v>
      </c>
      <c r="H35" s="18" t="s">
        <v>38</v>
      </c>
      <c r="I35" s="18"/>
      <c r="J35" s="18"/>
      <c r="K35" s="18" t="str">
        <f t="shared" si="0"/>
        <v> </v>
      </c>
    </row>
    <row r="36" spans="1:11" ht="15">
      <c r="A36" s="3" t="s">
        <v>30</v>
      </c>
      <c r="B36" s="18" t="s">
        <v>38</v>
      </c>
      <c r="C36" s="18" t="s">
        <v>38</v>
      </c>
      <c r="D36" s="18" t="s">
        <v>38</v>
      </c>
      <c r="E36" s="18" t="s">
        <v>38</v>
      </c>
      <c r="F36" s="18" t="s">
        <v>38</v>
      </c>
      <c r="G36" s="18" t="s">
        <v>38</v>
      </c>
      <c r="H36" s="18" t="s">
        <v>38</v>
      </c>
      <c r="I36" s="18" t="s">
        <v>38</v>
      </c>
      <c r="J36" s="18" t="s">
        <v>38</v>
      </c>
      <c r="K36" s="18" t="str">
        <f t="shared" si="0"/>
        <v>+</v>
      </c>
    </row>
    <row r="37" spans="1:11" ht="15">
      <c r="A37" s="3" t="s">
        <v>31</v>
      </c>
      <c r="B37" s="18" t="s">
        <v>38</v>
      </c>
      <c r="C37" s="18" t="s">
        <v>38</v>
      </c>
      <c r="D37" s="18" t="s">
        <v>38</v>
      </c>
      <c r="E37" s="18" t="s">
        <v>38</v>
      </c>
      <c r="F37" s="18" t="s">
        <v>38</v>
      </c>
      <c r="G37" s="18" t="s">
        <v>38</v>
      </c>
      <c r="H37" s="18" t="s">
        <v>38</v>
      </c>
      <c r="I37" s="18"/>
      <c r="J37" s="18"/>
      <c r="K37" s="18" t="str">
        <f t="shared" si="0"/>
        <v> </v>
      </c>
    </row>
    <row r="38" spans="1:11" ht="15">
      <c r="A38" s="3" t="s">
        <v>32</v>
      </c>
      <c r="B38" s="18" t="s">
        <v>38</v>
      </c>
      <c r="C38" s="18" t="s">
        <v>38</v>
      </c>
      <c r="D38" s="18" t="s">
        <v>38</v>
      </c>
      <c r="E38" s="18" t="s">
        <v>38</v>
      </c>
      <c r="F38" s="18" t="s">
        <v>38</v>
      </c>
      <c r="G38" s="18" t="s">
        <v>38</v>
      </c>
      <c r="H38" s="18" t="s">
        <v>38</v>
      </c>
      <c r="I38" s="18"/>
      <c r="J38" s="18"/>
      <c r="K38" s="18" t="str">
        <f t="shared" si="0"/>
        <v> </v>
      </c>
    </row>
    <row r="39" spans="1:11" ht="15">
      <c r="A39" s="3" t="s">
        <v>33</v>
      </c>
      <c r="B39" s="18" t="s">
        <v>38</v>
      </c>
      <c r="C39" s="18" t="s">
        <v>38</v>
      </c>
      <c r="D39" s="18" t="s">
        <v>38</v>
      </c>
      <c r="E39" s="18" t="s">
        <v>38</v>
      </c>
      <c r="F39" s="18" t="s">
        <v>38</v>
      </c>
      <c r="G39" s="18" t="s">
        <v>38</v>
      </c>
      <c r="H39" s="18" t="s">
        <v>38</v>
      </c>
      <c r="I39" s="18"/>
      <c r="J39" s="18"/>
      <c r="K39" s="18" t="str">
        <f t="shared" si="0"/>
        <v> </v>
      </c>
    </row>
    <row r="40" spans="1:11" ht="15">
      <c r="A40" s="3" t="s">
        <v>34</v>
      </c>
      <c r="B40" s="18" t="s">
        <v>38</v>
      </c>
      <c r="C40" s="18" t="s">
        <v>38</v>
      </c>
      <c r="D40" s="18" t="s">
        <v>38</v>
      </c>
      <c r="E40" s="18" t="s">
        <v>38</v>
      </c>
      <c r="F40" s="18" t="s">
        <v>38</v>
      </c>
      <c r="G40" s="18" t="s">
        <v>38</v>
      </c>
      <c r="H40" s="18" t="s">
        <v>38</v>
      </c>
      <c r="I40" s="18" t="s">
        <v>38</v>
      </c>
      <c r="J40" s="18" t="s">
        <v>38</v>
      </c>
      <c r="K40" s="18" t="str">
        <f t="shared" si="0"/>
        <v>+</v>
      </c>
    </row>
    <row r="41" spans="1:11" ht="15">
      <c r="A41" s="3" t="s">
        <v>35</v>
      </c>
      <c r="B41" s="18" t="s">
        <v>38</v>
      </c>
      <c r="C41" s="18" t="s">
        <v>38</v>
      </c>
      <c r="D41" s="18" t="s">
        <v>38</v>
      </c>
      <c r="E41" s="18" t="s">
        <v>38</v>
      </c>
      <c r="F41" s="18" t="s">
        <v>38</v>
      </c>
      <c r="G41" s="18" t="s">
        <v>38</v>
      </c>
      <c r="H41" s="18" t="s">
        <v>38</v>
      </c>
      <c r="I41" s="18" t="s">
        <v>38</v>
      </c>
      <c r="J41" s="18" t="s">
        <v>38</v>
      </c>
      <c r="K41" s="18" t="str">
        <f t="shared" si="0"/>
        <v>+</v>
      </c>
    </row>
    <row r="42" spans="1:11" ht="15">
      <c r="A42" s="3" t="s">
        <v>36</v>
      </c>
      <c r="B42" s="18" t="s">
        <v>38</v>
      </c>
      <c r="C42" s="18" t="s">
        <v>38</v>
      </c>
      <c r="D42" s="18" t="s">
        <v>38</v>
      </c>
      <c r="E42" s="18" t="s">
        <v>38</v>
      </c>
      <c r="F42" s="18" t="s">
        <v>38</v>
      </c>
      <c r="G42" s="18" t="s">
        <v>38</v>
      </c>
      <c r="H42" s="18" t="s">
        <v>38</v>
      </c>
      <c r="I42" s="18"/>
      <c r="J42" s="18"/>
      <c r="K42" s="18" t="str">
        <f t="shared" si="0"/>
        <v> </v>
      </c>
    </row>
  </sheetData>
  <sheetProtection/>
  <mergeCells count="1">
    <mergeCell ref="A1:K1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180" verticalDpi="18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5"/>
  <cols>
    <col min="1" max="1" width="5.57421875" style="0" customWidth="1"/>
    <col min="2" max="2" width="22.7109375" style="0" customWidth="1"/>
    <col min="3" max="3" width="21.00390625" style="0" customWidth="1"/>
    <col min="4" max="4" width="21.28125" style="0" customWidth="1"/>
    <col min="5" max="5" width="12.140625" style="0" customWidth="1"/>
    <col min="6" max="6" width="11.7109375" style="0" customWidth="1"/>
    <col min="7" max="7" width="13.7109375" style="0" customWidth="1"/>
  </cols>
  <sheetData>
    <row r="1" spans="1:7" ht="15">
      <c r="A1" s="26"/>
      <c r="B1" s="112" t="s">
        <v>265</v>
      </c>
      <c r="C1" s="112"/>
      <c r="D1" s="112"/>
      <c r="E1" s="112"/>
      <c r="F1" s="112"/>
      <c r="G1" s="112"/>
    </row>
    <row r="2" spans="1:7" ht="15">
      <c r="A2" s="26"/>
      <c r="B2" s="26"/>
      <c r="C2" s="26"/>
      <c r="D2" s="26"/>
      <c r="E2" s="26"/>
      <c r="F2" s="26"/>
      <c r="G2" s="26"/>
    </row>
    <row r="3" spans="1:7" ht="15">
      <c r="A3" s="26"/>
      <c r="B3" s="37" t="s">
        <v>266</v>
      </c>
      <c r="C3" s="36">
        <f>MAX($E$9:$E$21)</f>
        <v>21.674432291377485</v>
      </c>
      <c r="D3" s="26"/>
      <c r="E3" s="26"/>
      <c r="F3" s="26"/>
      <c r="G3" s="26"/>
    </row>
    <row r="4" spans="1:7" ht="15">
      <c r="A4" s="26"/>
      <c r="B4" s="35" t="s">
        <v>267</v>
      </c>
      <c r="C4" s="60">
        <f>MIN($E$9:$E$21)</f>
        <v>0</v>
      </c>
      <c r="D4" s="26"/>
      <c r="E4" s="26"/>
      <c r="F4" s="26"/>
      <c r="G4" s="26"/>
    </row>
    <row r="5" spans="1:7" ht="15">
      <c r="A5" s="26"/>
      <c r="B5" s="33" t="s">
        <v>268</v>
      </c>
      <c r="C5" s="32" t="s">
        <v>42</v>
      </c>
      <c r="D5" s="26"/>
      <c r="E5" s="26"/>
      <c r="F5" s="26"/>
      <c r="G5" s="26"/>
    </row>
    <row r="6" spans="1:7" ht="15">
      <c r="A6" s="26"/>
      <c r="B6" s="26"/>
      <c r="C6" s="26"/>
      <c r="D6" s="26"/>
      <c r="E6" s="26"/>
      <c r="F6" s="26"/>
      <c r="G6" s="26"/>
    </row>
    <row r="7" spans="1:7" ht="78">
      <c r="A7" s="110" t="s">
        <v>39</v>
      </c>
      <c r="B7" s="110"/>
      <c r="C7" s="23" t="s">
        <v>269</v>
      </c>
      <c r="D7" s="23" t="s">
        <v>270</v>
      </c>
      <c r="E7" s="30" t="s">
        <v>271</v>
      </c>
      <c r="F7" s="30" t="s">
        <v>272</v>
      </c>
      <c r="G7" s="30" t="s">
        <v>273</v>
      </c>
    </row>
    <row r="8" spans="1:7" ht="15">
      <c r="A8" s="117">
        <v>1</v>
      </c>
      <c r="B8" s="117"/>
      <c r="C8" s="30">
        <v>2</v>
      </c>
      <c r="D8" s="30">
        <v>3</v>
      </c>
      <c r="E8" s="30" t="s">
        <v>141</v>
      </c>
      <c r="F8" s="30">
        <v>5</v>
      </c>
      <c r="G8" s="30">
        <v>6</v>
      </c>
    </row>
    <row r="9" spans="1:7" ht="15">
      <c r="A9" s="96">
        <v>1</v>
      </c>
      <c r="B9" s="92" t="s">
        <v>207</v>
      </c>
      <c r="C9" s="105">
        <v>213</v>
      </c>
      <c r="D9" s="106">
        <v>233.74361501580302</v>
      </c>
      <c r="E9" s="27">
        <f aca="true" t="shared" si="0" ref="E9:E21">IF(($C9-$D9)&lt;0,0,$C9-$D9)</f>
        <v>0</v>
      </c>
      <c r="F9" s="42">
        <f aca="true" t="shared" si="1" ref="F9:F21">($E9-$C$4)/($C$3-$C$4)</f>
        <v>0</v>
      </c>
      <c r="G9" s="42">
        <f aca="true" t="shared" si="2" ref="G9:G21">$F9*$C$5</f>
        <v>0</v>
      </c>
    </row>
    <row r="10" spans="1:7" ht="15">
      <c r="A10" s="96">
        <v>2</v>
      </c>
      <c r="B10" s="92" t="s">
        <v>227</v>
      </c>
      <c r="C10" s="105">
        <v>107</v>
      </c>
      <c r="D10" s="106">
        <v>131.34923760983315</v>
      </c>
      <c r="E10" s="27">
        <f t="shared" si="0"/>
        <v>0</v>
      </c>
      <c r="F10" s="42">
        <f t="shared" si="1"/>
        <v>0</v>
      </c>
      <c r="G10" s="42">
        <f t="shared" si="2"/>
        <v>0</v>
      </c>
    </row>
    <row r="11" spans="1:7" ht="15">
      <c r="A11" s="96">
        <v>3</v>
      </c>
      <c r="B11" s="92" t="s">
        <v>208</v>
      </c>
      <c r="C11" s="105">
        <v>177</v>
      </c>
      <c r="D11" s="106">
        <v>155.32556770862251</v>
      </c>
      <c r="E11" s="27">
        <f t="shared" si="0"/>
        <v>21.674432291377485</v>
      </c>
      <c r="F11" s="42">
        <f t="shared" si="1"/>
        <v>1</v>
      </c>
      <c r="G11" s="42">
        <f t="shared" si="2"/>
        <v>-1</v>
      </c>
    </row>
    <row r="12" spans="1:7" ht="15">
      <c r="A12" s="96">
        <v>4</v>
      </c>
      <c r="B12" s="92" t="s">
        <v>209</v>
      </c>
      <c r="C12" s="105">
        <v>111</v>
      </c>
      <c r="D12" s="106">
        <v>101.4</v>
      </c>
      <c r="E12" s="27">
        <f t="shared" si="0"/>
        <v>9.599999999999994</v>
      </c>
      <c r="F12" s="42">
        <f t="shared" si="1"/>
        <v>0.442918175246466</v>
      </c>
      <c r="G12" s="42">
        <f t="shared" si="2"/>
        <v>-0.442918175246466</v>
      </c>
    </row>
    <row r="13" spans="1:7" ht="15">
      <c r="A13" s="96">
        <v>5</v>
      </c>
      <c r="B13" s="92" t="s">
        <v>210</v>
      </c>
      <c r="C13" s="105">
        <v>103</v>
      </c>
      <c r="D13" s="106">
        <v>110.2</v>
      </c>
      <c r="E13" s="27">
        <f t="shared" si="0"/>
        <v>0</v>
      </c>
      <c r="F13" s="42">
        <f t="shared" si="1"/>
        <v>0</v>
      </c>
      <c r="G13" s="42">
        <f t="shared" si="2"/>
        <v>0</v>
      </c>
    </row>
    <row r="14" spans="1:7" ht="15">
      <c r="A14" s="96">
        <v>6</v>
      </c>
      <c r="B14" s="92" t="s">
        <v>211</v>
      </c>
      <c r="C14" s="105">
        <v>137</v>
      </c>
      <c r="D14" s="106">
        <v>121.3</v>
      </c>
      <c r="E14" s="27">
        <f t="shared" si="0"/>
        <v>15.700000000000003</v>
      </c>
      <c r="F14" s="42">
        <f t="shared" si="1"/>
        <v>0.7243557657676585</v>
      </c>
      <c r="G14" s="42">
        <f t="shared" si="2"/>
        <v>-0.7243557657676585</v>
      </c>
    </row>
    <row r="15" spans="1:7" ht="15">
      <c r="A15" s="96">
        <v>7</v>
      </c>
      <c r="B15" s="92" t="s">
        <v>212</v>
      </c>
      <c r="C15" s="105">
        <v>112</v>
      </c>
      <c r="D15" s="106">
        <v>97.2</v>
      </c>
      <c r="E15" s="27">
        <f t="shared" si="0"/>
        <v>14.799999999999997</v>
      </c>
      <c r="F15" s="42">
        <f t="shared" si="1"/>
        <v>0.682832186838302</v>
      </c>
      <c r="G15" s="42">
        <f t="shared" si="2"/>
        <v>-0.682832186838302</v>
      </c>
    </row>
    <row r="16" spans="1:7" ht="15">
      <c r="A16" s="96">
        <v>8</v>
      </c>
      <c r="B16" s="92" t="s">
        <v>213</v>
      </c>
      <c r="C16" s="105">
        <v>172</v>
      </c>
      <c r="D16" s="106">
        <v>164.9</v>
      </c>
      <c r="E16" s="27">
        <f t="shared" si="0"/>
        <v>7.099999999999994</v>
      </c>
      <c r="F16" s="42">
        <f t="shared" si="1"/>
        <v>0.3275749004426987</v>
      </c>
      <c r="G16" s="42">
        <f t="shared" si="2"/>
        <v>-0.3275749004426987</v>
      </c>
    </row>
    <row r="17" spans="1:7" ht="15">
      <c r="A17" s="96">
        <v>9</v>
      </c>
      <c r="B17" s="92" t="s">
        <v>214</v>
      </c>
      <c r="C17" s="105">
        <v>85</v>
      </c>
      <c r="D17" s="106">
        <v>117.8</v>
      </c>
      <c r="E17" s="27">
        <f t="shared" si="0"/>
        <v>0</v>
      </c>
      <c r="F17" s="42">
        <f t="shared" si="1"/>
        <v>0</v>
      </c>
      <c r="G17" s="42">
        <f t="shared" si="2"/>
        <v>0</v>
      </c>
    </row>
    <row r="18" spans="1:7" ht="15">
      <c r="A18" s="96">
        <v>10</v>
      </c>
      <c r="B18" s="92" t="s">
        <v>215</v>
      </c>
      <c r="C18" s="105">
        <v>133</v>
      </c>
      <c r="D18" s="106">
        <v>128.9</v>
      </c>
      <c r="E18" s="27">
        <f t="shared" si="0"/>
        <v>4.099999999999994</v>
      </c>
      <c r="F18" s="42">
        <f t="shared" si="1"/>
        <v>0.18916297067817803</v>
      </c>
      <c r="G18" s="42">
        <f t="shared" si="2"/>
        <v>-0.18916297067817803</v>
      </c>
    </row>
    <row r="19" spans="1:7" ht="15">
      <c r="A19" s="96">
        <v>11</v>
      </c>
      <c r="B19" s="92" t="s">
        <v>216</v>
      </c>
      <c r="C19" s="105">
        <v>181</v>
      </c>
      <c r="D19" s="106">
        <v>166.8</v>
      </c>
      <c r="E19" s="27">
        <f t="shared" si="0"/>
        <v>14.199999999999989</v>
      </c>
      <c r="F19" s="42">
        <f t="shared" si="1"/>
        <v>0.6551498008853974</v>
      </c>
      <c r="G19" s="42">
        <f t="shared" si="2"/>
        <v>-0.6551498008853974</v>
      </c>
    </row>
    <row r="20" spans="1:7" ht="15">
      <c r="A20" s="96">
        <v>12</v>
      </c>
      <c r="B20" s="92" t="s">
        <v>217</v>
      </c>
      <c r="C20" s="105">
        <v>109</v>
      </c>
      <c r="D20" s="106">
        <v>102.3</v>
      </c>
      <c r="E20" s="27">
        <f t="shared" si="0"/>
        <v>6.700000000000003</v>
      </c>
      <c r="F20" s="42">
        <f t="shared" si="1"/>
        <v>0.3091199764740964</v>
      </c>
      <c r="G20" s="42">
        <f t="shared" si="2"/>
        <v>-0.3091199764740964</v>
      </c>
    </row>
    <row r="21" spans="1:7" ht="15">
      <c r="A21" s="96">
        <v>13</v>
      </c>
      <c r="B21" s="92" t="s">
        <v>218</v>
      </c>
      <c r="C21" s="105">
        <v>112</v>
      </c>
      <c r="D21" s="106">
        <v>103.4</v>
      </c>
      <c r="E21" s="27">
        <f t="shared" si="0"/>
        <v>8.599999999999994</v>
      </c>
      <c r="F21" s="42">
        <f t="shared" si="1"/>
        <v>0.3967808653249591</v>
      </c>
      <c r="G21" s="42">
        <f t="shared" si="2"/>
        <v>-0.3967808653249591</v>
      </c>
    </row>
    <row r="22" spans="1:7" ht="15">
      <c r="A22" s="93" t="s">
        <v>40</v>
      </c>
      <c r="B22" s="93"/>
      <c r="C22" s="26"/>
      <c r="D22" s="26"/>
      <c r="E22" s="26"/>
      <c r="F22" s="26"/>
      <c r="G22" s="26"/>
    </row>
  </sheetData>
  <sheetProtection/>
  <mergeCells count="3">
    <mergeCell ref="B1:G1"/>
    <mergeCell ref="A7:B7"/>
    <mergeCell ref="A8:B8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"/>
  <sheetViews>
    <sheetView view="pageBreakPreview" zoomScaleSheetLayoutView="100" zoomScalePageLayoutView="0" workbookViewId="0" topLeftCell="A1">
      <selection activeCell="I19" sqref="I19"/>
    </sheetView>
  </sheetViews>
  <sheetFormatPr defaultColWidth="8.7109375" defaultRowHeight="15"/>
  <cols>
    <col min="1" max="1" width="5.421875" style="26" customWidth="1"/>
    <col min="2" max="2" width="24.57421875" style="26" customWidth="1"/>
    <col min="3" max="3" width="16.7109375" style="26" customWidth="1"/>
    <col min="4" max="4" width="14.28125" style="26" customWidth="1"/>
    <col min="5" max="5" width="8.8515625" style="26" customWidth="1"/>
    <col min="6" max="6" width="8.140625" style="26" customWidth="1"/>
    <col min="7" max="7" width="12.8515625" style="26" customWidth="1"/>
    <col min="8" max="16384" width="8.7109375" style="26" customWidth="1"/>
  </cols>
  <sheetData>
    <row r="1" spans="2:7" ht="33.75" customHeight="1">
      <c r="B1" s="112" t="s">
        <v>130</v>
      </c>
      <c r="C1" s="112"/>
      <c r="D1" s="112"/>
      <c r="E1" s="112"/>
      <c r="F1" s="112"/>
      <c r="G1" s="112"/>
    </row>
    <row r="3" spans="2:3" ht="15">
      <c r="B3" s="37" t="s">
        <v>70</v>
      </c>
      <c r="C3" s="46">
        <f>MAX($E$9:$E$21)</f>
        <v>1026.1446249005073</v>
      </c>
    </row>
    <row r="4" spans="2:3" ht="15">
      <c r="B4" s="35" t="s">
        <v>71</v>
      </c>
      <c r="C4" s="74">
        <f>MIN($E$9:$E$21)</f>
        <v>0</v>
      </c>
    </row>
    <row r="5" spans="2:3" ht="15">
      <c r="B5" s="33" t="s">
        <v>72</v>
      </c>
      <c r="C5" s="32" t="s">
        <v>42</v>
      </c>
    </row>
    <row r="7" spans="1:7" s="31" customFormat="1" ht="79.5" customHeight="1">
      <c r="A7" s="110" t="s">
        <v>39</v>
      </c>
      <c r="B7" s="110"/>
      <c r="C7" s="23" t="s">
        <v>242</v>
      </c>
      <c r="D7" s="23" t="s">
        <v>239</v>
      </c>
      <c r="E7" s="30" t="s">
        <v>73</v>
      </c>
      <c r="F7" s="30" t="s">
        <v>74</v>
      </c>
      <c r="G7" s="30" t="s">
        <v>75</v>
      </c>
    </row>
    <row r="8" spans="1:7" s="29" customFormat="1" ht="15">
      <c r="A8" s="117">
        <v>1</v>
      </c>
      <c r="B8" s="117"/>
      <c r="C8" s="30">
        <v>2</v>
      </c>
      <c r="D8" s="30">
        <v>3</v>
      </c>
      <c r="E8" s="30" t="s">
        <v>49</v>
      </c>
      <c r="F8" s="30">
        <v>5</v>
      </c>
      <c r="G8" s="30">
        <v>6</v>
      </c>
    </row>
    <row r="9" spans="1:7" ht="15">
      <c r="A9" s="96">
        <v>1</v>
      </c>
      <c r="B9" s="92" t="s">
        <v>207</v>
      </c>
      <c r="C9" s="99">
        <v>107005335.34</v>
      </c>
      <c r="D9" s="53">
        <v>104279</v>
      </c>
      <c r="E9" s="42">
        <f>$C9/$D9</f>
        <v>1026.1446249005073</v>
      </c>
      <c r="F9" s="27">
        <f>($E9-$C$4)/($C$3-$C$4)</f>
        <v>1</v>
      </c>
      <c r="G9" s="27">
        <f>$F9*$C$5</f>
        <v>-1</v>
      </c>
    </row>
    <row r="10" spans="1:7" ht="15">
      <c r="A10" s="96">
        <v>2</v>
      </c>
      <c r="B10" s="92" t="s">
        <v>227</v>
      </c>
      <c r="C10" s="99">
        <v>0</v>
      </c>
      <c r="D10" s="53">
        <v>47180</v>
      </c>
      <c r="E10" s="42">
        <f aca="true" t="shared" si="0" ref="E10:E21">$C10/$D10</f>
        <v>0</v>
      </c>
      <c r="F10" s="27">
        <f aca="true" t="shared" si="1" ref="F10:F21">($E10-$C$4)/($C$3-$C$4)</f>
        <v>0</v>
      </c>
      <c r="G10" s="27">
        <f aca="true" t="shared" si="2" ref="G10:G21">$F10*$C$5</f>
        <v>0</v>
      </c>
    </row>
    <row r="11" spans="1:7" ht="15">
      <c r="A11" s="96">
        <v>3</v>
      </c>
      <c r="B11" s="92" t="s">
        <v>208</v>
      </c>
      <c r="C11" s="99">
        <v>1017.7700000000004</v>
      </c>
      <c r="D11" s="53">
        <v>39774</v>
      </c>
      <c r="E11" s="42">
        <f t="shared" si="0"/>
        <v>0.025588826871825825</v>
      </c>
      <c r="F11" s="27">
        <f t="shared" si="1"/>
        <v>2.4936861969439113E-05</v>
      </c>
      <c r="G11" s="27">
        <f t="shared" si="2"/>
        <v>-2.4936861969439113E-05</v>
      </c>
    </row>
    <row r="12" spans="1:7" ht="15">
      <c r="A12" s="96">
        <v>4</v>
      </c>
      <c r="B12" s="92" t="s">
        <v>209</v>
      </c>
      <c r="C12" s="99">
        <v>0</v>
      </c>
      <c r="D12" s="53">
        <v>14355</v>
      </c>
      <c r="E12" s="42">
        <f t="shared" si="0"/>
        <v>0</v>
      </c>
      <c r="F12" s="27">
        <f t="shared" si="1"/>
        <v>0</v>
      </c>
      <c r="G12" s="27">
        <f t="shared" si="2"/>
        <v>0</v>
      </c>
    </row>
    <row r="13" spans="1:7" ht="15">
      <c r="A13" s="96">
        <v>5</v>
      </c>
      <c r="B13" s="92" t="s">
        <v>210</v>
      </c>
      <c r="C13" s="99">
        <v>0</v>
      </c>
      <c r="D13" s="53">
        <v>18503</v>
      </c>
      <c r="E13" s="42">
        <f t="shared" si="0"/>
        <v>0</v>
      </c>
      <c r="F13" s="27">
        <f t="shared" si="1"/>
        <v>0</v>
      </c>
      <c r="G13" s="27">
        <f t="shared" si="2"/>
        <v>0</v>
      </c>
    </row>
    <row r="14" spans="1:7" ht="15">
      <c r="A14" s="96">
        <v>6</v>
      </c>
      <c r="B14" s="92" t="s">
        <v>211</v>
      </c>
      <c r="C14" s="99">
        <v>983141.0399999999</v>
      </c>
      <c r="D14" s="53">
        <v>23717</v>
      </c>
      <c r="E14" s="42">
        <f t="shared" si="0"/>
        <v>41.45301007715984</v>
      </c>
      <c r="F14" s="27">
        <f t="shared" si="1"/>
        <v>0.040396849597276824</v>
      </c>
      <c r="G14" s="27">
        <f t="shared" si="2"/>
        <v>-0.040396849597276824</v>
      </c>
    </row>
    <row r="15" spans="1:7" ht="15">
      <c r="A15" s="96">
        <v>7</v>
      </c>
      <c r="B15" s="92" t="s">
        <v>212</v>
      </c>
      <c r="C15" s="99">
        <v>8426153.25</v>
      </c>
      <c r="D15" s="53">
        <v>12363</v>
      </c>
      <c r="E15" s="42">
        <f t="shared" si="0"/>
        <v>681.5621815093424</v>
      </c>
      <c r="F15" s="27">
        <f t="shared" si="1"/>
        <v>0.6641970000821523</v>
      </c>
      <c r="G15" s="27">
        <f t="shared" si="2"/>
        <v>-0.6641970000821523</v>
      </c>
    </row>
    <row r="16" spans="1:7" ht="15">
      <c r="A16" s="96">
        <v>8</v>
      </c>
      <c r="B16" s="92" t="s">
        <v>213</v>
      </c>
      <c r="C16" s="99">
        <v>161049.66</v>
      </c>
      <c r="D16" s="53">
        <v>44266</v>
      </c>
      <c r="E16" s="42">
        <f t="shared" si="0"/>
        <v>3.638224822662992</v>
      </c>
      <c r="F16" s="27">
        <f t="shared" si="1"/>
        <v>0.0035455283147984586</v>
      </c>
      <c r="G16" s="27">
        <f t="shared" si="2"/>
        <v>-0.0035455283147984586</v>
      </c>
    </row>
    <row r="17" spans="1:7" ht="15">
      <c r="A17" s="96">
        <v>9</v>
      </c>
      <c r="B17" s="92" t="s">
        <v>214</v>
      </c>
      <c r="C17" s="99">
        <v>1884902.0699999998</v>
      </c>
      <c r="D17" s="53">
        <v>22081</v>
      </c>
      <c r="E17" s="42">
        <f t="shared" si="0"/>
        <v>85.36307549476925</v>
      </c>
      <c r="F17" s="27">
        <f t="shared" si="1"/>
        <v>0.0831881524527265</v>
      </c>
      <c r="G17" s="27">
        <f t="shared" si="2"/>
        <v>-0.0831881524527265</v>
      </c>
    </row>
    <row r="18" spans="1:7" ht="15">
      <c r="A18" s="96">
        <v>10</v>
      </c>
      <c r="B18" s="92" t="s">
        <v>215</v>
      </c>
      <c r="C18" s="99">
        <v>0</v>
      </c>
      <c r="D18" s="53">
        <v>27317</v>
      </c>
      <c r="E18" s="42">
        <f t="shared" si="0"/>
        <v>0</v>
      </c>
      <c r="F18" s="27">
        <f t="shared" si="1"/>
        <v>0</v>
      </c>
      <c r="G18" s="27">
        <f t="shared" si="2"/>
        <v>0</v>
      </c>
    </row>
    <row r="19" spans="1:7" ht="15">
      <c r="A19" s="96">
        <v>11</v>
      </c>
      <c r="B19" s="92" t="s">
        <v>216</v>
      </c>
      <c r="C19" s="99">
        <v>831721.19</v>
      </c>
      <c r="D19" s="53">
        <v>45193</v>
      </c>
      <c r="E19" s="42">
        <f t="shared" si="0"/>
        <v>18.40376142322926</v>
      </c>
      <c r="F19" s="27">
        <f t="shared" si="1"/>
        <v>0.017934861204397624</v>
      </c>
      <c r="G19" s="27">
        <f t="shared" si="2"/>
        <v>-0.017934861204397624</v>
      </c>
    </row>
    <row r="20" spans="1:7" ht="15">
      <c r="A20" s="96">
        <v>12</v>
      </c>
      <c r="B20" s="92" t="s">
        <v>217</v>
      </c>
      <c r="C20" s="99">
        <v>951524.7400000002</v>
      </c>
      <c r="D20" s="53">
        <v>14755</v>
      </c>
      <c r="E20" s="42">
        <f t="shared" si="0"/>
        <v>64.48829142663506</v>
      </c>
      <c r="F20" s="27">
        <f t="shared" si="1"/>
        <v>0.06284522655165464</v>
      </c>
      <c r="G20" s="27">
        <f t="shared" si="2"/>
        <v>-0.06284522655165464</v>
      </c>
    </row>
    <row r="21" spans="1:7" ht="15">
      <c r="A21" s="96">
        <v>13</v>
      </c>
      <c r="B21" s="92" t="s">
        <v>218</v>
      </c>
      <c r="C21" s="99">
        <v>0</v>
      </c>
      <c r="D21" s="53">
        <v>15278</v>
      </c>
      <c r="E21" s="42">
        <f t="shared" si="0"/>
        <v>0</v>
      </c>
      <c r="F21" s="27">
        <f t="shared" si="1"/>
        <v>0</v>
      </c>
      <c r="G21" s="27">
        <f t="shared" si="2"/>
        <v>0</v>
      </c>
    </row>
    <row r="22" spans="1:2" ht="15">
      <c r="A22" s="93" t="s">
        <v>40</v>
      </c>
      <c r="B22" s="93"/>
    </row>
  </sheetData>
  <sheetProtection/>
  <mergeCells count="3">
    <mergeCell ref="B1:G1"/>
    <mergeCell ref="A7:B7"/>
    <mergeCell ref="A8:B8"/>
  </mergeCells>
  <printOptions horizontalCentered="1" vertic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3"/>
  <sheetViews>
    <sheetView view="pageBreakPreview" zoomScaleSheetLayoutView="100" zoomScalePageLayoutView="0" workbookViewId="0" topLeftCell="A1">
      <selection activeCell="H23" sqref="H23"/>
    </sheetView>
  </sheetViews>
  <sheetFormatPr defaultColWidth="8.7109375" defaultRowHeight="15"/>
  <cols>
    <col min="1" max="1" width="3.7109375" style="26" customWidth="1"/>
    <col min="2" max="2" width="24.421875" style="26" customWidth="1"/>
    <col min="3" max="3" width="18.421875" style="26" customWidth="1"/>
    <col min="4" max="4" width="17.140625" style="26" customWidth="1"/>
    <col min="5" max="5" width="9.28125" style="26" customWidth="1"/>
    <col min="6" max="6" width="6.140625" style="26" customWidth="1"/>
    <col min="7" max="7" width="12.00390625" style="26" customWidth="1"/>
    <col min="8" max="16384" width="8.7109375" style="26" customWidth="1"/>
  </cols>
  <sheetData>
    <row r="1" spans="2:7" ht="21" customHeight="1">
      <c r="B1" s="109" t="s">
        <v>144</v>
      </c>
      <c r="C1" s="109"/>
      <c r="D1" s="109"/>
      <c r="E1" s="109"/>
      <c r="F1" s="109"/>
      <c r="G1" s="109"/>
    </row>
    <row r="3" spans="2:3" ht="15">
      <c r="B3" s="37" t="s">
        <v>76</v>
      </c>
      <c r="C3" s="36">
        <f>MAX($E$10:$E$22)</f>
        <v>0.9969704048668017</v>
      </c>
    </row>
    <row r="4" spans="2:3" ht="15">
      <c r="B4" s="35" t="s">
        <v>77</v>
      </c>
      <c r="C4" s="34">
        <f>MIN($E$10:$E$22)</f>
        <v>0.8328343348508152</v>
      </c>
    </row>
    <row r="5" spans="2:3" ht="15">
      <c r="B5" s="33" t="s">
        <v>78</v>
      </c>
      <c r="C5" s="32" t="s">
        <v>41</v>
      </c>
    </row>
    <row r="7" spans="1:7" s="31" customFormat="1" ht="21" customHeight="1">
      <c r="A7" s="110" t="s">
        <v>39</v>
      </c>
      <c r="B7" s="110"/>
      <c r="C7" s="114" t="s">
        <v>226</v>
      </c>
      <c r="D7" s="114"/>
      <c r="E7" s="117" t="s">
        <v>79</v>
      </c>
      <c r="F7" s="117" t="s">
        <v>80</v>
      </c>
      <c r="G7" s="117" t="s">
        <v>81</v>
      </c>
    </row>
    <row r="8" spans="1:7" s="31" customFormat="1" ht="34.5" customHeight="1">
      <c r="A8" s="110"/>
      <c r="B8" s="110"/>
      <c r="C8" s="80" t="s">
        <v>44</v>
      </c>
      <c r="D8" s="80" t="s">
        <v>174</v>
      </c>
      <c r="E8" s="117"/>
      <c r="F8" s="117"/>
      <c r="G8" s="117"/>
    </row>
    <row r="9" spans="1:7" s="29" customFormat="1" ht="15">
      <c r="A9" s="117">
        <v>1</v>
      </c>
      <c r="B9" s="117"/>
      <c r="C9" s="30">
        <v>2</v>
      </c>
      <c r="D9" s="30">
        <v>3</v>
      </c>
      <c r="E9" s="30" t="s">
        <v>48</v>
      </c>
      <c r="F9" s="30">
        <v>5</v>
      </c>
      <c r="G9" s="30">
        <v>6</v>
      </c>
    </row>
    <row r="10" spans="1:7" ht="15">
      <c r="A10" s="96">
        <v>1</v>
      </c>
      <c r="B10" s="92" t="s">
        <v>207</v>
      </c>
      <c r="C10" s="21">
        <v>1906005712.75</v>
      </c>
      <c r="D10" s="21">
        <v>1587387000</v>
      </c>
      <c r="E10" s="21">
        <f>$D10/$C10</f>
        <v>0.8328343348508152</v>
      </c>
      <c r="F10" s="21">
        <f>($E10-$C$4)/($C$3-$C$4)</f>
        <v>0</v>
      </c>
      <c r="G10" s="21">
        <f>$F10*$C$5</f>
        <v>0</v>
      </c>
    </row>
    <row r="11" spans="1:7" ht="15">
      <c r="A11" s="96">
        <v>2</v>
      </c>
      <c r="B11" s="92" t="s">
        <v>227</v>
      </c>
      <c r="C11" s="21">
        <v>676907929.96</v>
      </c>
      <c r="D11" s="21">
        <v>582201500</v>
      </c>
      <c r="E11" s="21">
        <f aca="true" t="shared" si="0" ref="E11:E22">$D11/$C11</f>
        <v>0.8600896432612387</v>
      </c>
      <c r="F11" s="21">
        <f aca="true" t="shared" si="1" ref="F11:F22">($E11-$C$4)/($C$3-$C$4)</f>
        <v>0.16605313145226977</v>
      </c>
      <c r="G11" s="21">
        <f aca="true" t="shared" si="2" ref="G11:G22">$F11*$C$5</f>
        <v>0.33210626290453954</v>
      </c>
    </row>
    <row r="12" spans="1:7" ht="15">
      <c r="A12" s="96">
        <v>3</v>
      </c>
      <c r="B12" s="92" t="s">
        <v>208</v>
      </c>
      <c r="C12" s="21">
        <v>613143462.36</v>
      </c>
      <c r="D12" s="21">
        <v>541622941.71</v>
      </c>
      <c r="E12" s="21">
        <f t="shared" si="0"/>
        <v>0.883354345205417</v>
      </c>
      <c r="F12" s="21">
        <f t="shared" si="1"/>
        <v>0.3077934688559395</v>
      </c>
      <c r="G12" s="21">
        <f t="shared" si="2"/>
        <v>0.615586937711879</v>
      </c>
    </row>
    <row r="13" spans="1:7" ht="15">
      <c r="A13" s="96">
        <v>4</v>
      </c>
      <c r="B13" s="92" t="s">
        <v>209</v>
      </c>
      <c r="C13" s="21">
        <v>192037435.88</v>
      </c>
      <c r="D13" s="21">
        <v>188709105.21</v>
      </c>
      <c r="E13" s="21">
        <f t="shared" si="0"/>
        <v>0.9826683237320467</v>
      </c>
      <c r="F13" s="21">
        <f t="shared" si="1"/>
        <v>0.9128644841236788</v>
      </c>
      <c r="G13" s="21">
        <f t="shared" si="2"/>
        <v>1.8257289682473576</v>
      </c>
    </row>
    <row r="14" spans="1:7" ht="15">
      <c r="A14" s="96">
        <v>5</v>
      </c>
      <c r="B14" s="92" t="s">
        <v>210</v>
      </c>
      <c r="C14" s="21">
        <v>431770890.99</v>
      </c>
      <c r="D14" s="21">
        <v>430462800</v>
      </c>
      <c r="E14" s="21">
        <f t="shared" si="0"/>
        <v>0.9969704048668017</v>
      </c>
      <c r="F14" s="21">
        <f t="shared" si="1"/>
        <v>1</v>
      </c>
      <c r="G14" s="21">
        <f t="shared" si="2"/>
        <v>2</v>
      </c>
    </row>
    <row r="15" spans="1:7" ht="15">
      <c r="A15" s="96">
        <v>6</v>
      </c>
      <c r="B15" s="92" t="s">
        <v>211</v>
      </c>
      <c r="C15" s="21">
        <v>507869912.22</v>
      </c>
      <c r="D15" s="21">
        <v>436632377.58</v>
      </c>
      <c r="E15" s="21">
        <f t="shared" si="0"/>
        <v>0.859732713189079</v>
      </c>
      <c r="F15" s="21">
        <f t="shared" si="1"/>
        <v>0.16387853282733014</v>
      </c>
      <c r="G15" s="21">
        <f t="shared" si="2"/>
        <v>0.3277570656546603</v>
      </c>
    </row>
    <row r="16" spans="1:7" ht="15">
      <c r="A16" s="96">
        <v>7</v>
      </c>
      <c r="B16" s="92" t="s">
        <v>212</v>
      </c>
      <c r="C16" s="21">
        <v>210690035.52</v>
      </c>
      <c r="D16" s="21">
        <v>188535733</v>
      </c>
      <c r="E16" s="21">
        <f t="shared" si="0"/>
        <v>0.8948488358012688</v>
      </c>
      <c r="F16" s="21">
        <f t="shared" si="1"/>
        <v>0.37782372238115364</v>
      </c>
      <c r="G16" s="21">
        <f t="shared" si="2"/>
        <v>0.7556474447623073</v>
      </c>
    </row>
    <row r="17" spans="1:7" ht="15">
      <c r="A17" s="96">
        <v>8</v>
      </c>
      <c r="B17" s="92" t="s">
        <v>213</v>
      </c>
      <c r="C17" s="21">
        <v>521922237.43</v>
      </c>
      <c r="D17" s="21">
        <v>519118558.43</v>
      </c>
      <c r="E17" s="21">
        <f t="shared" si="0"/>
        <v>0.9946281671886494</v>
      </c>
      <c r="F17" s="21">
        <f t="shared" si="1"/>
        <v>0.9857299027695491</v>
      </c>
      <c r="G17" s="21">
        <f t="shared" si="2"/>
        <v>1.9714598055390982</v>
      </c>
    </row>
    <row r="18" spans="1:7" ht="15">
      <c r="A18" s="96">
        <v>9</v>
      </c>
      <c r="B18" s="92" t="s">
        <v>214</v>
      </c>
      <c r="C18" s="21">
        <v>324619152.59</v>
      </c>
      <c r="D18" s="21">
        <v>322595256.55</v>
      </c>
      <c r="E18" s="21">
        <f t="shared" si="0"/>
        <v>0.9937653215349367</v>
      </c>
      <c r="F18" s="21">
        <f t="shared" si="1"/>
        <v>0.9804730104019622</v>
      </c>
      <c r="G18" s="21">
        <f t="shared" si="2"/>
        <v>1.9609460208039244</v>
      </c>
    </row>
    <row r="19" spans="1:7" ht="15">
      <c r="A19" s="96">
        <v>10</v>
      </c>
      <c r="B19" s="92" t="s">
        <v>215</v>
      </c>
      <c r="C19" s="21">
        <v>381996307.83</v>
      </c>
      <c r="D19" s="21">
        <v>347820564.75</v>
      </c>
      <c r="E19" s="21">
        <f t="shared" si="0"/>
        <v>0.9105338392558254</v>
      </c>
      <c r="F19" s="21">
        <f t="shared" si="1"/>
        <v>0.4733847008609534</v>
      </c>
      <c r="G19" s="21">
        <f t="shared" si="2"/>
        <v>0.9467694017219068</v>
      </c>
    </row>
    <row r="20" spans="1:7" ht="15">
      <c r="A20" s="96">
        <v>11</v>
      </c>
      <c r="B20" s="92" t="s">
        <v>216</v>
      </c>
      <c r="C20" s="21">
        <v>935306078.49</v>
      </c>
      <c r="D20" s="21">
        <v>930073909.8</v>
      </c>
      <c r="E20" s="21">
        <f t="shared" si="0"/>
        <v>0.9944059289142576</v>
      </c>
      <c r="F20" s="21">
        <f t="shared" si="1"/>
        <v>0.9843759147377278</v>
      </c>
      <c r="G20" s="21">
        <f t="shared" si="2"/>
        <v>1.9687518294754556</v>
      </c>
    </row>
    <row r="21" spans="1:7" ht="15">
      <c r="A21" s="96">
        <v>12</v>
      </c>
      <c r="B21" s="92" t="s">
        <v>217</v>
      </c>
      <c r="C21" s="21">
        <v>213164283.88</v>
      </c>
      <c r="D21" s="21">
        <v>203962797.23</v>
      </c>
      <c r="E21" s="21">
        <f t="shared" si="0"/>
        <v>0.9568338256178979</v>
      </c>
      <c r="F21" s="21">
        <f t="shared" si="1"/>
        <v>0.7554676480008655</v>
      </c>
      <c r="G21" s="21">
        <f t="shared" si="2"/>
        <v>1.510935296001731</v>
      </c>
    </row>
    <row r="22" spans="1:7" ht="15">
      <c r="A22" s="96">
        <v>13</v>
      </c>
      <c r="B22" s="92" t="s">
        <v>218</v>
      </c>
      <c r="C22" s="21">
        <v>210768964.53</v>
      </c>
      <c r="D22" s="21">
        <v>191775548.78</v>
      </c>
      <c r="E22" s="21">
        <f t="shared" si="0"/>
        <v>0.9098851399096922</v>
      </c>
      <c r="F22" s="21">
        <f t="shared" si="1"/>
        <v>0.4694324961684076</v>
      </c>
      <c r="G22" s="21">
        <f t="shared" si="2"/>
        <v>0.9388649923368152</v>
      </c>
    </row>
    <row r="23" ht="15">
      <c r="B23" s="5"/>
    </row>
  </sheetData>
  <sheetProtection/>
  <mergeCells count="7">
    <mergeCell ref="A9:B9"/>
    <mergeCell ref="B1:G1"/>
    <mergeCell ref="C7:D7"/>
    <mergeCell ref="E7:E8"/>
    <mergeCell ref="F7:F8"/>
    <mergeCell ref="G7:G8"/>
    <mergeCell ref="A7:B8"/>
  </mergeCells>
  <printOptions horizontalCentered="1" vertic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3"/>
  <sheetViews>
    <sheetView view="pageBreakPreview" zoomScaleSheetLayoutView="100" zoomScalePageLayoutView="0" workbookViewId="0" topLeftCell="A1">
      <selection activeCell="H25" sqref="H25"/>
    </sheetView>
  </sheetViews>
  <sheetFormatPr defaultColWidth="9.140625" defaultRowHeight="15"/>
  <cols>
    <col min="1" max="1" width="4.8515625" style="1" customWidth="1"/>
    <col min="2" max="2" width="25.140625" style="1" customWidth="1"/>
    <col min="3" max="3" width="17.421875" style="1" customWidth="1"/>
    <col min="4" max="4" width="20.28125" style="1" customWidth="1"/>
    <col min="5" max="5" width="7.140625" style="22" customWidth="1"/>
    <col min="6" max="6" width="5.7109375" style="22" customWidth="1"/>
    <col min="7" max="7" width="11.7109375" style="22" customWidth="1"/>
    <col min="8" max="16384" width="9.140625" style="1" customWidth="1"/>
  </cols>
  <sheetData>
    <row r="1" spans="2:7" ht="30.75" customHeight="1">
      <c r="B1" s="108" t="s">
        <v>131</v>
      </c>
      <c r="C1" s="108"/>
      <c r="D1" s="108"/>
      <c r="E1" s="122"/>
      <c r="F1" s="122"/>
      <c r="G1" s="122"/>
    </row>
    <row r="3" spans="2:7" ht="15">
      <c r="B3" s="10" t="s">
        <v>82</v>
      </c>
      <c r="C3" s="19">
        <f>MAX($E$10:$E$22)</f>
        <v>0.8620689655172413</v>
      </c>
      <c r="D3" s="22"/>
      <c r="E3" s="1"/>
      <c r="F3" s="1"/>
      <c r="G3" s="1"/>
    </row>
    <row r="4" spans="2:7" ht="15">
      <c r="B4" s="11" t="s">
        <v>83</v>
      </c>
      <c r="C4" s="77">
        <f>MIN($E$10:$E$22)</f>
        <v>0</v>
      </c>
      <c r="D4" s="22"/>
      <c r="E4" s="1"/>
      <c r="F4" s="1"/>
      <c r="G4" s="1"/>
    </row>
    <row r="5" spans="2:7" ht="15">
      <c r="B5" s="12" t="s">
        <v>84</v>
      </c>
      <c r="C5" s="13" t="s">
        <v>46</v>
      </c>
      <c r="D5" s="22"/>
      <c r="E5" s="1"/>
      <c r="F5" s="1"/>
      <c r="G5" s="1"/>
    </row>
    <row r="7" spans="1:7" s="8" customFormat="1" ht="35.25" customHeight="1">
      <c r="A7" s="114" t="s">
        <v>39</v>
      </c>
      <c r="B7" s="114"/>
      <c r="C7" s="114" t="s">
        <v>132</v>
      </c>
      <c r="D7" s="114"/>
      <c r="E7" s="115" t="s">
        <v>113</v>
      </c>
      <c r="F7" s="115" t="s">
        <v>114</v>
      </c>
      <c r="G7" s="115" t="s">
        <v>115</v>
      </c>
    </row>
    <row r="8" spans="1:7" s="8" customFormat="1" ht="62.25">
      <c r="A8" s="114"/>
      <c r="B8" s="114"/>
      <c r="C8" s="80" t="s">
        <v>44</v>
      </c>
      <c r="D8" s="80" t="s">
        <v>55</v>
      </c>
      <c r="E8" s="115"/>
      <c r="F8" s="115"/>
      <c r="G8" s="115"/>
    </row>
    <row r="9" spans="1:7" s="7" customFormat="1" ht="15">
      <c r="A9" s="121">
        <v>1</v>
      </c>
      <c r="B9" s="121"/>
      <c r="C9" s="9">
        <v>2</v>
      </c>
      <c r="D9" s="9">
        <v>3</v>
      </c>
      <c r="E9" s="9" t="s">
        <v>48</v>
      </c>
      <c r="F9" s="9">
        <v>5</v>
      </c>
      <c r="G9" s="9">
        <v>6</v>
      </c>
    </row>
    <row r="10" spans="1:7" s="7" customFormat="1" ht="15">
      <c r="A10" s="96">
        <v>1</v>
      </c>
      <c r="B10" s="92" t="s">
        <v>207</v>
      </c>
      <c r="C10" s="24">
        <v>29</v>
      </c>
      <c r="D10" s="24">
        <v>25</v>
      </c>
      <c r="E10" s="6">
        <f aca="true" t="shared" si="0" ref="E10:E22">IF($C10&gt;0,$D10/$C10,0)</f>
        <v>0.8620689655172413</v>
      </c>
      <c r="F10" s="6">
        <f aca="true" t="shared" si="1" ref="F10:F22">($E10-$C$4)/($C$3-$C$4)</f>
        <v>1</v>
      </c>
      <c r="G10" s="6">
        <f aca="true" t="shared" si="2" ref="G10:G22">$F10*$C$5</f>
        <v>1</v>
      </c>
    </row>
    <row r="11" spans="1:7" s="7" customFormat="1" ht="15">
      <c r="A11" s="96">
        <v>2</v>
      </c>
      <c r="B11" s="92" t="s">
        <v>227</v>
      </c>
      <c r="C11" s="24">
        <v>29</v>
      </c>
      <c r="D11" s="24">
        <v>0</v>
      </c>
      <c r="E11" s="6">
        <f t="shared" si="0"/>
        <v>0</v>
      </c>
      <c r="F11" s="6">
        <f t="shared" si="1"/>
        <v>0</v>
      </c>
      <c r="G11" s="6">
        <f t="shared" si="2"/>
        <v>0</v>
      </c>
    </row>
    <row r="12" spans="1:7" s="7" customFormat="1" ht="15">
      <c r="A12" s="96">
        <v>3</v>
      </c>
      <c r="B12" s="92" t="s">
        <v>208</v>
      </c>
      <c r="C12" s="24">
        <v>34</v>
      </c>
      <c r="D12" s="24">
        <v>25</v>
      </c>
      <c r="E12" s="6">
        <f t="shared" si="0"/>
        <v>0.7352941176470589</v>
      </c>
      <c r="F12" s="6">
        <f t="shared" si="1"/>
        <v>0.8529411764705883</v>
      </c>
      <c r="G12" s="6">
        <f t="shared" si="2"/>
        <v>0.8529411764705883</v>
      </c>
    </row>
    <row r="13" spans="1:7" s="7" customFormat="1" ht="15">
      <c r="A13" s="96">
        <v>4</v>
      </c>
      <c r="B13" s="92" t="s">
        <v>209</v>
      </c>
      <c r="C13" s="24">
        <v>17</v>
      </c>
      <c r="D13" s="24">
        <v>6</v>
      </c>
      <c r="E13" s="6">
        <f t="shared" si="0"/>
        <v>0.35294117647058826</v>
      </c>
      <c r="F13" s="6">
        <f t="shared" si="1"/>
        <v>0.4094117647058824</v>
      </c>
      <c r="G13" s="6">
        <f t="shared" si="2"/>
        <v>0.4094117647058824</v>
      </c>
    </row>
    <row r="14" spans="1:7" s="7" customFormat="1" ht="15">
      <c r="A14" s="96">
        <v>5</v>
      </c>
      <c r="B14" s="92" t="s">
        <v>210</v>
      </c>
      <c r="C14" s="24">
        <v>31</v>
      </c>
      <c r="D14" s="24">
        <v>26</v>
      </c>
      <c r="E14" s="6">
        <f t="shared" si="0"/>
        <v>0.8387096774193549</v>
      </c>
      <c r="F14" s="6">
        <f t="shared" si="1"/>
        <v>0.9729032258064517</v>
      </c>
      <c r="G14" s="6">
        <f t="shared" si="2"/>
        <v>0.9729032258064517</v>
      </c>
    </row>
    <row r="15" spans="1:7" s="7" customFormat="1" ht="15">
      <c r="A15" s="96">
        <v>6</v>
      </c>
      <c r="B15" s="92" t="s">
        <v>211</v>
      </c>
      <c r="C15" s="24">
        <v>30</v>
      </c>
      <c r="D15" s="24">
        <v>4</v>
      </c>
      <c r="E15" s="6">
        <f t="shared" si="0"/>
        <v>0.13333333333333333</v>
      </c>
      <c r="F15" s="6">
        <f t="shared" si="1"/>
        <v>0.15466666666666667</v>
      </c>
      <c r="G15" s="6">
        <f t="shared" si="2"/>
        <v>0.15466666666666667</v>
      </c>
    </row>
    <row r="16" spans="1:7" s="7" customFormat="1" ht="15">
      <c r="A16" s="96">
        <v>7</v>
      </c>
      <c r="B16" s="92" t="s">
        <v>212</v>
      </c>
      <c r="C16" s="24">
        <v>24</v>
      </c>
      <c r="D16" s="24">
        <v>2</v>
      </c>
      <c r="E16" s="6">
        <f t="shared" si="0"/>
        <v>0.08333333333333333</v>
      </c>
      <c r="F16" s="6">
        <f t="shared" si="1"/>
        <v>0.09666666666666666</v>
      </c>
      <c r="G16" s="6">
        <f t="shared" si="2"/>
        <v>0.09666666666666666</v>
      </c>
    </row>
    <row r="17" spans="1:7" s="7" customFormat="1" ht="15">
      <c r="A17" s="96">
        <v>8</v>
      </c>
      <c r="B17" s="92" t="s">
        <v>213</v>
      </c>
      <c r="C17" s="24">
        <v>48</v>
      </c>
      <c r="D17" s="24">
        <v>40</v>
      </c>
      <c r="E17" s="6">
        <f t="shared" si="0"/>
        <v>0.8333333333333334</v>
      </c>
      <c r="F17" s="6">
        <f t="shared" si="1"/>
        <v>0.9666666666666668</v>
      </c>
      <c r="G17" s="6">
        <f t="shared" si="2"/>
        <v>0.9666666666666668</v>
      </c>
    </row>
    <row r="18" spans="1:7" s="7" customFormat="1" ht="15">
      <c r="A18" s="96">
        <v>9</v>
      </c>
      <c r="B18" s="92" t="s">
        <v>214</v>
      </c>
      <c r="C18" s="24">
        <v>27</v>
      </c>
      <c r="D18" s="24">
        <v>0</v>
      </c>
      <c r="E18" s="6">
        <f t="shared" si="0"/>
        <v>0</v>
      </c>
      <c r="F18" s="6">
        <f t="shared" si="1"/>
        <v>0</v>
      </c>
      <c r="G18" s="6">
        <f t="shared" si="2"/>
        <v>0</v>
      </c>
    </row>
    <row r="19" spans="1:7" s="7" customFormat="1" ht="15">
      <c r="A19" s="96">
        <v>10</v>
      </c>
      <c r="B19" s="92" t="s">
        <v>215</v>
      </c>
      <c r="C19" s="24">
        <v>30</v>
      </c>
      <c r="D19" s="24">
        <v>19</v>
      </c>
      <c r="E19" s="6">
        <f t="shared" si="0"/>
        <v>0.6333333333333333</v>
      </c>
      <c r="F19" s="6">
        <f t="shared" si="1"/>
        <v>0.7346666666666667</v>
      </c>
      <c r="G19" s="6">
        <f t="shared" si="2"/>
        <v>0.7346666666666667</v>
      </c>
    </row>
    <row r="20" spans="1:7" s="7" customFormat="1" ht="15">
      <c r="A20" s="96">
        <v>11</v>
      </c>
      <c r="B20" s="92" t="s">
        <v>216</v>
      </c>
      <c r="C20" s="24">
        <v>57</v>
      </c>
      <c r="D20" s="24">
        <v>48</v>
      </c>
      <c r="E20" s="6">
        <f t="shared" si="0"/>
        <v>0.8421052631578947</v>
      </c>
      <c r="F20" s="6">
        <f t="shared" si="1"/>
        <v>0.976842105263158</v>
      </c>
      <c r="G20" s="6">
        <f t="shared" si="2"/>
        <v>0.976842105263158</v>
      </c>
    </row>
    <row r="21" spans="1:7" s="7" customFormat="1" ht="15">
      <c r="A21" s="96">
        <v>12</v>
      </c>
      <c r="B21" s="92" t="s">
        <v>217</v>
      </c>
      <c r="C21" s="24">
        <v>28</v>
      </c>
      <c r="D21" s="24">
        <v>11</v>
      </c>
      <c r="E21" s="6">
        <f t="shared" si="0"/>
        <v>0.39285714285714285</v>
      </c>
      <c r="F21" s="6">
        <f t="shared" si="1"/>
        <v>0.45571428571428574</v>
      </c>
      <c r="G21" s="6">
        <f t="shared" si="2"/>
        <v>0.45571428571428574</v>
      </c>
    </row>
    <row r="22" spans="1:7" s="7" customFormat="1" ht="15">
      <c r="A22" s="96">
        <v>13</v>
      </c>
      <c r="B22" s="92" t="s">
        <v>218</v>
      </c>
      <c r="C22" s="24">
        <v>19</v>
      </c>
      <c r="D22" s="24">
        <v>14</v>
      </c>
      <c r="E22" s="6">
        <f t="shared" si="0"/>
        <v>0.7368421052631579</v>
      </c>
      <c r="F22" s="6">
        <f t="shared" si="1"/>
        <v>0.8547368421052631</v>
      </c>
      <c r="G22" s="6">
        <f t="shared" si="2"/>
        <v>0.8547368421052631</v>
      </c>
    </row>
    <row r="23" spans="2:4" ht="15">
      <c r="B23" s="5"/>
      <c r="C23" s="5"/>
      <c r="D23" s="5"/>
    </row>
  </sheetData>
  <sheetProtection/>
  <mergeCells count="7">
    <mergeCell ref="A9:B9"/>
    <mergeCell ref="B1:G1"/>
    <mergeCell ref="C7:D7"/>
    <mergeCell ref="E7:E8"/>
    <mergeCell ref="F7:F8"/>
    <mergeCell ref="G7:G8"/>
    <mergeCell ref="A7:B8"/>
  </mergeCells>
  <printOptions horizontalCentered="1" verticalCentered="1"/>
  <pageMargins left="0.15748031496062992" right="0.15748031496062992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4"/>
  <sheetViews>
    <sheetView view="pageBreakPreview" zoomScaleSheetLayoutView="100" zoomScalePageLayoutView="0" workbookViewId="0" topLeftCell="A1">
      <selection activeCell="F24" sqref="F24"/>
    </sheetView>
  </sheetViews>
  <sheetFormatPr defaultColWidth="8.7109375" defaultRowHeight="15"/>
  <cols>
    <col min="1" max="1" width="5.28125" style="26" customWidth="1"/>
    <col min="2" max="2" width="24.57421875" style="26" customWidth="1"/>
    <col min="3" max="3" width="16.421875" style="26" customWidth="1"/>
    <col min="4" max="4" width="16.7109375" style="26" customWidth="1"/>
    <col min="5" max="5" width="22.00390625" style="26" bestFit="1" customWidth="1"/>
    <col min="6" max="6" width="16.00390625" style="26" customWidth="1"/>
    <col min="7" max="7" width="14.57421875" style="26" customWidth="1"/>
    <col min="8" max="8" width="17.8515625" style="26" customWidth="1"/>
    <col min="9" max="9" width="16.7109375" style="26" customWidth="1"/>
    <col min="10" max="10" width="18.00390625" style="26" customWidth="1"/>
    <col min="11" max="11" width="11.57421875" style="26" customWidth="1"/>
    <col min="12" max="12" width="9.8515625" style="26" customWidth="1"/>
    <col min="13" max="13" width="10.7109375" style="26" customWidth="1"/>
    <col min="14" max="16384" width="8.7109375" style="26" customWidth="1"/>
  </cols>
  <sheetData>
    <row r="1" spans="2:13" ht="18.75" customHeight="1">
      <c r="B1" s="112" t="s">
        <v>133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3" spans="2:9" ht="15">
      <c r="B3" s="37" t="s">
        <v>85</v>
      </c>
      <c r="C3" s="36">
        <f>MAX($K$10:$K$22)</f>
        <v>0</v>
      </c>
      <c r="D3" s="43"/>
      <c r="E3" s="43"/>
      <c r="F3" s="43"/>
      <c r="G3" s="43"/>
      <c r="H3" s="43"/>
      <c r="I3" s="43"/>
    </row>
    <row r="4" spans="2:9" ht="15">
      <c r="B4" s="35" t="s">
        <v>86</v>
      </c>
      <c r="C4" s="60">
        <f>MIN($K$10:$K$22)</f>
        <v>0</v>
      </c>
      <c r="D4" s="49"/>
      <c r="E4" s="49"/>
      <c r="F4" s="49"/>
      <c r="G4" s="49"/>
      <c r="H4" s="49"/>
      <c r="I4" s="49"/>
    </row>
    <row r="5" spans="2:9" ht="15">
      <c r="B5" s="33" t="s">
        <v>87</v>
      </c>
      <c r="C5" s="32" t="s">
        <v>42</v>
      </c>
      <c r="D5" s="39"/>
      <c r="E5" s="39"/>
      <c r="F5" s="39"/>
      <c r="G5" s="39"/>
      <c r="H5" s="39"/>
      <c r="I5" s="39"/>
    </row>
    <row r="7" spans="1:13" s="31" customFormat="1" ht="20.25" customHeight="1">
      <c r="A7" s="110" t="s">
        <v>39</v>
      </c>
      <c r="B7" s="110"/>
      <c r="C7" s="110" t="s">
        <v>139</v>
      </c>
      <c r="D7" s="110"/>
      <c r="E7" s="110"/>
      <c r="F7" s="110"/>
      <c r="G7" s="110"/>
      <c r="H7" s="110" t="s">
        <v>138</v>
      </c>
      <c r="I7" s="110"/>
      <c r="J7" s="110"/>
      <c r="K7" s="117" t="s">
        <v>88</v>
      </c>
      <c r="L7" s="117" t="s">
        <v>89</v>
      </c>
      <c r="M7" s="117" t="s">
        <v>90</v>
      </c>
    </row>
    <row r="8" spans="1:13" s="31" customFormat="1" ht="110.25" customHeight="1">
      <c r="A8" s="110"/>
      <c r="B8" s="110"/>
      <c r="C8" s="23" t="s">
        <v>91</v>
      </c>
      <c r="D8" s="23" t="s">
        <v>98</v>
      </c>
      <c r="E8" s="23" t="s">
        <v>99</v>
      </c>
      <c r="F8" s="23" t="s">
        <v>142</v>
      </c>
      <c r="G8" s="23" t="s">
        <v>118</v>
      </c>
      <c r="H8" s="23" t="s">
        <v>92</v>
      </c>
      <c r="I8" s="23" t="s">
        <v>100</v>
      </c>
      <c r="J8" s="23" t="s">
        <v>93</v>
      </c>
      <c r="K8" s="117"/>
      <c r="L8" s="117"/>
      <c r="M8" s="117"/>
    </row>
    <row r="9" spans="1:13" s="29" customFormat="1" ht="15">
      <c r="A9" s="117">
        <v>1</v>
      </c>
      <c r="B9" s="117"/>
      <c r="C9" s="30">
        <v>2</v>
      </c>
      <c r="D9" s="30">
        <v>3</v>
      </c>
      <c r="E9" s="30">
        <v>4</v>
      </c>
      <c r="F9" s="30">
        <v>5</v>
      </c>
      <c r="G9" s="30" t="s">
        <v>116</v>
      </c>
      <c r="H9" s="30">
        <v>7</v>
      </c>
      <c r="I9" s="30">
        <v>8</v>
      </c>
      <c r="J9" s="30" t="s">
        <v>94</v>
      </c>
      <c r="K9" s="30" t="s">
        <v>117</v>
      </c>
      <c r="L9" s="30">
        <v>11</v>
      </c>
      <c r="M9" s="30">
        <v>12</v>
      </c>
    </row>
    <row r="10" spans="1:13" ht="15">
      <c r="A10" s="96">
        <v>1</v>
      </c>
      <c r="B10" s="92" t="s">
        <v>207</v>
      </c>
      <c r="C10" s="78">
        <v>-278542414.48</v>
      </c>
      <c r="D10" s="78">
        <v>239249414.48</v>
      </c>
      <c r="E10" s="78">
        <v>0</v>
      </c>
      <c r="F10" s="84">
        <v>0</v>
      </c>
      <c r="G10" s="78">
        <f>IF(($C10-$D10-$E10-$F10)&gt;0,$C10-$D10-$E10-$F10,0)</f>
        <v>0</v>
      </c>
      <c r="H10" s="84">
        <v>1627463298.27</v>
      </c>
      <c r="I10" s="84">
        <v>418199496.07</v>
      </c>
      <c r="J10" s="27">
        <f>$H10-$I10</f>
        <v>1209263802.2</v>
      </c>
      <c r="K10" s="27">
        <f>$G10/$J10*100</f>
        <v>0</v>
      </c>
      <c r="L10" s="27">
        <v>0</v>
      </c>
      <c r="M10" s="27">
        <f>$L10*$C$5</f>
        <v>0</v>
      </c>
    </row>
    <row r="11" spans="1:14" ht="15">
      <c r="A11" s="96">
        <v>2</v>
      </c>
      <c r="B11" s="92" t="s">
        <v>227</v>
      </c>
      <c r="C11" s="78"/>
      <c r="D11" s="78">
        <v>7813327.24</v>
      </c>
      <c r="E11" s="78">
        <v>0</v>
      </c>
      <c r="F11" s="84">
        <v>0</v>
      </c>
      <c r="G11" s="78">
        <f aca="true" t="shared" si="0" ref="G11:G22">IF(($C11-$D11-$E11-$F11)&gt;0,$C11-$D11-$E11-$F11,0)</f>
        <v>0</v>
      </c>
      <c r="H11" s="84">
        <v>690586602.72</v>
      </c>
      <c r="I11" s="84">
        <v>246236989.94</v>
      </c>
      <c r="J11" s="27">
        <f aca="true" t="shared" si="1" ref="J11:J22">$H11-$I11</f>
        <v>444349612.78000003</v>
      </c>
      <c r="K11" s="27">
        <f aca="true" t="shared" si="2" ref="K11:K22">$G11/$J11*100</f>
        <v>0</v>
      </c>
      <c r="L11" s="27">
        <v>0</v>
      </c>
      <c r="M11" s="27">
        <f aca="true" t="shared" si="3" ref="M11:M22">$L11*$C$5</f>
        <v>0</v>
      </c>
      <c r="N11" s="26">
        <v>-1</v>
      </c>
    </row>
    <row r="12" spans="1:13" ht="15">
      <c r="A12" s="96">
        <v>3</v>
      </c>
      <c r="B12" s="92" t="s">
        <v>208</v>
      </c>
      <c r="C12" s="78">
        <v>-7165750.5</v>
      </c>
      <c r="D12" s="78">
        <v>13550750.5</v>
      </c>
      <c r="E12" s="78">
        <v>0</v>
      </c>
      <c r="F12" s="84">
        <v>0</v>
      </c>
      <c r="G12" s="78">
        <f t="shared" si="0"/>
        <v>0</v>
      </c>
      <c r="H12" s="84">
        <v>605977711.86</v>
      </c>
      <c r="I12" s="84">
        <v>443756178.49</v>
      </c>
      <c r="J12" s="27">
        <f t="shared" si="1"/>
        <v>162221533.37</v>
      </c>
      <c r="K12" s="27">
        <f t="shared" si="2"/>
        <v>0</v>
      </c>
      <c r="L12" s="27">
        <v>0</v>
      </c>
      <c r="M12" s="27">
        <f t="shared" si="3"/>
        <v>0</v>
      </c>
    </row>
    <row r="13" spans="1:13" ht="15">
      <c r="A13" s="96">
        <v>4</v>
      </c>
      <c r="B13" s="92" t="s">
        <v>209</v>
      </c>
      <c r="C13" s="78"/>
      <c r="D13" s="78"/>
      <c r="E13" s="78">
        <v>0</v>
      </c>
      <c r="F13" s="84">
        <v>0</v>
      </c>
      <c r="G13" s="78">
        <f t="shared" si="0"/>
        <v>0</v>
      </c>
      <c r="H13" s="84">
        <v>211948788</v>
      </c>
      <c r="I13" s="84">
        <v>141074889.29</v>
      </c>
      <c r="J13" s="27">
        <f t="shared" si="1"/>
        <v>70873898.71000001</v>
      </c>
      <c r="K13" s="27">
        <f t="shared" si="2"/>
        <v>0</v>
      </c>
      <c r="L13" s="27">
        <v>0</v>
      </c>
      <c r="M13" s="27">
        <f t="shared" si="3"/>
        <v>0</v>
      </c>
    </row>
    <row r="14" spans="1:13" ht="15">
      <c r="A14" s="96">
        <v>5</v>
      </c>
      <c r="B14" s="92" t="s">
        <v>210</v>
      </c>
      <c r="C14" s="78">
        <v>-17657508.95</v>
      </c>
      <c r="D14" s="78">
        <v>12736508.95</v>
      </c>
      <c r="E14" s="78">
        <v>0</v>
      </c>
      <c r="F14" s="84">
        <v>0</v>
      </c>
      <c r="G14" s="78">
        <f t="shared" si="0"/>
        <v>0</v>
      </c>
      <c r="H14" s="84">
        <v>414113382.04</v>
      </c>
      <c r="I14" s="84">
        <v>312452481.69</v>
      </c>
      <c r="J14" s="27">
        <f t="shared" si="1"/>
        <v>101660900.35000002</v>
      </c>
      <c r="K14" s="27">
        <f t="shared" si="2"/>
        <v>0</v>
      </c>
      <c r="L14" s="27">
        <v>0</v>
      </c>
      <c r="M14" s="27">
        <f t="shared" si="3"/>
        <v>0</v>
      </c>
    </row>
    <row r="15" spans="1:13" ht="15">
      <c r="A15" s="96">
        <v>6</v>
      </c>
      <c r="B15" s="92" t="s">
        <v>211</v>
      </c>
      <c r="C15" s="78">
        <v>-1579466.1</v>
      </c>
      <c r="D15" s="78">
        <v>1579466.1</v>
      </c>
      <c r="E15" s="78">
        <v>0</v>
      </c>
      <c r="F15" s="84">
        <v>0</v>
      </c>
      <c r="G15" s="78">
        <f t="shared" si="0"/>
        <v>0</v>
      </c>
      <c r="H15" s="84">
        <v>506290446.12</v>
      </c>
      <c r="I15" s="84">
        <v>438288011.8</v>
      </c>
      <c r="J15" s="27">
        <f t="shared" si="1"/>
        <v>68002434.32</v>
      </c>
      <c r="K15" s="27">
        <f t="shared" si="2"/>
        <v>0</v>
      </c>
      <c r="L15" s="27">
        <v>0</v>
      </c>
      <c r="M15" s="27">
        <f t="shared" si="3"/>
        <v>0</v>
      </c>
    </row>
    <row r="16" spans="1:13" ht="15">
      <c r="A16" s="96">
        <v>7</v>
      </c>
      <c r="B16" s="92" t="s">
        <v>212</v>
      </c>
      <c r="C16" s="78"/>
      <c r="D16" s="78"/>
      <c r="E16" s="78">
        <v>0</v>
      </c>
      <c r="F16" s="84">
        <v>0</v>
      </c>
      <c r="G16" s="78">
        <f t="shared" si="0"/>
        <v>0</v>
      </c>
      <c r="H16" s="84">
        <v>215627790.07</v>
      </c>
      <c r="I16" s="84">
        <v>169850608.59</v>
      </c>
      <c r="J16" s="27">
        <f t="shared" si="1"/>
        <v>45777181.47999999</v>
      </c>
      <c r="K16" s="27">
        <f t="shared" si="2"/>
        <v>0</v>
      </c>
      <c r="L16" s="27">
        <v>0</v>
      </c>
      <c r="M16" s="27">
        <f t="shared" si="3"/>
        <v>0</v>
      </c>
    </row>
    <row r="17" spans="1:13" ht="15">
      <c r="A17" s="96">
        <v>8</v>
      </c>
      <c r="B17" s="92" t="s">
        <v>213</v>
      </c>
      <c r="C17" s="78">
        <v>-38396179.31</v>
      </c>
      <c r="D17" s="78">
        <v>38396179.31</v>
      </c>
      <c r="E17" s="78">
        <v>0</v>
      </c>
      <c r="F17" s="84">
        <v>0</v>
      </c>
      <c r="G17" s="78">
        <f t="shared" si="0"/>
        <v>0</v>
      </c>
      <c r="H17" s="84">
        <v>483526058.12</v>
      </c>
      <c r="I17" s="84">
        <v>238417608.95</v>
      </c>
      <c r="J17" s="27">
        <f t="shared" si="1"/>
        <v>245108449.17000002</v>
      </c>
      <c r="K17" s="27">
        <f t="shared" si="2"/>
        <v>0</v>
      </c>
      <c r="L17" s="27">
        <v>0</v>
      </c>
      <c r="M17" s="27">
        <f t="shared" si="3"/>
        <v>0</v>
      </c>
    </row>
    <row r="18" spans="1:13" ht="15">
      <c r="A18" s="96">
        <v>9</v>
      </c>
      <c r="B18" s="92" t="s">
        <v>214</v>
      </c>
      <c r="C18" s="78"/>
      <c r="D18" s="78"/>
      <c r="E18" s="78">
        <v>0</v>
      </c>
      <c r="F18" s="84">
        <v>0</v>
      </c>
      <c r="G18" s="78">
        <f t="shared" si="0"/>
        <v>0</v>
      </c>
      <c r="H18" s="84">
        <v>339950887.74</v>
      </c>
      <c r="I18" s="84">
        <v>224530255.35</v>
      </c>
      <c r="J18" s="27">
        <f t="shared" si="1"/>
        <v>115420632.39000002</v>
      </c>
      <c r="K18" s="27">
        <f t="shared" si="2"/>
        <v>0</v>
      </c>
      <c r="L18" s="27">
        <v>0</v>
      </c>
      <c r="M18" s="27">
        <f t="shared" si="3"/>
        <v>0</v>
      </c>
    </row>
    <row r="19" spans="1:13" ht="15">
      <c r="A19" s="96">
        <v>10</v>
      </c>
      <c r="B19" s="92" t="s">
        <v>215</v>
      </c>
      <c r="C19" s="78"/>
      <c r="D19" s="78"/>
      <c r="E19" s="78">
        <v>0</v>
      </c>
      <c r="F19" s="84">
        <v>0</v>
      </c>
      <c r="G19" s="78">
        <f t="shared" si="0"/>
        <v>0</v>
      </c>
      <c r="H19" s="84">
        <v>386608572.31</v>
      </c>
      <c r="I19" s="84">
        <v>298573629</v>
      </c>
      <c r="J19" s="27">
        <f t="shared" si="1"/>
        <v>88034943.31</v>
      </c>
      <c r="K19" s="27">
        <f t="shared" si="2"/>
        <v>0</v>
      </c>
      <c r="L19" s="27">
        <v>0</v>
      </c>
      <c r="M19" s="27">
        <f t="shared" si="3"/>
        <v>0</v>
      </c>
    </row>
    <row r="20" spans="1:13" ht="15">
      <c r="A20" s="96">
        <v>11</v>
      </c>
      <c r="B20" s="92" t="s">
        <v>216</v>
      </c>
      <c r="C20" s="78"/>
      <c r="D20" s="78"/>
      <c r="E20" s="78">
        <v>0</v>
      </c>
      <c r="F20" s="84">
        <v>0</v>
      </c>
      <c r="G20" s="78">
        <f t="shared" si="0"/>
        <v>0</v>
      </c>
      <c r="H20" s="84">
        <v>959016635.81</v>
      </c>
      <c r="I20" s="84">
        <v>643219613.95</v>
      </c>
      <c r="J20" s="27">
        <f t="shared" si="1"/>
        <v>315797021.8599999</v>
      </c>
      <c r="K20" s="27">
        <f t="shared" si="2"/>
        <v>0</v>
      </c>
      <c r="L20" s="27">
        <v>0</v>
      </c>
      <c r="M20" s="27">
        <f t="shared" si="3"/>
        <v>0</v>
      </c>
    </row>
    <row r="21" spans="1:13" ht="15">
      <c r="A21" s="96">
        <v>12</v>
      </c>
      <c r="B21" s="92" t="s">
        <v>217</v>
      </c>
      <c r="C21" s="78"/>
      <c r="D21" s="78"/>
      <c r="E21" s="78">
        <v>0</v>
      </c>
      <c r="F21" s="84">
        <v>0</v>
      </c>
      <c r="G21" s="78">
        <f t="shared" si="0"/>
        <v>0</v>
      </c>
      <c r="H21" s="84">
        <v>224474581.23</v>
      </c>
      <c r="I21" s="84">
        <v>179410749.92</v>
      </c>
      <c r="J21" s="27">
        <f t="shared" si="1"/>
        <v>45063831.31</v>
      </c>
      <c r="K21" s="27">
        <f t="shared" si="2"/>
        <v>0</v>
      </c>
      <c r="L21" s="27">
        <v>0</v>
      </c>
      <c r="M21" s="27">
        <f t="shared" si="3"/>
        <v>0</v>
      </c>
    </row>
    <row r="22" spans="1:13" ht="15">
      <c r="A22" s="96">
        <v>13</v>
      </c>
      <c r="B22" s="92" t="s">
        <v>218</v>
      </c>
      <c r="C22" s="78"/>
      <c r="D22" s="78"/>
      <c r="E22" s="78">
        <v>0</v>
      </c>
      <c r="F22" s="84">
        <v>333000</v>
      </c>
      <c r="G22" s="78">
        <f t="shared" si="0"/>
        <v>0</v>
      </c>
      <c r="H22" s="84">
        <v>223026034.97</v>
      </c>
      <c r="I22" s="84">
        <v>169527991.1</v>
      </c>
      <c r="J22" s="27">
        <f t="shared" si="1"/>
        <v>53498043.870000005</v>
      </c>
      <c r="K22" s="27">
        <f t="shared" si="2"/>
        <v>0</v>
      </c>
      <c r="L22" s="27">
        <v>0</v>
      </c>
      <c r="M22" s="27">
        <f t="shared" si="3"/>
        <v>0</v>
      </c>
    </row>
    <row r="24" spans="7:10" ht="15">
      <c r="G24" s="40"/>
      <c r="J24" s="40"/>
    </row>
  </sheetData>
  <sheetProtection/>
  <mergeCells count="8">
    <mergeCell ref="A9:B9"/>
    <mergeCell ref="B1:M1"/>
    <mergeCell ref="C7:G7"/>
    <mergeCell ref="H7:J7"/>
    <mergeCell ref="K7:K8"/>
    <mergeCell ref="L7:L8"/>
    <mergeCell ref="M7:M8"/>
    <mergeCell ref="A7:B8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1" r:id="rId1"/>
  <colBreaks count="1" manualBreakCount="1">
    <brk id="5" max="1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24"/>
  <sheetViews>
    <sheetView view="pageBreakPreview" zoomScaleSheetLayoutView="100" zoomScalePageLayoutView="0" workbookViewId="0" topLeftCell="A1">
      <selection activeCell="A20" sqref="A20:IV20"/>
    </sheetView>
  </sheetViews>
  <sheetFormatPr defaultColWidth="8.7109375" defaultRowHeight="15"/>
  <cols>
    <col min="1" max="1" width="8.7109375" style="26" customWidth="1"/>
    <col min="2" max="2" width="24.7109375" style="26" customWidth="1"/>
    <col min="3" max="4" width="19.140625" style="26" customWidth="1"/>
    <col min="5" max="5" width="17.140625" style="26" customWidth="1"/>
    <col min="6" max="6" width="17.8515625" style="26" customWidth="1"/>
    <col min="7" max="7" width="18.140625" style="26" customWidth="1"/>
    <col min="8" max="8" width="17.7109375" style="26" customWidth="1"/>
    <col min="9" max="9" width="10.8515625" style="26" customWidth="1"/>
    <col min="10" max="10" width="6.7109375" style="26" customWidth="1"/>
    <col min="11" max="11" width="10.57421875" style="26" customWidth="1"/>
    <col min="12" max="16384" width="8.7109375" style="26" customWidth="1"/>
  </cols>
  <sheetData>
    <row r="1" spans="2:11" ht="15">
      <c r="B1" s="112" t="s">
        <v>134</v>
      </c>
      <c r="C1" s="112"/>
      <c r="D1" s="112"/>
      <c r="E1" s="112"/>
      <c r="F1" s="112"/>
      <c r="G1" s="112"/>
      <c r="H1" s="112"/>
      <c r="I1" s="112"/>
      <c r="J1" s="112"/>
      <c r="K1" s="112"/>
    </row>
    <row r="3" spans="2:8" ht="15">
      <c r="B3" s="37" t="s">
        <v>95</v>
      </c>
      <c r="C3" s="36">
        <f>MAX($I$10:$I$22)</f>
        <v>13.616262036525088</v>
      </c>
      <c r="D3" s="43"/>
      <c r="E3" s="43"/>
      <c r="F3" s="51"/>
      <c r="G3" s="51"/>
      <c r="H3" s="51"/>
    </row>
    <row r="4" spans="2:8" ht="15">
      <c r="B4" s="35" t="s">
        <v>96</v>
      </c>
      <c r="C4" s="60">
        <f>MIN($I$10:$I$22)</f>
        <v>0</v>
      </c>
      <c r="D4" s="49"/>
      <c r="E4" s="49"/>
      <c r="F4" s="52"/>
      <c r="G4" s="52"/>
      <c r="H4" s="52"/>
    </row>
    <row r="5" spans="2:8" ht="15">
      <c r="B5" s="33" t="s">
        <v>97</v>
      </c>
      <c r="C5" s="32" t="s">
        <v>43</v>
      </c>
      <c r="D5" s="39"/>
      <c r="E5" s="39"/>
      <c r="F5" s="39"/>
      <c r="G5" s="39"/>
      <c r="H5" s="39"/>
    </row>
    <row r="7" spans="1:11" s="31" customFormat="1" ht="18.75" customHeight="1">
      <c r="A7" s="110" t="s">
        <v>39</v>
      </c>
      <c r="B7" s="110"/>
      <c r="C7" s="114" t="s">
        <v>247</v>
      </c>
      <c r="D7" s="114"/>
      <c r="E7" s="114"/>
      <c r="F7" s="110" t="s">
        <v>138</v>
      </c>
      <c r="G7" s="110"/>
      <c r="H7" s="110"/>
      <c r="I7" s="117" t="s">
        <v>101</v>
      </c>
      <c r="J7" s="117" t="s">
        <v>102</v>
      </c>
      <c r="K7" s="117" t="s">
        <v>103</v>
      </c>
    </row>
    <row r="8" spans="1:11" s="31" customFormat="1" ht="78">
      <c r="A8" s="110"/>
      <c r="B8" s="110"/>
      <c r="C8" s="80" t="s">
        <v>175</v>
      </c>
      <c r="D8" s="80" t="s">
        <v>135</v>
      </c>
      <c r="E8" s="80" t="s">
        <v>176</v>
      </c>
      <c r="F8" s="23" t="s">
        <v>92</v>
      </c>
      <c r="G8" s="23" t="s">
        <v>100</v>
      </c>
      <c r="H8" s="23" t="s">
        <v>93</v>
      </c>
      <c r="I8" s="117"/>
      <c r="J8" s="117"/>
      <c r="K8" s="117"/>
    </row>
    <row r="9" spans="1:11" s="29" customFormat="1" ht="15">
      <c r="A9" s="117">
        <v>1</v>
      </c>
      <c r="B9" s="117"/>
      <c r="C9" s="30">
        <v>2</v>
      </c>
      <c r="D9" s="30">
        <v>3</v>
      </c>
      <c r="E9" s="30" t="s">
        <v>141</v>
      </c>
      <c r="F9" s="30">
        <v>5</v>
      </c>
      <c r="G9" s="30">
        <v>6</v>
      </c>
      <c r="H9" s="30" t="s">
        <v>147</v>
      </c>
      <c r="I9" s="30" t="s">
        <v>177</v>
      </c>
      <c r="J9" s="30">
        <v>9</v>
      </c>
      <c r="K9" s="30">
        <v>10</v>
      </c>
    </row>
    <row r="10" spans="1:11" ht="15">
      <c r="A10" s="96">
        <v>1</v>
      </c>
      <c r="B10" s="92" t="s">
        <v>207</v>
      </c>
      <c r="C10" s="84">
        <v>170000000</v>
      </c>
      <c r="D10" s="84">
        <v>50000000</v>
      </c>
      <c r="E10" s="78">
        <f>$C10-$D10</f>
        <v>120000000</v>
      </c>
      <c r="F10" s="84">
        <v>1627463298.27</v>
      </c>
      <c r="G10" s="84">
        <v>418199496.07</v>
      </c>
      <c r="H10" s="27">
        <f>$F10-$G10</f>
        <v>1209263802.2</v>
      </c>
      <c r="I10" s="27">
        <f>$E10/$H10*100</f>
        <v>9.923393041426143</v>
      </c>
      <c r="J10" s="27">
        <f>($I10-$C$4)/($C$3-$C$4)</f>
        <v>0.7287898113892808</v>
      </c>
      <c r="K10" s="27">
        <f>$J10*$C$5</f>
        <v>-1.4575796227785616</v>
      </c>
    </row>
    <row r="11" spans="1:11" ht="15">
      <c r="A11" s="96">
        <v>2</v>
      </c>
      <c r="B11" s="92" t="s">
        <v>227</v>
      </c>
      <c r="C11" s="84">
        <v>13921000</v>
      </c>
      <c r="D11" s="84">
        <v>13921000</v>
      </c>
      <c r="E11" s="78">
        <f aca="true" t="shared" si="0" ref="E11:E22">$C11-$D11</f>
        <v>0</v>
      </c>
      <c r="F11" s="84">
        <v>690586602.72</v>
      </c>
      <c r="G11" s="84">
        <v>246236989.94</v>
      </c>
      <c r="H11" s="27">
        <f aca="true" t="shared" si="1" ref="H11:H22">$F11-$G11</f>
        <v>444349612.78000003</v>
      </c>
      <c r="I11" s="27">
        <f aca="true" t="shared" si="2" ref="I11:I22">$E11/$H11*100</f>
        <v>0</v>
      </c>
      <c r="J11" s="27">
        <f aca="true" t="shared" si="3" ref="J11:J22">($I11-$C$4)/($C$3-$C$4)</f>
        <v>0</v>
      </c>
      <c r="K11" s="27">
        <f aca="true" t="shared" si="4" ref="K11:K22">$J11*$C$5</f>
        <v>0</v>
      </c>
    </row>
    <row r="12" spans="1:11" ht="15">
      <c r="A12" s="96">
        <v>3</v>
      </c>
      <c r="B12" s="92" t="s">
        <v>208</v>
      </c>
      <c r="C12" s="84">
        <v>21500000</v>
      </c>
      <c r="D12" s="84">
        <v>9100000</v>
      </c>
      <c r="E12" s="78">
        <f t="shared" si="0"/>
        <v>12400000</v>
      </c>
      <c r="F12" s="84">
        <v>605977711.86</v>
      </c>
      <c r="G12" s="84">
        <v>443756178.49</v>
      </c>
      <c r="H12" s="27">
        <f t="shared" si="1"/>
        <v>162221533.37</v>
      </c>
      <c r="I12" s="27">
        <f t="shared" si="2"/>
        <v>7.643868074972321</v>
      </c>
      <c r="J12" s="27">
        <f t="shared" si="3"/>
        <v>0.561377862328732</v>
      </c>
      <c r="K12" s="27">
        <f t="shared" si="4"/>
        <v>-1.122755724657464</v>
      </c>
    </row>
    <row r="13" spans="1:11" ht="15">
      <c r="A13" s="96">
        <v>4</v>
      </c>
      <c r="B13" s="92" t="s">
        <v>209</v>
      </c>
      <c r="C13" s="84">
        <v>0</v>
      </c>
      <c r="D13" s="84">
        <v>0</v>
      </c>
      <c r="E13" s="78">
        <f t="shared" si="0"/>
        <v>0</v>
      </c>
      <c r="F13" s="84">
        <v>211948788</v>
      </c>
      <c r="G13" s="84">
        <v>141074889.29</v>
      </c>
      <c r="H13" s="27">
        <f t="shared" si="1"/>
        <v>70873898.71000001</v>
      </c>
      <c r="I13" s="27">
        <f t="shared" si="2"/>
        <v>0</v>
      </c>
      <c r="J13" s="27">
        <f t="shared" si="3"/>
        <v>0</v>
      </c>
      <c r="K13" s="27">
        <f t="shared" si="4"/>
        <v>0</v>
      </c>
    </row>
    <row r="14" spans="1:11" ht="15">
      <c r="A14" s="96">
        <v>5</v>
      </c>
      <c r="B14" s="92" t="s">
        <v>210</v>
      </c>
      <c r="C14" s="84">
        <v>29621000</v>
      </c>
      <c r="D14" s="84">
        <v>24071000</v>
      </c>
      <c r="E14" s="78">
        <f t="shared" si="0"/>
        <v>5550000</v>
      </c>
      <c r="F14" s="84">
        <v>414113382.04</v>
      </c>
      <c r="G14" s="84">
        <v>312452481.69</v>
      </c>
      <c r="H14" s="27">
        <f t="shared" si="1"/>
        <v>101660900.35000002</v>
      </c>
      <c r="I14" s="27">
        <f t="shared" si="2"/>
        <v>5.459326034780685</v>
      </c>
      <c r="J14" s="27">
        <f t="shared" si="3"/>
        <v>0.40094161085738933</v>
      </c>
      <c r="K14" s="27">
        <f t="shared" si="4"/>
        <v>-0.8018832217147787</v>
      </c>
    </row>
    <row r="15" spans="1:11" ht="15">
      <c r="A15" s="96">
        <v>6</v>
      </c>
      <c r="B15" s="92" t="s">
        <v>211</v>
      </c>
      <c r="C15" s="84">
        <v>0</v>
      </c>
      <c r="D15" s="84">
        <v>0</v>
      </c>
      <c r="E15" s="78">
        <f t="shared" si="0"/>
        <v>0</v>
      </c>
      <c r="F15" s="84">
        <v>506290446.12</v>
      </c>
      <c r="G15" s="84">
        <v>438288011.8</v>
      </c>
      <c r="H15" s="27">
        <f t="shared" si="1"/>
        <v>68002434.32</v>
      </c>
      <c r="I15" s="27">
        <f t="shared" si="2"/>
        <v>0</v>
      </c>
      <c r="J15" s="27">
        <f t="shared" si="3"/>
        <v>0</v>
      </c>
      <c r="K15" s="27">
        <f t="shared" si="4"/>
        <v>0</v>
      </c>
    </row>
    <row r="16" spans="1:11" ht="15">
      <c r="A16" s="96">
        <v>7</v>
      </c>
      <c r="B16" s="92" t="s">
        <v>212</v>
      </c>
      <c r="C16" s="84">
        <v>3518700</v>
      </c>
      <c r="D16" s="84">
        <v>0</v>
      </c>
      <c r="E16" s="78">
        <f t="shared" si="0"/>
        <v>3518700</v>
      </c>
      <c r="F16" s="84">
        <v>215627790.07</v>
      </c>
      <c r="G16" s="84">
        <v>169850608.59</v>
      </c>
      <c r="H16" s="27">
        <f t="shared" si="1"/>
        <v>45777181.47999999</v>
      </c>
      <c r="I16" s="27">
        <f t="shared" si="2"/>
        <v>7.686580707327552</v>
      </c>
      <c r="J16" s="27">
        <f t="shared" si="3"/>
        <v>0.5645147461695876</v>
      </c>
      <c r="K16" s="27">
        <f t="shared" si="4"/>
        <v>-1.1290294923391753</v>
      </c>
    </row>
    <row r="17" spans="1:11" ht="15">
      <c r="A17" s="96">
        <v>8</v>
      </c>
      <c r="B17" s="92" t="s">
        <v>213</v>
      </c>
      <c r="C17" s="84">
        <v>0</v>
      </c>
      <c r="D17" s="84">
        <v>0</v>
      </c>
      <c r="E17" s="78">
        <f t="shared" si="0"/>
        <v>0</v>
      </c>
      <c r="F17" s="84">
        <v>483526058.12</v>
      </c>
      <c r="G17" s="84">
        <v>238417608.95</v>
      </c>
      <c r="H17" s="27">
        <f t="shared" si="1"/>
        <v>245108449.17000002</v>
      </c>
      <c r="I17" s="27">
        <f t="shared" si="2"/>
        <v>0</v>
      </c>
      <c r="J17" s="27">
        <f t="shared" si="3"/>
        <v>0</v>
      </c>
      <c r="K17" s="27">
        <f t="shared" si="4"/>
        <v>0</v>
      </c>
    </row>
    <row r="18" spans="1:11" ht="15">
      <c r="A18" s="96">
        <v>9</v>
      </c>
      <c r="B18" s="92" t="s">
        <v>214</v>
      </c>
      <c r="C18" s="84">
        <v>0</v>
      </c>
      <c r="D18" s="84">
        <v>0</v>
      </c>
      <c r="E18" s="78">
        <f t="shared" si="0"/>
        <v>0</v>
      </c>
      <c r="F18" s="84">
        <v>339950887.74</v>
      </c>
      <c r="G18" s="84">
        <v>224530255.35</v>
      </c>
      <c r="H18" s="27">
        <f t="shared" si="1"/>
        <v>115420632.39000002</v>
      </c>
      <c r="I18" s="27">
        <f t="shared" si="2"/>
        <v>0</v>
      </c>
      <c r="J18" s="27">
        <f t="shared" si="3"/>
        <v>0</v>
      </c>
      <c r="K18" s="27">
        <f t="shared" si="4"/>
        <v>0</v>
      </c>
    </row>
    <row r="19" spans="1:11" ht="15">
      <c r="A19" s="96">
        <v>10</v>
      </c>
      <c r="B19" s="92" t="s">
        <v>215</v>
      </c>
      <c r="C19" s="84">
        <v>0</v>
      </c>
      <c r="D19" s="84">
        <v>0</v>
      </c>
      <c r="E19" s="78">
        <f t="shared" si="0"/>
        <v>0</v>
      </c>
      <c r="F19" s="84">
        <v>386608572.31</v>
      </c>
      <c r="G19" s="84">
        <v>298573629</v>
      </c>
      <c r="H19" s="27">
        <f t="shared" si="1"/>
        <v>88034943.31</v>
      </c>
      <c r="I19" s="27">
        <f t="shared" si="2"/>
        <v>0</v>
      </c>
      <c r="J19" s="27">
        <f t="shared" si="3"/>
        <v>0</v>
      </c>
      <c r="K19" s="27">
        <f t="shared" si="4"/>
        <v>0</v>
      </c>
    </row>
    <row r="20" spans="1:11" ht="15">
      <c r="A20" s="96">
        <v>11</v>
      </c>
      <c r="B20" s="92" t="s">
        <v>216</v>
      </c>
      <c r="C20" s="84">
        <v>50329750</v>
      </c>
      <c r="D20" s="84">
        <v>7330000</v>
      </c>
      <c r="E20" s="78">
        <f t="shared" si="0"/>
        <v>42999750</v>
      </c>
      <c r="F20" s="84">
        <v>959016635.81</v>
      </c>
      <c r="G20" s="84">
        <v>643219613.95</v>
      </c>
      <c r="H20" s="27">
        <f t="shared" si="1"/>
        <v>315797021.8599999</v>
      </c>
      <c r="I20" s="27">
        <f t="shared" si="2"/>
        <v>13.616262036525088</v>
      </c>
      <c r="J20" s="27">
        <f t="shared" si="3"/>
        <v>1</v>
      </c>
      <c r="K20" s="27">
        <f t="shared" si="4"/>
        <v>-2</v>
      </c>
    </row>
    <row r="21" spans="1:11" ht="15">
      <c r="A21" s="96">
        <v>12</v>
      </c>
      <c r="B21" s="92" t="s">
        <v>217</v>
      </c>
      <c r="C21" s="84">
        <v>0</v>
      </c>
      <c r="D21" s="84">
        <v>0</v>
      </c>
      <c r="E21" s="78">
        <f t="shared" si="0"/>
        <v>0</v>
      </c>
      <c r="F21" s="84">
        <v>224474581.23</v>
      </c>
      <c r="G21" s="84">
        <v>179410749.92</v>
      </c>
      <c r="H21" s="27">
        <f t="shared" si="1"/>
        <v>45063831.31</v>
      </c>
      <c r="I21" s="27">
        <f t="shared" si="2"/>
        <v>0</v>
      </c>
      <c r="J21" s="27">
        <f t="shared" si="3"/>
        <v>0</v>
      </c>
      <c r="K21" s="27">
        <f t="shared" si="4"/>
        <v>0</v>
      </c>
    </row>
    <row r="22" spans="1:11" ht="15">
      <c r="A22" s="96">
        <v>13</v>
      </c>
      <c r="B22" s="92" t="s">
        <v>218</v>
      </c>
      <c r="C22" s="84">
        <v>3170000</v>
      </c>
      <c r="D22" s="84">
        <v>3170000</v>
      </c>
      <c r="E22" s="78">
        <f t="shared" si="0"/>
        <v>0</v>
      </c>
      <c r="F22" s="84">
        <v>223026034.97</v>
      </c>
      <c r="G22" s="84">
        <v>169527991.1</v>
      </c>
      <c r="H22" s="27">
        <f t="shared" si="1"/>
        <v>53498043.870000005</v>
      </c>
      <c r="I22" s="27">
        <f t="shared" si="2"/>
        <v>0</v>
      </c>
      <c r="J22" s="27">
        <f t="shared" si="3"/>
        <v>0</v>
      </c>
      <c r="K22" s="27">
        <f t="shared" si="4"/>
        <v>0</v>
      </c>
    </row>
    <row r="24" ht="15">
      <c r="I24" s="40"/>
    </row>
  </sheetData>
  <sheetProtection/>
  <mergeCells count="8">
    <mergeCell ref="A9:B9"/>
    <mergeCell ref="B1:K1"/>
    <mergeCell ref="F7:H7"/>
    <mergeCell ref="I7:I8"/>
    <mergeCell ref="J7:J8"/>
    <mergeCell ref="K7:K8"/>
    <mergeCell ref="C7:E7"/>
    <mergeCell ref="A7:B8"/>
  </mergeCells>
  <printOptions horizontalCentered="1" verticalCentered="1"/>
  <pageMargins left="0.23" right="0.15748031496062992" top="0.17" bottom="0.15748031496062992" header="0.15748031496062992" footer="0.15748031496062992"/>
  <pageSetup fitToHeight="1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25"/>
  <sheetViews>
    <sheetView view="pageBreakPreview" zoomScale="80" zoomScaleSheetLayoutView="80" zoomScalePageLayoutView="0" workbookViewId="0" topLeftCell="B1">
      <selection activeCell="H28" sqref="H28"/>
    </sheetView>
  </sheetViews>
  <sheetFormatPr defaultColWidth="8.7109375" defaultRowHeight="15"/>
  <cols>
    <col min="1" max="1" width="4.421875" style="26" customWidth="1"/>
    <col min="2" max="2" width="23.7109375" style="26" customWidth="1"/>
    <col min="3" max="3" width="15.8515625" style="26" customWidth="1"/>
    <col min="4" max="4" width="16.28125" style="26" customWidth="1"/>
    <col min="5" max="6" width="16.7109375" style="26" customWidth="1"/>
    <col min="7" max="7" width="17.00390625" style="26" customWidth="1"/>
    <col min="8" max="8" width="16.8515625" style="26" customWidth="1"/>
    <col min="9" max="10" width="15.7109375" style="26" customWidth="1"/>
    <col min="11" max="11" width="16.140625" style="26" customWidth="1"/>
    <col min="12" max="12" width="15.57421875" style="26" customWidth="1"/>
    <col min="13" max="13" width="16.57421875" style="26" customWidth="1"/>
    <col min="14" max="14" width="16.8515625" style="26" customWidth="1"/>
    <col min="15" max="15" width="15.57421875" style="26" customWidth="1"/>
    <col min="16" max="16" width="18.00390625" style="26" customWidth="1"/>
    <col min="17" max="17" width="15.140625" style="26" customWidth="1"/>
    <col min="18" max="18" width="14.00390625" style="26" customWidth="1"/>
    <col min="19" max="19" width="11.7109375" style="26" customWidth="1"/>
    <col min="20" max="20" width="10.28125" style="26" customWidth="1"/>
    <col min="21" max="16384" width="8.7109375" style="26" customWidth="1"/>
  </cols>
  <sheetData>
    <row r="1" spans="2:20" ht="15">
      <c r="B1" s="123" t="s">
        <v>136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3" spans="2:3" ht="15">
      <c r="B3" s="37" t="s">
        <v>104</v>
      </c>
      <c r="C3" s="61">
        <f>MAX($R$10:$R$22)</f>
        <v>0.000265933568767847</v>
      </c>
    </row>
    <row r="4" spans="2:3" ht="15">
      <c r="B4" s="35" t="s">
        <v>105</v>
      </c>
      <c r="C4" s="55">
        <f>MIN($R$10:$R$22)</f>
        <v>3.439945800051668E-05</v>
      </c>
    </row>
    <row r="5" spans="2:3" ht="15">
      <c r="B5" s="33" t="s">
        <v>106</v>
      </c>
      <c r="C5" s="32" t="s">
        <v>46</v>
      </c>
    </row>
    <row r="7" spans="1:20" s="31" customFormat="1" ht="32.25" customHeight="1">
      <c r="A7" s="110" t="s">
        <v>39</v>
      </c>
      <c r="B7" s="110"/>
      <c r="C7" s="114" t="s">
        <v>119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 t="s">
        <v>178</v>
      </c>
      <c r="Q7" s="114"/>
      <c r="R7" s="117" t="s">
        <v>107</v>
      </c>
      <c r="S7" s="117" t="s">
        <v>108</v>
      </c>
      <c r="T7" s="117" t="s">
        <v>109</v>
      </c>
    </row>
    <row r="8" spans="1:20" s="31" customFormat="1" ht="47.25" customHeight="1">
      <c r="A8" s="110"/>
      <c r="B8" s="110"/>
      <c r="C8" s="102" t="s">
        <v>248</v>
      </c>
      <c r="D8" s="102" t="s">
        <v>249</v>
      </c>
      <c r="E8" s="102" t="s">
        <v>243</v>
      </c>
      <c r="F8" s="102" t="s">
        <v>250</v>
      </c>
      <c r="G8" s="102" t="s">
        <v>251</v>
      </c>
      <c r="H8" s="102" t="s">
        <v>244</v>
      </c>
      <c r="I8" s="102" t="s">
        <v>252</v>
      </c>
      <c r="J8" s="102" t="s">
        <v>253</v>
      </c>
      <c r="K8" s="102" t="s">
        <v>245</v>
      </c>
      <c r="L8" s="102" t="s">
        <v>254</v>
      </c>
      <c r="M8" s="102" t="s">
        <v>255</v>
      </c>
      <c r="N8" s="102" t="s">
        <v>246</v>
      </c>
      <c r="O8" s="80" t="s">
        <v>53</v>
      </c>
      <c r="P8" s="80" t="s">
        <v>54</v>
      </c>
      <c r="Q8" s="80" t="s">
        <v>52</v>
      </c>
      <c r="R8" s="118"/>
      <c r="S8" s="118"/>
      <c r="T8" s="124"/>
    </row>
    <row r="9" spans="1:20" s="29" customFormat="1" ht="15">
      <c r="A9" s="117">
        <v>1</v>
      </c>
      <c r="B9" s="117"/>
      <c r="C9" s="30">
        <v>2</v>
      </c>
      <c r="D9" s="30">
        <v>3</v>
      </c>
      <c r="E9" s="30">
        <v>4</v>
      </c>
      <c r="F9" s="30">
        <v>5</v>
      </c>
      <c r="G9" s="30">
        <v>6</v>
      </c>
      <c r="H9" s="30">
        <v>7</v>
      </c>
      <c r="I9" s="30">
        <v>8</v>
      </c>
      <c r="J9" s="30">
        <v>9</v>
      </c>
      <c r="K9" s="30">
        <v>10</v>
      </c>
      <c r="L9" s="30">
        <v>11</v>
      </c>
      <c r="M9" s="30">
        <v>12</v>
      </c>
      <c r="N9" s="30">
        <v>13</v>
      </c>
      <c r="O9" s="30">
        <v>14</v>
      </c>
      <c r="P9" s="30">
        <v>15</v>
      </c>
      <c r="Q9" s="30">
        <v>16</v>
      </c>
      <c r="R9" s="30" t="s">
        <v>195</v>
      </c>
      <c r="S9" s="30">
        <v>18</v>
      </c>
      <c r="T9" s="30">
        <v>19</v>
      </c>
    </row>
    <row r="10" spans="1:21" ht="15">
      <c r="A10" s="96">
        <v>1</v>
      </c>
      <c r="B10" s="92" t="s">
        <v>207</v>
      </c>
      <c r="C10" s="78">
        <v>83850.63</v>
      </c>
      <c r="D10" s="78">
        <v>57642.09</v>
      </c>
      <c r="E10" s="78">
        <v>55992.46</v>
      </c>
      <c r="F10" s="78">
        <v>56443.64</v>
      </c>
      <c r="G10" s="78">
        <v>59543.28</v>
      </c>
      <c r="H10" s="78">
        <v>31962.98</v>
      </c>
      <c r="I10" s="78">
        <v>27876.39</v>
      </c>
      <c r="J10" s="78">
        <v>23064.02</v>
      </c>
      <c r="K10" s="78">
        <v>6240.38</v>
      </c>
      <c r="L10" s="78">
        <v>15196.45</v>
      </c>
      <c r="M10" s="78">
        <v>49799.8</v>
      </c>
      <c r="N10" s="78">
        <v>32777.1</v>
      </c>
      <c r="O10" s="78">
        <f>AVERAGE($C10:$N10)</f>
        <v>41699.10166666666</v>
      </c>
      <c r="P10" s="84">
        <v>1209263802.2</v>
      </c>
      <c r="Q10" s="84">
        <v>2938485</v>
      </c>
      <c r="R10" s="62">
        <f>$O10/($P10+$Q10)</f>
        <v>3.439945800051668E-05</v>
      </c>
      <c r="S10" s="47">
        <f>($R10-$C$4)/($C$3-$C$4)</f>
        <v>0</v>
      </c>
      <c r="T10" s="47">
        <f>$S10*$C$5</f>
        <v>0</v>
      </c>
      <c r="U10" s="48"/>
    </row>
    <row r="11" spans="1:21" ht="15">
      <c r="A11" s="96">
        <v>2</v>
      </c>
      <c r="B11" s="92" t="s">
        <v>227</v>
      </c>
      <c r="C11" s="78">
        <v>48009</v>
      </c>
      <c r="D11" s="78">
        <v>43221.2</v>
      </c>
      <c r="E11" s="78">
        <v>45233.5</v>
      </c>
      <c r="F11" s="78">
        <v>88454.7</v>
      </c>
      <c r="G11" s="78">
        <v>45453.3</v>
      </c>
      <c r="H11" s="78">
        <v>46654.4</v>
      </c>
      <c r="I11" s="78">
        <v>57348.6</v>
      </c>
      <c r="J11" s="78">
        <v>30617.9</v>
      </c>
      <c r="K11" s="78">
        <v>49607</v>
      </c>
      <c r="L11" s="78">
        <v>64277.3</v>
      </c>
      <c r="M11" s="78">
        <v>80205.9</v>
      </c>
      <c r="N11" s="78">
        <v>81140.1</v>
      </c>
      <c r="O11" s="78">
        <f aca="true" t="shared" si="0" ref="O11:O22">AVERAGE($C11:$N11)</f>
        <v>56685.24166666667</v>
      </c>
      <c r="P11" s="84">
        <v>444349612.78</v>
      </c>
      <c r="Q11" s="84">
        <v>40368810</v>
      </c>
      <c r="R11" s="62">
        <f aca="true" t="shared" si="1" ref="R11:R22">$O11/($P11+$Q11)</f>
        <v>0.00011694468170110073</v>
      </c>
      <c r="S11" s="47">
        <f aca="true" t="shared" si="2" ref="S11:S22">($R11-$C$4)/($C$3-$C$4)</f>
        <v>0.35651430982251303</v>
      </c>
      <c r="T11" s="47">
        <f aca="true" t="shared" si="3" ref="T11:T22">$S11*$C$5</f>
        <v>0.35651430982251303</v>
      </c>
      <c r="U11" s="48"/>
    </row>
    <row r="12" spans="1:21" ht="15">
      <c r="A12" s="96">
        <v>3</v>
      </c>
      <c r="B12" s="92" t="s">
        <v>208</v>
      </c>
      <c r="C12" s="78">
        <v>59159.13</v>
      </c>
      <c r="D12" s="78">
        <v>45629.350000000006</v>
      </c>
      <c r="E12" s="78">
        <v>46854.76</v>
      </c>
      <c r="F12" s="78">
        <v>47821.82</v>
      </c>
      <c r="G12" s="78">
        <v>45722.74</v>
      </c>
      <c r="H12" s="78">
        <v>56013.94</v>
      </c>
      <c r="I12" s="78">
        <v>51628.06</v>
      </c>
      <c r="J12" s="78">
        <v>28962.34</v>
      </c>
      <c r="K12" s="78">
        <v>20811.77</v>
      </c>
      <c r="L12" s="78">
        <v>22486.12</v>
      </c>
      <c r="M12" s="78">
        <v>34139.5</v>
      </c>
      <c r="N12" s="78">
        <v>35900.29</v>
      </c>
      <c r="O12" s="78">
        <f t="shared" si="0"/>
        <v>41260.818333333336</v>
      </c>
      <c r="P12" s="84">
        <v>268578496.69</v>
      </c>
      <c r="Q12" s="84">
        <v>76523701</v>
      </c>
      <c r="R12" s="62">
        <f t="shared" si="1"/>
        <v>0.00011956115785271613</v>
      </c>
      <c r="S12" s="47">
        <f t="shared" si="2"/>
        <v>0.36781491750811107</v>
      </c>
      <c r="T12" s="47">
        <f t="shared" si="3"/>
        <v>0.36781491750811107</v>
      </c>
      <c r="U12" s="48"/>
    </row>
    <row r="13" spans="1:21" ht="15">
      <c r="A13" s="96">
        <v>4</v>
      </c>
      <c r="B13" s="92" t="s">
        <v>209</v>
      </c>
      <c r="C13" s="78">
        <v>32055.800000000003</v>
      </c>
      <c r="D13" s="78">
        <v>26228.230000000003</v>
      </c>
      <c r="E13" s="78">
        <v>28591.62</v>
      </c>
      <c r="F13" s="78">
        <v>29587.850000000002</v>
      </c>
      <c r="G13" s="78">
        <v>33094.37</v>
      </c>
      <c r="H13" s="78">
        <v>34283.369999999995</v>
      </c>
      <c r="I13" s="78">
        <v>33313.19</v>
      </c>
      <c r="J13" s="78">
        <v>28508.93</v>
      </c>
      <c r="K13" s="78">
        <v>27796.26</v>
      </c>
      <c r="L13" s="78">
        <v>33556.2</v>
      </c>
      <c r="M13" s="78">
        <v>35879.1</v>
      </c>
      <c r="N13" s="78">
        <v>36645.48</v>
      </c>
      <c r="O13" s="78">
        <f t="shared" si="0"/>
        <v>31628.366666666665</v>
      </c>
      <c r="P13" s="84">
        <v>118894741.79</v>
      </c>
      <c r="Q13" s="84">
        <v>27136156</v>
      </c>
      <c r="R13" s="62">
        <f t="shared" si="1"/>
        <v>0.00021658681241657428</v>
      </c>
      <c r="S13" s="47">
        <f t="shared" si="2"/>
        <v>0.7868704693760589</v>
      </c>
      <c r="T13" s="47">
        <f t="shared" si="3"/>
        <v>0.7868704693760589</v>
      </c>
      <c r="U13" s="48"/>
    </row>
    <row r="14" spans="1:21" ht="15">
      <c r="A14" s="96">
        <v>5</v>
      </c>
      <c r="B14" s="92" t="s">
        <v>210</v>
      </c>
      <c r="C14" s="78">
        <v>17689.809999999998</v>
      </c>
      <c r="D14" s="78">
        <v>12975.630000000001</v>
      </c>
      <c r="E14" s="78">
        <v>20609.6</v>
      </c>
      <c r="F14" s="78">
        <v>19191.91</v>
      </c>
      <c r="G14" s="78">
        <v>12974.230000000001</v>
      </c>
      <c r="H14" s="78">
        <v>19696.78</v>
      </c>
      <c r="I14" s="78">
        <v>20820.41</v>
      </c>
      <c r="J14" s="78">
        <v>22081.6</v>
      </c>
      <c r="K14" s="78">
        <v>17948.96</v>
      </c>
      <c r="L14" s="78">
        <v>15696.91</v>
      </c>
      <c r="M14" s="78">
        <v>30402.48</v>
      </c>
      <c r="N14" s="78">
        <v>16246.349999999999</v>
      </c>
      <c r="O14" s="78">
        <f t="shared" si="0"/>
        <v>18861.2225</v>
      </c>
      <c r="P14" s="84">
        <v>162370089.19</v>
      </c>
      <c r="Q14" s="84">
        <v>58398717</v>
      </c>
      <c r="R14" s="62">
        <f t="shared" si="1"/>
        <v>8.543427319060415E-05</v>
      </c>
      <c r="S14" s="47">
        <f t="shared" si="2"/>
        <v>0.22042028719203535</v>
      </c>
      <c r="T14" s="47">
        <f t="shared" si="3"/>
        <v>0.22042028719203535</v>
      </c>
      <c r="U14" s="48"/>
    </row>
    <row r="15" spans="1:21" ht="15">
      <c r="A15" s="96">
        <v>6</v>
      </c>
      <c r="B15" s="92" t="s">
        <v>211</v>
      </c>
      <c r="C15" s="78">
        <v>30254.600000000002</v>
      </c>
      <c r="D15" s="78">
        <v>23631.7</v>
      </c>
      <c r="E15" s="78">
        <v>25896.4</v>
      </c>
      <c r="F15" s="78">
        <v>26314.5</v>
      </c>
      <c r="G15" s="78">
        <v>33736.5</v>
      </c>
      <c r="H15" s="78">
        <v>32788.1</v>
      </c>
      <c r="I15" s="78">
        <v>36339.8</v>
      </c>
      <c r="J15" s="78">
        <v>17168.6</v>
      </c>
      <c r="K15" s="78">
        <v>6602.5</v>
      </c>
      <c r="L15" s="78">
        <v>10298.3</v>
      </c>
      <c r="M15" s="78">
        <v>15346.5</v>
      </c>
      <c r="N15" s="78">
        <v>24828</v>
      </c>
      <c r="O15" s="78">
        <f t="shared" si="0"/>
        <v>23600.458333333332</v>
      </c>
      <c r="P15" s="84">
        <v>122794796.29</v>
      </c>
      <c r="Q15" s="84">
        <v>75021977</v>
      </c>
      <c r="R15" s="62">
        <f t="shared" si="1"/>
        <v>0.00011930463701748377</v>
      </c>
      <c r="S15" s="47">
        <f t="shared" si="2"/>
        <v>0.3667069993945242</v>
      </c>
      <c r="T15" s="47">
        <f t="shared" si="3"/>
        <v>0.3667069993945242</v>
      </c>
      <c r="U15" s="48"/>
    </row>
    <row r="16" spans="1:21" ht="15">
      <c r="A16" s="96">
        <v>7</v>
      </c>
      <c r="B16" s="92" t="s">
        <v>212</v>
      </c>
      <c r="C16" s="78">
        <v>8740.44</v>
      </c>
      <c r="D16" s="78">
        <v>9221.43</v>
      </c>
      <c r="E16" s="78">
        <v>8133.66</v>
      </c>
      <c r="F16" s="78">
        <v>6348.51</v>
      </c>
      <c r="G16" s="78">
        <v>9652.55</v>
      </c>
      <c r="H16" s="78">
        <v>7757.29</v>
      </c>
      <c r="I16" s="78">
        <v>7913.969999999999</v>
      </c>
      <c r="J16" s="78">
        <v>3560.28</v>
      </c>
      <c r="K16" s="78">
        <v>2707.99</v>
      </c>
      <c r="L16" s="78">
        <v>5542.92</v>
      </c>
      <c r="M16" s="78">
        <v>8303.8</v>
      </c>
      <c r="N16" s="78">
        <v>7285.45</v>
      </c>
      <c r="O16" s="78">
        <f t="shared" si="0"/>
        <v>7097.357499999999</v>
      </c>
      <c r="P16" s="84">
        <v>87261549.51</v>
      </c>
      <c r="Q16" s="84">
        <v>33761647.8</v>
      </c>
      <c r="R16" s="62">
        <f t="shared" si="1"/>
        <v>5.8644604156508705E-05</v>
      </c>
      <c r="S16" s="47">
        <f t="shared" si="2"/>
        <v>0.10471522349618749</v>
      </c>
      <c r="T16" s="47">
        <f t="shared" si="3"/>
        <v>0.10471522349618749</v>
      </c>
      <c r="U16" s="48"/>
    </row>
    <row r="17" spans="1:21" ht="15">
      <c r="A17" s="96">
        <v>8</v>
      </c>
      <c r="B17" s="92" t="s">
        <v>213</v>
      </c>
      <c r="C17" s="78">
        <v>121799.69</v>
      </c>
      <c r="D17" s="78">
        <v>104754</v>
      </c>
      <c r="E17" s="78">
        <v>97887.83</v>
      </c>
      <c r="F17" s="78">
        <v>94941.13</v>
      </c>
      <c r="G17" s="78">
        <v>93924.81999999999</v>
      </c>
      <c r="H17" s="78">
        <v>102762.31999999999</v>
      </c>
      <c r="I17" s="78">
        <v>84366.02</v>
      </c>
      <c r="J17" s="78">
        <v>64552.71</v>
      </c>
      <c r="K17" s="78">
        <v>72513.84</v>
      </c>
      <c r="L17" s="78">
        <v>71441.24</v>
      </c>
      <c r="M17" s="78">
        <v>103683.26999999999</v>
      </c>
      <c r="N17" s="78">
        <v>72795.83</v>
      </c>
      <c r="O17" s="78">
        <f t="shared" si="0"/>
        <v>90451.89166666666</v>
      </c>
      <c r="P17" s="84">
        <v>363773258.96</v>
      </c>
      <c r="Q17" s="84">
        <v>94196131</v>
      </c>
      <c r="R17" s="62">
        <f t="shared" si="1"/>
        <v>0.00019750641341895563</v>
      </c>
      <c r="S17" s="47">
        <f t="shared" si="2"/>
        <v>0.7044618820003844</v>
      </c>
      <c r="T17" s="47">
        <f t="shared" si="3"/>
        <v>0.7044618820003844</v>
      </c>
      <c r="U17" s="48"/>
    </row>
    <row r="18" spans="1:21" ht="15">
      <c r="A18" s="96">
        <v>9</v>
      </c>
      <c r="B18" s="92" t="s">
        <v>214</v>
      </c>
      <c r="C18" s="78">
        <v>29116.46</v>
      </c>
      <c r="D18" s="78">
        <v>26258.22</v>
      </c>
      <c r="E18" s="78">
        <v>24240.71</v>
      </c>
      <c r="F18" s="78">
        <v>32834.56</v>
      </c>
      <c r="G18" s="78">
        <v>33655.159999999996</v>
      </c>
      <c r="H18" s="78">
        <v>30000.39</v>
      </c>
      <c r="I18" s="78">
        <v>50172.560000000005</v>
      </c>
      <c r="J18" s="78">
        <v>57694.990000000005</v>
      </c>
      <c r="K18" s="78">
        <v>47813.61</v>
      </c>
      <c r="L18" s="78">
        <v>52282.200000000004</v>
      </c>
      <c r="M18" s="78">
        <v>58413.75</v>
      </c>
      <c r="N18" s="78">
        <v>43955.62</v>
      </c>
      <c r="O18" s="78">
        <f t="shared" si="0"/>
        <v>40536.519166666665</v>
      </c>
      <c r="P18" s="84">
        <v>178089966.85</v>
      </c>
      <c r="Q18" s="84">
        <v>77023025</v>
      </c>
      <c r="R18" s="62">
        <f t="shared" si="1"/>
        <v>0.00015889633402324377</v>
      </c>
      <c r="S18" s="47">
        <f t="shared" si="2"/>
        <v>0.537704252777832</v>
      </c>
      <c r="T18" s="47">
        <f t="shared" si="3"/>
        <v>0.537704252777832</v>
      </c>
      <c r="U18" s="48"/>
    </row>
    <row r="19" spans="1:21" ht="15">
      <c r="A19" s="96">
        <v>10</v>
      </c>
      <c r="B19" s="92" t="s">
        <v>215</v>
      </c>
      <c r="C19" s="78">
        <v>59905.49</v>
      </c>
      <c r="D19" s="78">
        <v>56038.72</v>
      </c>
      <c r="E19" s="78">
        <v>54742.090000000004</v>
      </c>
      <c r="F19" s="78">
        <v>54970.75</v>
      </c>
      <c r="G19" s="78">
        <v>62238.58</v>
      </c>
      <c r="H19" s="78">
        <v>69959.4</v>
      </c>
      <c r="I19" s="78">
        <v>73221.26</v>
      </c>
      <c r="J19" s="78">
        <v>67210.45</v>
      </c>
      <c r="K19" s="78">
        <v>63541.61</v>
      </c>
      <c r="L19" s="78">
        <v>70022.98000000001</v>
      </c>
      <c r="M19" s="78">
        <v>86437.95999999999</v>
      </c>
      <c r="N19" s="78">
        <v>71241.19</v>
      </c>
      <c r="O19" s="78">
        <f t="shared" si="0"/>
        <v>65794.20666666667</v>
      </c>
      <c r="P19" s="84">
        <v>152534572.75</v>
      </c>
      <c r="Q19" s="84">
        <v>94873857</v>
      </c>
      <c r="R19" s="62">
        <f t="shared" si="1"/>
        <v>0.000265933568767847</v>
      </c>
      <c r="S19" s="47">
        <f t="shared" si="2"/>
        <v>1</v>
      </c>
      <c r="T19" s="47">
        <f t="shared" si="3"/>
        <v>1</v>
      </c>
      <c r="U19" s="48"/>
    </row>
    <row r="20" spans="1:21" ht="15">
      <c r="A20" s="96">
        <v>11</v>
      </c>
      <c r="B20" s="92" t="s">
        <v>216</v>
      </c>
      <c r="C20" s="78">
        <v>23262.49</v>
      </c>
      <c r="D20" s="78">
        <v>27550.82</v>
      </c>
      <c r="E20" s="78">
        <v>19171.65</v>
      </c>
      <c r="F20" s="78">
        <v>22548.23</v>
      </c>
      <c r="G20" s="78">
        <v>24483.190000000002</v>
      </c>
      <c r="H20" s="78">
        <v>33329.39</v>
      </c>
      <c r="I20" s="78">
        <v>38433.229999999996</v>
      </c>
      <c r="J20" s="78">
        <v>30623.68</v>
      </c>
      <c r="K20" s="78">
        <v>21882.29</v>
      </c>
      <c r="L20" s="78">
        <v>32242.27</v>
      </c>
      <c r="M20" s="78">
        <v>51709.03</v>
      </c>
      <c r="N20" s="78">
        <v>36861.38</v>
      </c>
      <c r="O20" s="78">
        <f t="shared" si="0"/>
        <v>30174.80416666667</v>
      </c>
      <c r="P20" s="84">
        <v>465416682.79</v>
      </c>
      <c r="Q20" s="84">
        <v>49552007</v>
      </c>
      <c r="R20" s="62">
        <f t="shared" si="1"/>
        <v>5.8595415148388354E-05</v>
      </c>
      <c r="S20" s="47">
        <f t="shared" si="2"/>
        <v>0.1045027752830178</v>
      </c>
      <c r="T20" s="47">
        <f t="shared" si="3"/>
        <v>0.1045027752830178</v>
      </c>
      <c r="U20" s="48"/>
    </row>
    <row r="21" spans="1:21" ht="15">
      <c r="A21" s="96">
        <v>12</v>
      </c>
      <c r="B21" s="92" t="s">
        <v>217</v>
      </c>
      <c r="C21" s="78">
        <v>22057.059999999998</v>
      </c>
      <c r="D21" s="78">
        <v>20054.14</v>
      </c>
      <c r="E21" s="78">
        <v>15752.04</v>
      </c>
      <c r="F21" s="78">
        <v>19452.1</v>
      </c>
      <c r="G21" s="78">
        <v>20480.760000000002</v>
      </c>
      <c r="H21" s="78">
        <v>17808.36</v>
      </c>
      <c r="I21" s="78">
        <v>22256.72</v>
      </c>
      <c r="J21" s="78">
        <v>21976.5</v>
      </c>
      <c r="K21" s="78">
        <v>22559.08</v>
      </c>
      <c r="L21" s="78">
        <v>26804.719999999998</v>
      </c>
      <c r="M21" s="78">
        <v>33000.81</v>
      </c>
      <c r="N21" s="78">
        <v>29290.45</v>
      </c>
      <c r="O21" s="78">
        <f t="shared" si="0"/>
        <v>22624.395</v>
      </c>
      <c r="P21" s="84">
        <v>83078146.35</v>
      </c>
      <c r="Q21" s="84">
        <v>58922547</v>
      </c>
      <c r="R21" s="62">
        <f t="shared" si="1"/>
        <v>0.000159325947403904</v>
      </c>
      <c r="S21" s="47">
        <f t="shared" si="2"/>
        <v>0.5395597607167547</v>
      </c>
      <c r="T21" s="47">
        <f t="shared" si="3"/>
        <v>0.5395597607167547</v>
      </c>
      <c r="U21" s="48"/>
    </row>
    <row r="22" spans="1:21" ht="15">
      <c r="A22" s="96">
        <v>13</v>
      </c>
      <c r="B22" s="92" t="s">
        <v>218</v>
      </c>
      <c r="C22" s="78">
        <v>28050.24</v>
      </c>
      <c r="D22" s="78">
        <v>24851.62</v>
      </c>
      <c r="E22" s="78">
        <v>27674.940000000002</v>
      </c>
      <c r="F22" s="78">
        <v>28755.550000000003</v>
      </c>
      <c r="G22" s="78">
        <v>30464.3</v>
      </c>
      <c r="H22" s="78">
        <v>29623.2</v>
      </c>
      <c r="I22" s="78">
        <v>33825.8</v>
      </c>
      <c r="J22" s="78">
        <v>31607.3</v>
      </c>
      <c r="K22" s="78">
        <v>31880.6</v>
      </c>
      <c r="L22" s="78">
        <v>33040.8</v>
      </c>
      <c r="M22" s="78">
        <v>46411.7</v>
      </c>
      <c r="N22" s="78">
        <v>45408</v>
      </c>
      <c r="O22" s="78">
        <f t="shared" si="0"/>
        <v>32632.837499999998</v>
      </c>
      <c r="P22" s="84">
        <v>93238524.03</v>
      </c>
      <c r="Q22" s="84">
        <v>43270416</v>
      </c>
      <c r="R22" s="62">
        <f t="shared" si="1"/>
        <v>0.00023905274989922577</v>
      </c>
      <c r="S22" s="47">
        <f t="shared" si="2"/>
        <v>0.8839012585249961</v>
      </c>
      <c r="T22" s="47">
        <f t="shared" si="3"/>
        <v>0.8839012585249961</v>
      </c>
      <c r="U22" s="48"/>
    </row>
    <row r="23" spans="1:2" ht="15">
      <c r="A23" s="93" t="s">
        <v>40</v>
      </c>
      <c r="B23" s="93"/>
    </row>
    <row r="25" spans="15:18" ht="15">
      <c r="O25" s="40"/>
      <c r="P25" s="40"/>
      <c r="Q25" s="40"/>
      <c r="R25" s="40"/>
    </row>
  </sheetData>
  <sheetProtection/>
  <mergeCells count="8">
    <mergeCell ref="A9:B9"/>
    <mergeCell ref="B1:T1"/>
    <mergeCell ref="C7:O7"/>
    <mergeCell ref="P7:Q7"/>
    <mergeCell ref="R7:R8"/>
    <mergeCell ref="S7:S8"/>
    <mergeCell ref="T7:T8"/>
    <mergeCell ref="A7:B8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4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Q18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" sqref="F6"/>
    </sheetView>
  </sheetViews>
  <sheetFormatPr defaultColWidth="9.140625" defaultRowHeight="15"/>
  <cols>
    <col min="1" max="1" width="3.00390625" style="1" customWidth="1"/>
    <col min="2" max="2" width="24.8515625" style="1" customWidth="1"/>
    <col min="3" max="3" width="12.140625" style="1" bestFit="1" customWidth="1"/>
    <col min="4" max="4" width="12.140625" style="2" bestFit="1" customWidth="1"/>
    <col min="5" max="6" width="12.140625" style="25" bestFit="1" customWidth="1"/>
    <col min="7" max="7" width="12.140625" style="2" bestFit="1" customWidth="1"/>
    <col min="8" max="8" width="12.140625" style="25" bestFit="1" customWidth="1"/>
    <col min="9" max="9" width="12.140625" style="2" bestFit="1" customWidth="1"/>
    <col min="10" max="10" width="12.140625" style="1" bestFit="1" customWidth="1"/>
    <col min="11" max="11" width="12.140625" style="2" bestFit="1" customWidth="1"/>
    <col min="12" max="14" width="12.140625" style="1" bestFit="1" customWidth="1"/>
    <col min="15" max="15" width="11.8515625" style="1" customWidth="1"/>
    <col min="16" max="16" width="15.7109375" style="1" customWidth="1"/>
    <col min="17" max="16384" width="9.140625" style="1" customWidth="1"/>
  </cols>
  <sheetData>
    <row r="1" spans="2:16" ht="17.25" customHeight="1">
      <c r="B1" s="125" t="s">
        <v>274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3" spans="1:16" s="8" customFormat="1" ht="94.5" customHeight="1">
      <c r="A3" s="114" t="s">
        <v>39</v>
      </c>
      <c r="B3" s="114"/>
      <c r="C3" s="126" t="s">
        <v>110</v>
      </c>
      <c r="D3" s="127"/>
      <c r="E3" s="127"/>
      <c r="F3" s="128"/>
      <c r="G3" s="114" t="s">
        <v>111</v>
      </c>
      <c r="H3" s="114"/>
      <c r="I3" s="114"/>
      <c r="J3" s="114"/>
      <c r="K3" s="114"/>
      <c r="L3" s="114" t="s">
        <v>112</v>
      </c>
      <c r="M3" s="114"/>
      <c r="N3" s="114"/>
      <c r="O3" s="114" t="s">
        <v>45</v>
      </c>
      <c r="P3" s="114"/>
    </row>
    <row r="4" spans="1:16" s="8" customFormat="1" ht="23.25" customHeight="1">
      <c r="A4" s="114"/>
      <c r="B4" s="114"/>
      <c r="C4" s="73" t="s">
        <v>206</v>
      </c>
      <c r="D4" s="81">
        <v>2</v>
      </c>
      <c r="E4" s="73" t="s">
        <v>180</v>
      </c>
      <c r="F4" s="73" t="s">
        <v>181</v>
      </c>
      <c r="G4" s="80">
        <v>7</v>
      </c>
      <c r="H4" s="63" t="s">
        <v>143</v>
      </c>
      <c r="I4" s="80">
        <v>9</v>
      </c>
      <c r="J4" s="81">
        <v>10</v>
      </c>
      <c r="K4" s="81">
        <v>12</v>
      </c>
      <c r="L4" s="80">
        <v>13</v>
      </c>
      <c r="M4" s="81">
        <v>14</v>
      </c>
      <c r="N4" s="80">
        <v>15</v>
      </c>
      <c r="O4" s="115" t="s">
        <v>120</v>
      </c>
      <c r="P4" s="115" t="s">
        <v>121</v>
      </c>
    </row>
    <row r="5" spans="1:16" s="65" customFormat="1" ht="105" customHeight="1">
      <c r="A5" s="114"/>
      <c r="B5" s="114"/>
      <c r="C5" s="66" t="s">
        <v>205</v>
      </c>
      <c r="D5" s="66" t="s">
        <v>179</v>
      </c>
      <c r="E5" s="66" t="s">
        <v>182</v>
      </c>
      <c r="F5" s="66" t="s">
        <v>183</v>
      </c>
      <c r="G5" s="66" t="s">
        <v>184</v>
      </c>
      <c r="H5" s="67" t="s">
        <v>185</v>
      </c>
      <c r="I5" s="66" t="s">
        <v>186</v>
      </c>
      <c r="J5" s="66" t="s">
        <v>187</v>
      </c>
      <c r="K5" s="66" t="s">
        <v>188</v>
      </c>
      <c r="L5" s="66" t="s">
        <v>189</v>
      </c>
      <c r="M5" s="66" t="s">
        <v>190</v>
      </c>
      <c r="N5" s="66" t="s">
        <v>191</v>
      </c>
      <c r="O5" s="115"/>
      <c r="P5" s="115"/>
    </row>
    <row r="6" spans="1:17" ht="15">
      <c r="A6" s="96">
        <v>1</v>
      </c>
      <c r="B6" s="92" t="s">
        <v>207</v>
      </c>
      <c r="C6" s="42">
        <f>'1.1'!G9</f>
        <v>-0.5149663728204951</v>
      </c>
      <c r="D6" s="42">
        <f>2!R11</f>
        <v>0.11209144616524622</v>
      </c>
      <c r="E6" s="42">
        <f>'4.1'!H10</f>
        <v>0.16679629137657362</v>
      </c>
      <c r="F6" s="42">
        <f>'5.1'!G9</f>
        <v>0.8068739770800326</v>
      </c>
      <c r="G6" s="42">
        <f>7!G9</f>
        <v>-0.46284722427902214</v>
      </c>
      <c r="H6" s="42">
        <f>'7.1'!G9</f>
        <v>0</v>
      </c>
      <c r="I6" s="42">
        <f>9!G9</f>
        <v>-1</v>
      </c>
      <c r="J6" s="42">
        <f>'10'!G10</f>
        <v>0</v>
      </c>
      <c r="K6" s="85">
        <f>'12'!G10</f>
        <v>1</v>
      </c>
      <c r="L6" s="42">
        <f>'13'!M10</f>
        <v>0</v>
      </c>
      <c r="M6" s="42">
        <f>'14'!K10</f>
        <v>-1.4575796227785616</v>
      </c>
      <c r="N6" s="42">
        <f>'15'!T10</f>
        <v>0</v>
      </c>
      <c r="O6" s="64">
        <f>ROUND(SUM($C6:$N6),2)</f>
        <v>-1.35</v>
      </c>
      <c r="P6" s="54">
        <f aca="true" t="shared" si="0" ref="P6:P18">RANK($O6,$O$6:$O$18,0)</f>
        <v>12</v>
      </c>
      <c r="Q6" s="76"/>
    </row>
    <row r="7" spans="1:17" ht="15">
      <c r="A7" s="96">
        <v>2</v>
      </c>
      <c r="B7" s="92" t="s">
        <v>227</v>
      </c>
      <c r="C7" s="42">
        <f>'1.1'!G10</f>
        <v>-0.17932311829375394</v>
      </c>
      <c r="D7" s="42">
        <f>2!R12</f>
        <v>0.9393331549525445</v>
      </c>
      <c r="E7" s="42">
        <f>'4.1'!H11</f>
        <v>0</v>
      </c>
      <c r="F7" s="42">
        <f>'5.1'!G10</f>
        <v>0.9425838186875634</v>
      </c>
      <c r="G7" s="42">
        <f>7!G10</f>
        <v>-0.7905417446521662</v>
      </c>
      <c r="H7" s="42">
        <f>'7.1'!G10</f>
        <v>0</v>
      </c>
      <c r="I7" s="42">
        <f>9!G10</f>
        <v>0</v>
      </c>
      <c r="J7" s="42">
        <f>'10'!G11</f>
        <v>0.33210626290453954</v>
      </c>
      <c r="K7" s="85">
        <f>'12'!G11</f>
        <v>0</v>
      </c>
      <c r="L7" s="42">
        <f>'13'!M11</f>
        <v>0</v>
      </c>
      <c r="M7" s="42">
        <f>'14'!K11</f>
        <v>0</v>
      </c>
      <c r="N7" s="42">
        <f>'15'!T11</f>
        <v>0.35651430982251303</v>
      </c>
      <c r="O7" s="64">
        <f aca="true" t="shared" si="1" ref="O7:O18">ROUND(SUM($C7:$N7),2)</f>
        <v>1.6</v>
      </c>
      <c r="P7" s="54">
        <f t="shared" si="0"/>
        <v>10</v>
      </c>
      <c r="Q7" s="76"/>
    </row>
    <row r="8" spans="1:17" ht="15">
      <c r="A8" s="96">
        <v>3</v>
      </c>
      <c r="B8" s="92" t="s">
        <v>208</v>
      </c>
      <c r="C8" s="42">
        <f>'1.1'!G11</f>
        <v>-1</v>
      </c>
      <c r="D8" s="42">
        <f>2!R13</f>
        <v>1</v>
      </c>
      <c r="E8" s="42">
        <f>'4.1'!H12</f>
        <v>0.5195261344772859</v>
      </c>
      <c r="F8" s="42">
        <f>'5.1'!G11</f>
        <v>0.5799515630571135</v>
      </c>
      <c r="G8" s="42">
        <f>7!G11</f>
        <v>-0.6683293647618489</v>
      </c>
      <c r="H8" s="42">
        <f>'7.1'!G11</f>
        <v>-1</v>
      </c>
      <c r="I8" s="42">
        <f>9!G11</f>
        <v>-2.4936861969439113E-05</v>
      </c>
      <c r="J8" s="42">
        <f>'10'!G12</f>
        <v>0.615586937711879</v>
      </c>
      <c r="K8" s="85">
        <f>'12'!G12</f>
        <v>0.8529411764705883</v>
      </c>
      <c r="L8" s="42">
        <f>'13'!M12</f>
        <v>0</v>
      </c>
      <c r="M8" s="42">
        <f>'14'!K12</f>
        <v>-1.122755724657464</v>
      </c>
      <c r="N8" s="42">
        <f>'15'!T12</f>
        <v>0.36781491750811107</v>
      </c>
      <c r="O8" s="64">
        <f t="shared" si="1"/>
        <v>0.14</v>
      </c>
      <c r="P8" s="54">
        <f t="shared" si="0"/>
        <v>11</v>
      </c>
      <c r="Q8" s="76"/>
    </row>
    <row r="9" spans="1:17" ht="15">
      <c r="A9" s="96">
        <v>4</v>
      </c>
      <c r="B9" s="92" t="s">
        <v>209</v>
      </c>
      <c r="C9" s="42">
        <f>'1.1'!G12</f>
        <v>-0.8486422541762807</v>
      </c>
      <c r="D9" s="42">
        <f>2!R14</f>
        <v>1</v>
      </c>
      <c r="E9" s="42">
        <f>'4.1'!H13</f>
        <v>1.3073536562821009</v>
      </c>
      <c r="F9" s="42">
        <f>'5.1'!G12</f>
        <v>1</v>
      </c>
      <c r="G9" s="42">
        <f>7!G12</f>
        <v>-2</v>
      </c>
      <c r="H9" s="42">
        <f>'7.1'!G12</f>
        <v>-0.442918175246466</v>
      </c>
      <c r="I9" s="42">
        <f>9!G12</f>
        <v>0</v>
      </c>
      <c r="J9" s="42">
        <f>'10'!G13</f>
        <v>1.8257289682473576</v>
      </c>
      <c r="K9" s="85">
        <f>'12'!G13</f>
        <v>0.4094117647058824</v>
      </c>
      <c r="L9" s="42">
        <f>'13'!M13</f>
        <v>0</v>
      </c>
      <c r="M9" s="42">
        <f>'14'!K13</f>
        <v>0</v>
      </c>
      <c r="N9" s="42">
        <f>'15'!T13</f>
        <v>0.7868704693760589</v>
      </c>
      <c r="O9" s="64">
        <f t="shared" si="1"/>
        <v>3.04</v>
      </c>
      <c r="P9" s="54">
        <f t="shared" si="0"/>
        <v>6</v>
      </c>
      <c r="Q9" s="76"/>
    </row>
    <row r="10" spans="1:17" ht="15">
      <c r="A10" s="96">
        <v>5</v>
      </c>
      <c r="B10" s="92" t="s">
        <v>210</v>
      </c>
      <c r="C10" s="42">
        <f>'1.1'!G13</f>
        <v>-0.5791907678953513</v>
      </c>
      <c r="D10" s="42">
        <f>2!R15</f>
        <v>0.9999993019270205</v>
      </c>
      <c r="E10" s="42">
        <f>'4.1'!H14</f>
        <v>1.017462899869354</v>
      </c>
      <c r="F10" s="42">
        <f>'5.1'!G13</f>
        <v>0.9249503885129733</v>
      </c>
      <c r="G10" s="42">
        <f>7!G13</f>
        <v>-0.28298209710873573</v>
      </c>
      <c r="H10" s="42">
        <f>'7.1'!G13</f>
        <v>0</v>
      </c>
      <c r="I10" s="42">
        <f>9!G13</f>
        <v>0</v>
      </c>
      <c r="J10" s="42">
        <f>'10'!G14</f>
        <v>2</v>
      </c>
      <c r="K10" s="85">
        <f>'12'!G14</f>
        <v>0.9729032258064517</v>
      </c>
      <c r="L10" s="42">
        <f>'13'!M14</f>
        <v>0</v>
      </c>
      <c r="M10" s="42">
        <f>'14'!K14</f>
        <v>-0.8018832217147787</v>
      </c>
      <c r="N10" s="42">
        <f>'15'!T14</f>
        <v>0.22042028719203535</v>
      </c>
      <c r="O10" s="64">
        <f t="shared" si="1"/>
        <v>4.47</v>
      </c>
      <c r="P10" s="54">
        <f t="shared" si="0"/>
        <v>2</v>
      </c>
      <c r="Q10" s="76"/>
    </row>
    <row r="11" spans="1:17" ht="15">
      <c r="A11" s="96">
        <v>6</v>
      </c>
      <c r="B11" s="92" t="s">
        <v>211</v>
      </c>
      <c r="C11" s="42">
        <f>'1.1'!G14</f>
        <v>-0.45915563538415427</v>
      </c>
      <c r="D11" s="42">
        <f>2!R16</f>
        <v>1</v>
      </c>
      <c r="E11" s="42">
        <f>'4.1'!H15</f>
        <v>1.0003236791546126</v>
      </c>
      <c r="F11" s="42">
        <f>'5.1'!G14</f>
        <v>0.6680347292276363</v>
      </c>
      <c r="G11" s="42">
        <f>7!G14</f>
        <v>-0.1809993878048467</v>
      </c>
      <c r="H11" s="42">
        <f>'7.1'!G14</f>
        <v>-0.7243557657676585</v>
      </c>
      <c r="I11" s="42">
        <f>9!G14</f>
        <v>-0.040396849597276824</v>
      </c>
      <c r="J11" s="42">
        <f>'10'!G15</f>
        <v>0.3277570656546603</v>
      </c>
      <c r="K11" s="85">
        <f>'12'!G15</f>
        <v>0.15466666666666667</v>
      </c>
      <c r="L11" s="42">
        <f>'13'!M15</f>
        <v>0</v>
      </c>
      <c r="M11" s="42">
        <f>'14'!K15</f>
        <v>0</v>
      </c>
      <c r="N11" s="42">
        <f>'15'!T15</f>
        <v>0.3667069993945242</v>
      </c>
      <c r="O11" s="64">
        <f t="shared" si="1"/>
        <v>2.11</v>
      </c>
      <c r="P11" s="54">
        <f t="shared" si="0"/>
        <v>8</v>
      </c>
      <c r="Q11" s="76"/>
    </row>
    <row r="12" spans="1:17" ht="15">
      <c r="A12" s="96">
        <v>7</v>
      </c>
      <c r="B12" s="92" t="s">
        <v>212</v>
      </c>
      <c r="C12" s="42">
        <f>'1.1'!G15</f>
        <v>-0.667426043287998</v>
      </c>
      <c r="D12" s="42">
        <f>2!R17</f>
        <v>0</v>
      </c>
      <c r="E12" s="42">
        <f>'4.1'!H16</f>
        <v>1.111196968545024</v>
      </c>
      <c r="F12" s="42">
        <f>'5.1'!G15</f>
        <v>0.9189781989313769</v>
      </c>
      <c r="G12" s="42">
        <f>7!G15</f>
        <v>-1.5453529739538592</v>
      </c>
      <c r="H12" s="42">
        <f>'7.1'!G15</f>
        <v>-0.682832186838302</v>
      </c>
      <c r="I12" s="42">
        <f>9!G15</f>
        <v>-0.6641970000821523</v>
      </c>
      <c r="J12" s="42">
        <f>'10'!G16</f>
        <v>0.7556474447623073</v>
      </c>
      <c r="K12" s="85">
        <f>'12'!G16</f>
        <v>0.09666666666666666</v>
      </c>
      <c r="L12" s="42">
        <f>'13'!M16</f>
        <v>0</v>
      </c>
      <c r="M12" s="42">
        <f>'14'!K16</f>
        <v>-1.1290294923391753</v>
      </c>
      <c r="N12" s="42">
        <f>'15'!T16</f>
        <v>0.10471522349618749</v>
      </c>
      <c r="O12" s="64">
        <f t="shared" si="1"/>
        <v>-1.7</v>
      </c>
      <c r="P12" s="54">
        <f t="shared" si="0"/>
        <v>13</v>
      </c>
      <c r="Q12" s="76"/>
    </row>
    <row r="13" spans="1:17" ht="15">
      <c r="A13" s="96">
        <v>8</v>
      </c>
      <c r="B13" s="92" t="s">
        <v>213</v>
      </c>
      <c r="C13" s="42">
        <f>'1.1'!G16</f>
        <v>-0.3330968480113792</v>
      </c>
      <c r="D13" s="42">
        <f>2!R18</f>
        <v>0.6759249817680442</v>
      </c>
      <c r="E13" s="42">
        <f>'4.1'!H17</f>
        <v>0.9383136839711265</v>
      </c>
      <c r="F13" s="42">
        <f>'5.1'!G16</f>
        <v>0.6875265288333795</v>
      </c>
      <c r="G13" s="42">
        <f>7!G16</f>
        <v>-0.44026661214333174</v>
      </c>
      <c r="H13" s="42">
        <f>'7.1'!G16</f>
        <v>-0.3275749004426987</v>
      </c>
      <c r="I13" s="42">
        <f>9!G16</f>
        <v>-0.0035455283147984586</v>
      </c>
      <c r="J13" s="42">
        <f>'10'!G17</f>
        <v>1.9714598055390982</v>
      </c>
      <c r="K13" s="85">
        <f>'12'!G17</f>
        <v>0.9666666666666668</v>
      </c>
      <c r="L13" s="42">
        <f>'13'!M17</f>
        <v>0</v>
      </c>
      <c r="M13" s="42">
        <f>'14'!K17</f>
        <v>0</v>
      </c>
      <c r="N13" s="42">
        <f>'15'!T17</f>
        <v>0.7044618820003844</v>
      </c>
      <c r="O13" s="64">
        <f t="shared" si="1"/>
        <v>4.84</v>
      </c>
      <c r="P13" s="54">
        <f t="shared" si="0"/>
        <v>1</v>
      </c>
      <c r="Q13" s="76"/>
    </row>
    <row r="14" spans="1:17" ht="15">
      <c r="A14" s="96">
        <v>9</v>
      </c>
      <c r="B14" s="92" t="s">
        <v>214</v>
      </c>
      <c r="C14" s="42">
        <f>'1.1'!G17</f>
        <v>-0.2285663930338368</v>
      </c>
      <c r="D14" s="42">
        <f>2!R19</f>
        <v>0.33066225826443957</v>
      </c>
      <c r="E14" s="42">
        <f>'4.1'!H18</f>
        <v>1.282235002722602</v>
      </c>
      <c r="F14" s="42">
        <f>'5.1'!G17</f>
        <v>0.4042416497867341</v>
      </c>
      <c r="G14" s="42">
        <f>7!G17</f>
        <v>-0.7295055711081021</v>
      </c>
      <c r="H14" s="42">
        <f>'7.1'!G17</f>
        <v>0</v>
      </c>
      <c r="I14" s="42">
        <f>9!G17</f>
        <v>-0.0831881524527265</v>
      </c>
      <c r="J14" s="42">
        <f>'10'!G18</f>
        <v>1.9609460208039244</v>
      </c>
      <c r="K14" s="85">
        <f>'12'!G18</f>
        <v>0</v>
      </c>
      <c r="L14" s="42">
        <f>'13'!M18</f>
        <v>0</v>
      </c>
      <c r="M14" s="42">
        <f>'14'!K18</f>
        <v>0</v>
      </c>
      <c r="N14" s="42">
        <f>'15'!T18</f>
        <v>0.537704252777832</v>
      </c>
      <c r="O14" s="64">
        <f t="shared" si="1"/>
        <v>3.47</v>
      </c>
      <c r="P14" s="54">
        <f t="shared" si="0"/>
        <v>4</v>
      </c>
      <c r="Q14" s="76"/>
    </row>
    <row r="15" spans="1:17" ht="15">
      <c r="A15" s="96">
        <v>10</v>
      </c>
      <c r="B15" s="92" t="s">
        <v>215</v>
      </c>
      <c r="C15" s="42">
        <f>'1.1'!G18</f>
        <v>0</v>
      </c>
      <c r="D15" s="42">
        <f>2!R20</f>
        <v>0.08970894890889523</v>
      </c>
      <c r="E15" s="42">
        <f>'4.1'!H19</f>
        <v>2</v>
      </c>
      <c r="F15" s="42">
        <f>'5.1'!G18</f>
        <v>0</v>
      </c>
      <c r="G15" s="42">
        <f>7!G18</f>
        <v>-0.9765225954085592</v>
      </c>
      <c r="H15" s="42">
        <f>'7.1'!G18</f>
        <v>-0.18916297067817803</v>
      </c>
      <c r="I15" s="42">
        <f>9!G18</f>
        <v>0</v>
      </c>
      <c r="J15" s="42">
        <f>'10'!G19</f>
        <v>0.9467694017219068</v>
      </c>
      <c r="K15" s="85">
        <f>'12'!G19</f>
        <v>0.7346666666666667</v>
      </c>
      <c r="L15" s="42">
        <f>'13'!M19</f>
        <v>0</v>
      </c>
      <c r="M15" s="42">
        <f>'14'!K19</f>
        <v>0</v>
      </c>
      <c r="N15" s="42">
        <f>'15'!T19</f>
        <v>1</v>
      </c>
      <c r="O15" s="64">
        <f t="shared" si="1"/>
        <v>3.61</v>
      </c>
      <c r="P15" s="54">
        <f t="shared" si="0"/>
        <v>3</v>
      </c>
      <c r="Q15" s="76"/>
    </row>
    <row r="16" spans="1:17" ht="15">
      <c r="A16" s="96">
        <v>11</v>
      </c>
      <c r="B16" s="92" t="s">
        <v>216</v>
      </c>
      <c r="C16" s="42">
        <f>'1.1'!G19</f>
        <v>-0.20156389099112884</v>
      </c>
      <c r="D16" s="42">
        <f>2!R21</f>
        <v>1</v>
      </c>
      <c r="E16" s="42">
        <f>'4.1'!H20</f>
        <v>1.261387053833566</v>
      </c>
      <c r="F16" s="42">
        <f>'5.1'!G19</f>
        <v>0.5187696421599469</v>
      </c>
      <c r="G16" s="42">
        <f>7!G19</f>
        <v>0</v>
      </c>
      <c r="H16" s="42">
        <f>'7.1'!G19</f>
        <v>-0.6551498008853974</v>
      </c>
      <c r="I16" s="42">
        <f>9!G19</f>
        <v>-0.017934861204397624</v>
      </c>
      <c r="J16" s="42">
        <f>'10'!G20</f>
        <v>1.9687518294754556</v>
      </c>
      <c r="K16" s="85">
        <f>'12'!G20</f>
        <v>0.976842105263158</v>
      </c>
      <c r="L16" s="42">
        <f>'13'!M20</f>
        <v>0</v>
      </c>
      <c r="M16" s="42">
        <f>'14'!K20</f>
        <v>-2</v>
      </c>
      <c r="N16" s="42">
        <f>'15'!T20</f>
        <v>0.1045027752830178</v>
      </c>
      <c r="O16" s="64">
        <f t="shared" si="1"/>
        <v>2.96</v>
      </c>
      <c r="P16" s="54">
        <f t="shared" si="0"/>
        <v>7</v>
      </c>
      <c r="Q16" s="76"/>
    </row>
    <row r="17" spans="1:17" ht="15">
      <c r="A17" s="96">
        <v>12</v>
      </c>
      <c r="B17" s="92" t="s">
        <v>217</v>
      </c>
      <c r="C17" s="42">
        <f>'1.1'!G20</f>
        <v>-0.10238107668662366</v>
      </c>
      <c r="D17" s="42">
        <f>2!R22</f>
        <v>0.20950363855123558</v>
      </c>
      <c r="E17" s="42">
        <f>'4.1'!H21</f>
        <v>0.7322022468413596</v>
      </c>
      <c r="F17" s="42">
        <f>'5.1'!G20</f>
        <v>0.7119052196357807</v>
      </c>
      <c r="G17" s="42">
        <f>7!G20</f>
        <v>-1.7619818140000323</v>
      </c>
      <c r="H17" s="42">
        <f>'7.1'!G20</f>
        <v>-0.3091199764740964</v>
      </c>
      <c r="I17" s="42">
        <f>9!G20</f>
        <v>-0.06284522655165464</v>
      </c>
      <c r="J17" s="42">
        <f>'10'!G21</f>
        <v>1.510935296001731</v>
      </c>
      <c r="K17" s="85">
        <f>'12'!G21</f>
        <v>0.45571428571428574</v>
      </c>
      <c r="L17" s="42">
        <f>'13'!M21</f>
        <v>0</v>
      </c>
      <c r="M17" s="42">
        <f>'14'!K21</f>
        <v>0</v>
      </c>
      <c r="N17" s="42">
        <f>'15'!T21</f>
        <v>0.5395597607167547</v>
      </c>
      <c r="O17" s="64">
        <f t="shared" si="1"/>
        <v>1.92</v>
      </c>
      <c r="P17" s="54">
        <f t="shared" si="0"/>
        <v>9</v>
      </c>
      <c r="Q17" s="76"/>
    </row>
    <row r="18" spans="1:17" ht="15">
      <c r="A18" s="96">
        <v>13</v>
      </c>
      <c r="B18" s="92" t="s">
        <v>218</v>
      </c>
      <c r="C18" s="42">
        <f>'1.1'!G21</f>
        <v>-0.2851632131586982</v>
      </c>
      <c r="D18" s="42">
        <f>2!R23</f>
        <v>0.8679091827189969</v>
      </c>
      <c r="E18" s="42">
        <f>'4.1'!H22</f>
        <v>0.8961893179166963</v>
      </c>
      <c r="F18" s="42">
        <f>'5.1'!G21</f>
        <v>0.9183904199388506</v>
      </c>
      <c r="G18" s="42">
        <f>7!G21</f>
        <v>-1.6243782484499538</v>
      </c>
      <c r="H18" s="42">
        <f>'7.1'!G21</f>
        <v>-0.3967808653249591</v>
      </c>
      <c r="I18" s="42">
        <f>9!G21</f>
        <v>0</v>
      </c>
      <c r="J18" s="42">
        <f>'10'!G22</f>
        <v>0.9388649923368152</v>
      </c>
      <c r="K18" s="85">
        <f>'12'!G22</f>
        <v>0.8547368421052631</v>
      </c>
      <c r="L18" s="42">
        <f>'13'!M22</f>
        <v>0</v>
      </c>
      <c r="M18" s="42">
        <f>'14'!K22</f>
        <v>0</v>
      </c>
      <c r="N18" s="42">
        <f>'15'!T22</f>
        <v>0.8839012585249961</v>
      </c>
      <c r="O18" s="64">
        <f t="shared" si="1"/>
        <v>3.05</v>
      </c>
      <c r="P18" s="54">
        <f t="shared" si="0"/>
        <v>5</v>
      </c>
      <c r="Q18" s="76"/>
    </row>
  </sheetData>
  <sheetProtection/>
  <mergeCells count="8">
    <mergeCell ref="B1:P1"/>
    <mergeCell ref="L3:N3"/>
    <mergeCell ref="O3:P3"/>
    <mergeCell ref="O4:O5"/>
    <mergeCell ref="P4:P5"/>
    <mergeCell ref="G3:K3"/>
    <mergeCell ref="C3:F3"/>
    <mergeCell ref="A3:B5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12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140625" defaultRowHeight="15"/>
  <cols>
    <col min="1" max="1" width="25.00390625" style="1" bestFit="1" customWidth="1"/>
    <col min="2" max="2" width="20.8515625" style="0" customWidth="1"/>
    <col min="3" max="3" width="18.140625" style="0" customWidth="1"/>
    <col min="4" max="4" width="18.421875" style="0" customWidth="1"/>
    <col min="5" max="5" width="10.7109375" style="0" bestFit="1" customWidth="1"/>
  </cols>
  <sheetData>
    <row r="1" spans="1:4" ht="56.25" customHeight="1">
      <c r="A1" s="129" t="s">
        <v>275</v>
      </c>
      <c r="B1" s="129"/>
      <c r="C1" s="129"/>
      <c r="D1" s="129"/>
    </row>
    <row r="2" ht="15">
      <c r="D2" s="20" t="s">
        <v>137</v>
      </c>
    </row>
    <row r="3" spans="1:4" ht="67.5" customHeight="1">
      <c r="A3" s="80" t="s">
        <v>39</v>
      </c>
      <c r="B3" s="80" t="s">
        <v>50</v>
      </c>
      <c r="C3" s="100" t="s">
        <v>223</v>
      </c>
      <c r="D3" s="80" t="s">
        <v>47</v>
      </c>
    </row>
    <row r="4" spans="1:4" s="7" customFormat="1" ht="15">
      <c r="A4" s="9">
        <v>1</v>
      </c>
      <c r="B4" s="9">
        <v>2</v>
      </c>
      <c r="C4" s="9">
        <v>3</v>
      </c>
      <c r="D4" s="9">
        <v>4</v>
      </c>
    </row>
    <row r="5" spans="1:6" s="58" customFormat="1" ht="15">
      <c r="A5" s="16" t="s">
        <v>221</v>
      </c>
      <c r="B5" s="6">
        <f>рейтинг!O13</f>
        <v>4.84</v>
      </c>
      <c r="C5" s="59">
        <v>44266</v>
      </c>
      <c r="D5" s="59">
        <f>ROUND(24999.5*($B5/SUM($B$5:$B$11)*0.75+$C5/SUM($C$5:$C$11)*0.25),0)</f>
        <v>5047</v>
      </c>
      <c r="E5" s="57"/>
      <c r="F5" s="57"/>
    </row>
    <row r="6" spans="1:6" s="58" customFormat="1" ht="15">
      <c r="A6" s="16" t="s">
        <v>222</v>
      </c>
      <c r="B6" s="6">
        <f>рейтинг!O10</f>
        <v>4.47</v>
      </c>
      <c r="C6" s="59">
        <v>18503</v>
      </c>
      <c r="D6" s="59">
        <f aca="true" t="shared" si="0" ref="D6:D11">ROUND(24999.5*($B6/SUM($B$5:$B$11)*0.75+$C6/SUM($C$5:$C$11)*0.25),0)</f>
        <v>3913</v>
      </c>
      <c r="E6" s="57"/>
      <c r="F6" s="57"/>
    </row>
    <row r="7" spans="1:6" s="58" customFormat="1" ht="15">
      <c r="A7" s="16" t="s">
        <v>279</v>
      </c>
      <c r="B7" s="6">
        <f>рейтинг!O15</f>
        <v>3.61</v>
      </c>
      <c r="C7" s="59">
        <v>27317</v>
      </c>
      <c r="D7" s="59">
        <f t="shared" si="0"/>
        <v>3574</v>
      </c>
      <c r="E7" s="57"/>
      <c r="F7" s="57"/>
    </row>
    <row r="8" spans="1:6" s="58" customFormat="1" ht="15">
      <c r="A8" s="16" t="s">
        <v>280</v>
      </c>
      <c r="B8" s="6">
        <f>рейтинг!O14</f>
        <v>3.47</v>
      </c>
      <c r="C8" s="59">
        <v>22081</v>
      </c>
      <c r="D8" s="59">
        <f t="shared" si="0"/>
        <v>3295</v>
      </c>
      <c r="E8" s="57"/>
      <c r="F8" s="57"/>
    </row>
    <row r="9" spans="1:6" s="58" customFormat="1" ht="15">
      <c r="A9" s="16" t="s">
        <v>276</v>
      </c>
      <c r="B9" s="6">
        <f>рейтинг!O18</f>
        <v>3.05</v>
      </c>
      <c r="C9" s="59">
        <v>15278</v>
      </c>
      <c r="D9" s="59">
        <f t="shared" si="0"/>
        <v>2759</v>
      </c>
      <c r="E9" s="57"/>
      <c r="F9" s="57"/>
    </row>
    <row r="10" spans="1:6" s="58" customFormat="1" ht="15">
      <c r="A10" s="16" t="s">
        <v>277</v>
      </c>
      <c r="B10" s="6">
        <f>рейтинг!O9</f>
        <v>3.04</v>
      </c>
      <c r="C10" s="75">
        <v>14355</v>
      </c>
      <c r="D10" s="59">
        <f t="shared" si="0"/>
        <v>2720</v>
      </c>
      <c r="E10" s="57"/>
      <c r="F10" s="57"/>
    </row>
    <row r="11" spans="1:6" s="58" customFormat="1" ht="15">
      <c r="A11" s="16" t="s">
        <v>278</v>
      </c>
      <c r="B11" s="6">
        <f>рейтинг!O16</f>
        <v>2.96</v>
      </c>
      <c r="C11" s="75">
        <v>45193</v>
      </c>
      <c r="D11" s="59">
        <f t="shared" si="0"/>
        <v>3692</v>
      </c>
      <c r="E11" s="57"/>
      <c r="F11" s="57"/>
    </row>
    <row r="12" spans="1:4" ht="15">
      <c r="A12" s="14" t="s">
        <v>44</v>
      </c>
      <c r="B12" s="82"/>
      <c r="C12" s="17">
        <f>SUM($C$5:$C$11)</f>
        <v>186993</v>
      </c>
      <c r="D12" s="17">
        <f>SUM($D$5:$D$11)</f>
        <v>25000</v>
      </c>
    </row>
  </sheetData>
  <sheetProtection/>
  <mergeCells count="1">
    <mergeCell ref="A1:D1"/>
  </mergeCells>
  <printOptions horizontalCentered="1" verticalCentered="1"/>
  <pageMargins left="0.15748031496062992" right="0.15748031496062992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SheetLayoutView="100" zoomScalePageLayoutView="0" workbookViewId="0" topLeftCell="A1">
      <selection activeCell="F8" sqref="F8"/>
    </sheetView>
  </sheetViews>
  <sheetFormatPr defaultColWidth="8.7109375" defaultRowHeight="15"/>
  <cols>
    <col min="1" max="1" width="24.57421875" style="26" customWidth="1"/>
    <col min="2" max="2" width="19.57421875" style="26" customWidth="1"/>
    <col min="3" max="3" width="18.140625" style="26" bestFit="1" customWidth="1"/>
    <col min="4" max="4" width="17.28125" style="26" customWidth="1"/>
    <col min="5" max="5" width="15.57421875" style="26" customWidth="1"/>
    <col min="6" max="6" width="18.57421875" style="26" customWidth="1"/>
    <col min="7" max="7" width="20.140625" style="26" customWidth="1"/>
    <col min="8" max="9" width="19.00390625" style="26" bestFit="1" customWidth="1"/>
    <col min="10" max="10" width="21.00390625" style="26" customWidth="1"/>
    <col min="11" max="16384" width="8.7109375" style="26" customWidth="1"/>
  </cols>
  <sheetData>
    <row r="1" spans="1:10" ht="25.5" customHeight="1">
      <c r="A1" s="109" t="s">
        <v>154</v>
      </c>
      <c r="B1" s="109"/>
      <c r="C1" s="109"/>
      <c r="D1" s="109"/>
      <c r="E1" s="109"/>
      <c r="F1" s="109"/>
      <c r="G1" s="109"/>
      <c r="H1" s="109"/>
      <c r="I1" s="109"/>
      <c r="J1" s="109"/>
    </row>
    <row r="2" ht="15">
      <c r="A2" s="26" t="s">
        <v>149</v>
      </c>
    </row>
    <row r="3" spans="1:10" s="31" customFormat="1" ht="24.75" customHeight="1">
      <c r="A3" s="110" t="s">
        <v>39</v>
      </c>
      <c r="B3" s="110" t="s">
        <v>224</v>
      </c>
      <c r="C3" s="110"/>
      <c r="D3" s="110"/>
      <c r="E3" s="110"/>
      <c r="F3" s="110"/>
      <c r="G3" s="110" t="s">
        <v>225</v>
      </c>
      <c r="H3" s="110"/>
      <c r="I3" s="110"/>
      <c r="J3" s="110" t="s">
        <v>156</v>
      </c>
    </row>
    <row r="4" spans="1:10" s="31" customFormat="1" ht="126.75" customHeight="1">
      <c r="A4" s="110"/>
      <c r="B4" s="23" t="s">
        <v>91</v>
      </c>
      <c r="C4" s="23" t="s">
        <v>98</v>
      </c>
      <c r="D4" s="23" t="s">
        <v>150</v>
      </c>
      <c r="E4" s="23" t="s">
        <v>151</v>
      </c>
      <c r="F4" s="23" t="s">
        <v>152</v>
      </c>
      <c r="G4" s="23" t="s">
        <v>92</v>
      </c>
      <c r="H4" s="23" t="s">
        <v>100</v>
      </c>
      <c r="I4" s="23" t="s">
        <v>93</v>
      </c>
      <c r="J4" s="110"/>
    </row>
    <row r="5" spans="1:10" s="29" customFormat="1" ht="1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 t="s">
        <v>145</v>
      </c>
      <c r="G5" s="30">
        <v>7</v>
      </c>
      <c r="H5" s="30">
        <v>8</v>
      </c>
      <c r="I5" s="30" t="s">
        <v>94</v>
      </c>
      <c r="J5" s="30" t="s">
        <v>153</v>
      </c>
    </row>
    <row r="6" spans="1:10" ht="15">
      <c r="A6" s="68" t="s">
        <v>0</v>
      </c>
      <c r="B6" s="78">
        <v>-1282548230.38</v>
      </c>
      <c r="C6" s="78"/>
      <c r="D6" s="78">
        <v>0</v>
      </c>
      <c r="E6" s="78">
        <v>0</v>
      </c>
      <c r="F6" s="78">
        <f>IF(SUM($B6:$E6)&lt;0,SUM($B6:$E6),0)</f>
        <v>-1282548230.38</v>
      </c>
      <c r="G6" s="84">
        <v>26353543048.97</v>
      </c>
      <c r="H6" s="84">
        <v>12374763522.98</v>
      </c>
      <c r="I6" s="50">
        <f>$G6-$H6</f>
        <v>13978779525.990002</v>
      </c>
      <c r="J6" s="50">
        <f>-$F6/$I6*100</f>
        <v>9.174965725694625</v>
      </c>
    </row>
    <row r="7" spans="1:10" ht="15">
      <c r="A7" s="68" t="s">
        <v>1</v>
      </c>
      <c r="B7" s="78">
        <v>-325461516.07</v>
      </c>
      <c r="C7" s="78"/>
      <c r="D7" s="78">
        <v>0</v>
      </c>
      <c r="E7" s="78">
        <v>49000000</v>
      </c>
      <c r="F7" s="78">
        <f aca="true" t="shared" si="0" ref="F7:F42">IF(SUM($B7:$E7)&lt;0,SUM($B7:$E7),0)</f>
        <v>-276461516.07</v>
      </c>
      <c r="G7" s="84">
        <v>12730943471.02</v>
      </c>
      <c r="H7" s="84">
        <v>6347571613.14</v>
      </c>
      <c r="I7" s="50">
        <f aca="true" t="shared" si="1" ref="I7:I42">$G7-$H7</f>
        <v>6383371857.88</v>
      </c>
      <c r="J7" s="50">
        <f aca="true" t="shared" si="2" ref="J7:J42">-$F7/$I7*100</f>
        <v>4.3309636697526885</v>
      </c>
    </row>
    <row r="8" spans="1:10" ht="15">
      <c r="A8" s="68" t="s">
        <v>2</v>
      </c>
      <c r="B8" s="78"/>
      <c r="C8" s="78"/>
      <c r="D8" s="78">
        <v>0</v>
      </c>
      <c r="E8" s="78">
        <v>0</v>
      </c>
      <c r="F8" s="78">
        <f t="shared" si="0"/>
        <v>0</v>
      </c>
      <c r="G8" s="84">
        <v>2217969586.76</v>
      </c>
      <c r="H8" s="84">
        <v>911172597.95</v>
      </c>
      <c r="I8" s="50">
        <f t="shared" si="1"/>
        <v>1306796988.8100002</v>
      </c>
      <c r="J8" s="50">
        <f t="shared" si="2"/>
        <v>0</v>
      </c>
    </row>
    <row r="9" spans="1:10" ht="15">
      <c r="A9" s="68" t="s">
        <v>3</v>
      </c>
      <c r="B9" s="78">
        <v>-278542414.48</v>
      </c>
      <c r="C9" s="78">
        <v>239249414.48</v>
      </c>
      <c r="D9" s="78">
        <v>0</v>
      </c>
      <c r="E9" s="78">
        <v>0</v>
      </c>
      <c r="F9" s="78">
        <f t="shared" si="0"/>
        <v>-39293000.00000003</v>
      </c>
      <c r="G9" s="84">
        <v>1627463298.27</v>
      </c>
      <c r="H9" s="84">
        <v>418199496.07</v>
      </c>
      <c r="I9" s="50">
        <f t="shared" si="1"/>
        <v>1209263802.2</v>
      </c>
      <c r="J9" s="50">
        <f t="shared" si="2"/>
        <v>3.249332356472981</v>
      </c>
    </row>
    <row r="10" spans="1:10" ht="15">
      <c r="A10" s="68" t="s">
        <v>4</v>
      </c>
      <c r="B10" s="78"/>
      <c r="C10" s="78"/>
      <c r="D10" s="78">
        <v>0</v>
      </c>
      <c r="E10" s="78">
        <v>0</v>
      </c>
      <c r="F10" s="78">
        <f t="shared" si="0"/>
        <v>0</v>
      </c>
      <c r="G10" s="84">
        <v>1022439795.74</v>
      </c>
      <c r="H10" s="84">
        <v>597972583.9</v>
      </c>
      <c r="I10" s="50">
        <f t="shared" si="1"/>
        <v>424467211.84000003</v>
      </c>
      <c r="J10" s="50">
        <f t="shared" si="2"/>
        <v>0</v>
      </c>
    </row>
    <row r="11" spans="1:10" ht="15">
      <c r="A11" s="68" t="s">
        <v>5</v>
      </c>
      <c r="B11" s="78"/>
      <c r="C11" s="78">
        <v>7813327.24</v>
      </c>
      <c r="D11" s="78">
        <v>0</v>
      </c>
      <c r="E11" s="78">
        <v>0</v>
      </c>
      <c r="F11" s="78">
        <f t="shared" si="0"/>
        <v>0</v>
      </c>
      <c r="G11" s="84">
        <v>690586602.72</v>
      </c>
      <c r="H11" s="84">
        <v>246236989.94</v>
      </c>
      <c r="I11" s="50">
        <f t="shared" si="1"/>
        <v>444349612.78000003</v>
      </c>
      <c r="J11" s="50">
        <f t="shared" si="2"/>
        <v>0</v>
      </c>
    </row>
    <row r="12" spans="1:10" ht="15">
      <c r="A12" s="68" t="s">
        <v>6</v>
      </c>
      <c r="B12" s="78">
        <v>-319949327.79</v>
      </c>
      <c r="C12" s="78">
        <v>332949327.79</v>
      </c>
      <c r="D12" s="78">
        <v>0</v>
      </c>
      <c r="E12" s="78">
        <v>0</v>
      </c>
      <c r="F12" s="78">
        <f t="shared" si="0"/>
        <v>0</v>
      </c>
      <c r="G12" s="84">
        <v>1139640744.84</v>
      </c>
      <c r="H12" s="84">
        <v>726067208.48</v>
      </c>
      <c r="I12" s="50">
        <f t="shared" si="1"/>
        <v>413573536.3599999</v>
      </c>
      <c r="J12" s="50">
        <f t="shared" si="2"/>
        <v>0</v>
      </c>
    </row>
    <row r="13" spans="1:10" ht="15">
      <c r="A13" s="68" t="s">
        <v>7</v>
      </c>
      <c r="B13" s="78">
        <v>-4994141.45</v>
      </c>
      <c r="C13" s="78"/>
      <c r="D13" s="78">
        <v>0</v>
      </c>
      <c r="E13" s="78">
        <v>0</v>
      </c>
      <c r="F13" s="78">
        <f t="shared" si="0"/>
        <v>-4994141.45</v>
      </c>
      <c r="G13" s="84">
        <v>498430516.88</v>
      </c>
      <c r="H13" s="84">
        <v>371383759.8</v>
      </c>
      <c r="I13" s="50">
        <f t="shared" si="1"/>
        <v>127046757.07999998</v>
      </c>
      <c r="J13" s="50">
        <f t="shared" si="2"/>
        <v>3.930947601327</v>
      </c>
    </row>
    <row r="14" spans="1:10" ht="15">
      <c r="A14" s="68" t="s">
        <v>8</v>
      </c>
      <c r="B14" s="78">
        <v>-17464330.83</v>
      </c>
      <c r="C14" s="78">
        <v>10070035.58</v>
      </c>
      <c r="D14" s="78">
        <v>0</v>
      </c>
      <c r="E14" s="78">
        <v>0</v>
      </c>
      <c r="F14" s="78">
        <f t="shared" si="0"/>
        <v>-7394295.249999998</v>
      </c>
      <c r="G14" s="84">
        <v>803530875.61</v>
      </c>
      <c r="H14" s="84">
        <v>387878201.74</v>
      </c>
      <c r="I14" s="50">
        <f t="shared" si="1"/>
        <v>415652673.87</v>
      </c>
      <c r="J14" s="50">
        <f t="shared" si="2"/>
        <v>1.7789601065606633</v>
      </c>
    </row>
    <row r="15" spans="1:10" ht="15">
      <c r="A15" s="68" t="s">
        <v>9</v>
      </c>
      <c r="B15" s="78">
        <v>-149092109.23</v>
      </c>
      <c r="C15" s="78">
        <v>139092109.23</v>
      </c>
      <c r="D15" s="78">
        <v>0</v>
      </c>
      <c r="E15" s="78">
        <v>0</v>
      </c>
      <c r="F15" s="78">
        <f t="shared" si="0"/>
        <v>-10000000</v>
      </c>
      <c r="G15" s="84">
        <v>722763255.38</v>
      </c>
      <c r="H15" s="84">
        <v>512406882.99</v>
      </c>
      <c r="I15" s="50">
        <f t="shared" si="1"/>
        <v>210356372.39</v>
      </c>
      <c r="J15" s="50">
        <f t="shared" si="2"/>
        <v>4.753837445656286</v>
      </c>
    </row>
    <row r="16" spans="1:10" ht="15">
      <c r="A16" s="68" t="s">
        <v>10</v>
      </c>
      <c r="B16" s="78">
        <v>-2744333.4</v>
      </c>
      <c r="C16" s="78">
        <v>2744333.4</v>
      </c>
      <c r="D16" s="78">
        <v>0</v>
      </c>
      <c r="E16" s="78">
        <v>0</v>
      </c>
      <c r="F16" s="78">
        <f t="shared" si="0"/>
        <v>0</v>
      </c>
      <c r="G16" s="84">
        <v>142874933.98</v>
      </c>
      <c r="H16" s="84">
        <v>107493868.24</v>
      </c>
      <c r="I16" s="50">
        <f t="shared" si="1"/>
        <v>35381065.739999995</v>
      </c>
      <c r="J16" s="50">
        <f t="shared" si="2"/>
        <v>0</v>
      </c>
    </row>
    <row r="17" spans="1:10" ht="15">
      <c r="A17" s="68" t="s">
        <v>11</v>
      </c>
      <c r="B17" s="78">
        <v>-7165750.5</v>
      </c>
      <c r="C17" s="78">
        <v>13550750.5</v>
      </c>
      <c r="D17" s="78">
        <v>0</v>
      </c>
      <c r="E17" s="78">
        <v>0</v>
      </c>
      <c r="F17" s="78">
        <f t="shared" si="0"/>
        <v>0</v>
      </c>
      <c r="G17" s="84">
        <v>605977711.86</v>
      </c>
      <c r="H17" s="84">
        <v>443756178.49</v>
      </c>
      <c r="I17" s="50">
        <f t="shared" si="1"/>
        <v>162221533.37</v>
      </c>
      <c r="J17" s="50">
        <f t="shared" si="2"/>
        <v>0</v>
      </c>
    </row>
    <row r="18" spans="1:10" ht="15">
      <c r="A18" s="68" t="s">
        <v>12</v>
      </c>
      <c r="B18" s="78"/>
      <c r="C18" s="78"/>
      <c r="D18" s="78">
        <v>0</v>
      </c>
      <c r="E18" s="78">
        <v>0</v>
      </c>
      <c r="F18" s="78">
        <f t="shared" si="0"/>
        <v>0</v>
      </c>
      <c r="G18" s="84">
        <v>211948788</v>
      </c>
      <c r="H18" s="84">
        <v>141074889.29</v>
      </c>
      <c r="I18" s="50">
        <f t="shared" si="1"/>
        <v>70873898.71000001</v>
      </c>
      <c r="J18" s="50">
        <f t="shared" si="2"/>
        <v>0</v>
      </c>
    </row>
    <row r="19" spans="1:10" ht="15">
      <c r="A19" s="68" t="s">
        <v>13</v>
      </c>
      <c r="B19" s="78">
        <v>-17657508.95</v>
      </c>
      <c r="C19" s="78">
        <v>12736508.95</v>
      </c>
      <c r="D19" s="78">
        <v>0</v>
      </c>
      <c r="E19" s="78">
        <v>4921000</v>
      </c>
      <c r="F19" s="78">
        <f t="shared" si="0"/>
        <v>0</v>
      </c>
      <c r="G19" s="84">
        <v>414113382.04</v>
      </c>
      <c r="H19" s="84">
        <v>312452481.69</v>
      </c>
      <c r="I19" s="50">
        <f t="shared" si="1"/>
        <v>101660900.35000002</v>
      </c>
      <c r="J19" s="50">
        <f t="shared" si="2"/>
        <v>0</v>
      </c>
    </row>
    <row r="20" spans="1:10" ht="15">
      <c r="A20" s="68" t="s">
        <v>14</v>
      </c>
      <c r="B20" s="78"/>
      <c r="C20" s="78"/>
      <c r="D20" s="78">
        <v>0</v>
      </c>
      <c r="E20" s="78">
        <v>0</v>
      </c>
      <c r="F20" s="78">
        <f t="shared" si="0"/>
        <v>0</v>
      </c>
      <c r="G20" s="84">
        <v>235563781.5</v>
      </c>
      <c r="H20" s="84">
        <v>150886932.2</v>
      </c>
      <c r="I20" s="50">
        <f t="shared" si="1"/>
        <v>84676849.30000001</v>
      </c>
      <c r="J20" s="50">
        <f t="shared" si="2"/>
        <v>0</v>
      </c>
    </row>
    <row r="21" spans="1:10" ht="15">
      <c r="A21" s="68" t="s">
        <v>15</v>
      </c>
      <c r="B21" s="78">
        <v>-1579466.1</v>
      </c>
      <c r="C21" s="78">
        <v>1579466.1</v>
      </c>
      <c r="D21" s="78">
        <v>0</v>
      </c>
      <c r="E21" s="78">
        <v>0</v>
      </c>
      <c r="F21" s="78">
        <f t="shared" si="0"/>
        <v>0</v>
      </c>
      <c r="G21" s="84">
        <v>506290446.12</v>
      </c>
      <c r="H21" s="84">
        <v>438288011.8</v>
      </c>
      <c r="I21" s="50">
        <f t="shared" si="1"/>
        <v>68002434.32</v>
      </c>
      <c r="J21" s="50">
        <f t="shared" si="2"/>
        <v>0</v>
      </c>
    </row>
    <row r="22" spans="1:10" ht="15">
      <c r="A22" s="68" t="s">
        <v>16</v>
      </c>
      <c r="B22" s="78">
        <v>-250991084.76</v>
      </c>
      <c r="C22" s="78">
        <v>244143468.68</v>
      </c>
      <c r="D22" s="78">
        <v>0</v>
      </c>
      <c r="E22" s="78">
        <v>0</v>
      </c>
      <c r="F22" s="78">
        <f t="shared" si="0"/>
        <v>-6847616.079999983</v>
      </c>
      <c r="G22" s="84">
        <v>2875043999.31</v>
      </c>
      <c r="H22" s="84">
        <v>2207653611.44</v>
      </c>
      <c r="I22" s="50">
        <f t="shared" si="1"/>
        <v>667390387.8699999</v>
      </c>
      <c r="J22" s="50">
        <f t="shared" si="2"/>
        <v>1.0260285740486004</v>
      </c>
    </row>
    <row r="23" spans="1:10" ht="15">
      <c r="A23" s="68" t="s">
        <v>17</v>
      </c>
      <c r="B23" s="78">
        <v>-2813041.49</v>
      </c>
      <c r="C23" s="78"/>
      <c r="D23" s="78">
        <v>0</v>
      </c>
      <c r="E23" s="78">
        <v>3468690</v>
      </c>
      <c r="F23" s="78">
        <f t="shared" si="0"/>
        <v>0</v>
      </c>
      <c r="G23" s="84">
        <v>109899342.56</v>
      </c>
      <c r="H23" s="84">
        <v>77820483.51</v>
      </c>
      <c r="I23" s="50">
        <f t="shared" si="1"/>
        <v>32078859.049999997</v>
      </c>
      <c r="J23" s="50">
        <f t="shared" si="2"/>
        <v>0</v>
      </c>
    </row>
    <row r="24" spans="1:10" ht="15">
      <c r="A24" s="68" t="s">
        <v>18</v>
      </c>
      <c r="B24" s="78"/>
      <c r="C24" s="78"/>
      <c r="D24" s="78">
        <v>0</v>
      </c>
      <c r="E24" s="78">
        <v>0</v>
      </c>
      <c r="F24" s="78">
        <f t="shared" si="0"/>
        <v>0</v>
      </c>
      <c r="G24" s="84">
        <v>215627790.07</v>
      </c>
      <c r="H24" s="84">
        <v>169850608.59</v>
      </c>
      <c r="I24" s="50">
        <f t="shared" si="1"/>
        <v>45777181.47999999</v>
      </c>
      <c r="J24" s="50">
        <f t="shared" si="2"/>
        <v>0</v>
      </c>
    </row>
    <row r="25" spans="1:10" ht="15">
      <c r="A25" s="68" t="s">
        <v>19</v>
      </c>
      <c r="B25" s="78">
        <v>-21055273.65</v>
      </c>
      <c r="C25" s="78">
        <v>21055273.65</v>
      </c>
      <c r="D25" s="78">
        <v>0</v>
      </c>
      <c r="E25" s="78">
        <v>0</v>
      </c>
      <c r="F25" s="78">
        <f t="shared" si="0"/>
        <v>0</v>
      </c>
      <c r="G25" s="84">
        <v>458264568.69</v>
      </c>
      <c r="H25" s="84">
        <v>265645342.36</v>
      </c>
      <c r="I25" s="50">
        <f t="shared" si="1"/>
        <v>192619226.32999998</v>
      </c>
      <c r="J25" s="50">
        <f t="shared" si="2"/>
        <v>0</v>
      </c>
    </row>
    <row r="26" spans="1:10" ht="15">
      <c r="A26" s="68" t="s">
        <v>20</v>
      </c>
      <c r="B26" s="78">
        <v>-38396179.31</v>
      </c>
      <c r="C26" s="78">
        <v>38396179.31</v>
      </c>
      <c r="D26" s="78">
        <v>0</v>
      </c>
      <c r="E26" s="78">
        <v>0</v>
      </c>
      <c r="F26" s="78">
        <f t="shared" si="0"/>
        <v>0</v>
      </c>
      <c r="G26" s="84">
        <v>483526058.12</v>
      </c>
      <c r="H26" s="84">
        <v>238417608.95</v>
      </c>
      <c r="I26" s="50">
        <f t="shared" si="1"/>
        <v>245108449.17000002</v>
      </c>
      <c r="J26" s="50">
        <f t="shared" si="2"/>
        <v>0</v>
      </c>
    </row>
    <row r="27" spans="1:10" ht="15">
      <c r="A27" s="68" t="s">
        <v>21</v>
      </c>
      <c r="B27" s="78">
        <v>-2391238.44</v>
      </c>
      <c r="C27" s="78"/>
      <c r="D27" s="78">
        <v>0</v>
      </c>
      <c r="E27" s="78">
        <v>0</v>
      </c>
      <c r="F27" s="78">
        <f t="shared" si="0"/>
        <v>-2391238.44</v>
      </c>
      <c r="G27" s="84">
        <v>220052851.39</v>
      </c>
      <c r="H27" s="84">
        <v>142924923.56</v>
      </c>
      <c r="I27" s="50">
        <f t="shared" si="1"/>
        <v>77127927.82999998</v>
      </c>
      <c r="J27" s="50">
        <f t="shared" si="2"/>
        <v>3.100353538954918</v>
      </c>
    </row>
    <row r="28" spans="1:10" ht="15">
      <c r="A28" s="68" t="s">
        <v>22</v>
      </c>
      <c r="B28" s="78"/>
      <c r="C28" s="78"/>
      <c r="D28" s="78">
        <v>0</v>
      </c>
      <c r="E28" s="78">
        <v>0</v>
      </c>
      <c r="F28" s="78">
        <f t="shared" si="0"/>
        <v>0</v>
      </c>
      <c r="G28" s="84">
        <v>339950887.74</v>
      </c>
      <c r="H28" s="84">
        <v>224530255.35</v>
      </c>
      <c r="I28" s="50">
        <f t="shared" si="1"/>
        <v>115420632.39000002</v>
      </c>
      <c r="J28" s="50">
        <f t="shared" si="2"/>
        <v>0</v>
      </c>
    </row>
    <row r="29" spans="1:10" ht="15">
      <c r="A29" s="68" t="s">
        <v>23</v>
      </c>
      <c r="B29" s="78">
        <v>-61210455.31</v>
      </c>
      <c r="C29" s="78">
        <v>50874455.31</v>
      </c>
      <c r="D29" s="78">
        <v>0</v>
      </c>
      <c r="E29" s="78">
        <v>10336000</v>
      </c>
      <c r="F29" s="78">
        <f t="shared" si="0"/>
        <v>0</v>
      </c>
      <c r="G29" s="84">
        <v>561941823.64</v>
      </c>
      <c r="H29" s="84">
        <v>473130690.82</v>
      </c>
      <c r="I29" s="50">
        <f t="shared" si="1"/>
        <v>88811132.82</v>
      </c>
      <c r="J29" s="50">
        <f t="shared" si="2"/>
        <v>0</v>
      </c>
    </row>
    <row r="30" spans="1:10" ht="15">
      <c r="A30" s="68" t="s">
        <v>24</v>
      </c>
      <c r="B30" s="78">
        <v>-20434873.92</v>
      </c>
      <c r="C30" s="78">
        <v>19710792.66</v>
      </c>
      <c r="D30" s="78">
        <v>724081.26</v>
      </c>
      <c r="E30" s="78">
        <v>0</v>
      </c>
      <c r="F30" s="78">
        <f t="shared" si="0"/>
        <v>-1.6298145055770874E-09</v>
      </c>
      <c r="G30" s="84">
        <v>629786886.62</v>
      </c>
      <c r="H30" s="84">
        <v>337978846.2</v>
      </c>
      <c r="I30" s="50">
        <f t="shared" si="1"/>
        <v>291808040.42</v>
      </c>
      <c r="J30" s="50">
        <f t="shared" si="2"/>
        <v>5.585228231652876E-16</v>
      </c>
    </row>
    <row r="31" spans="1:10" ht="15">
      <c r="A31" s="68" t="s">
        <v>25</v>
      </c>
      <c r="B31" s="78">
        <v>-213511.76</v>
      </c>
      <c r="C31" s="78">
        <v>1001511.76</v>
      </c>
      <c r="D31" s="78">
        <v>0</v>
      </c>
      <c r="E31" s="78">
        <v>0</v>
      </c>
      <c r="F31" s="78">
        <f t="shared" si="0"/>
        <v>0</v>
      </c>
      <c r="G31" s="84">
        <v>129317253.51</v>
      </c>
      <c r="H31" s="84">
        <v>102133990.55</v>
      </c>
      <c r="I31" s="50">
        <f t="shared" si="1"/>
        <v>27183262.96000001</v>
      </c>
      <c r="J31" s="50">
        <f t="shared" si="2"/>
        <v>0</v>
      </c>
    </row>
    <row r="32" spans="1:10" ht="15">
      <c r="A32" s="68" t="s">
        <v>26</v>
      </c>
      <c r="B32" s="78">
        <v>-6013425.68</v>
      </c>
      <c r="C32" s="78">
        <v>10468425.68</v>
      </c>
      <c r="D32" s="78">
        <v>0</v>
      </c>
      <c r="E32" s="78">
        <v>0</v>
      </c>
      <c r="F32" s="78">
        <f t="shared" si="0"/>
        <v>0</v>
      </c>
      <c r="G32" s="84">
        <v>394415422.03</v>
      </c>
      <c r="H32" s="84">
        <v>218853857.02</v>
      </c>
      <c r="I32" s="50">
        <f t="shared" si="1"/>
        <v>175561565.00999996</v>
      </c>
      <c r="J32" s="50">
        <f t="shared" si="2"/>
        <v>0</v>
      </c>
    </row>
    <row r="33" spans="1:10" ht="15">
      <c r="A33" s="68" t="s">
        <v>27</v>
      </c>
      <c r="B33" s="78">
        <v>-12895503.54</v>
      </c>
      <c r="C33" s="78">
        <v>12895503.54</v>
      </c>
      <c r="D33" s="78">
        <v>0</v>
      </c>
      <c r="E33" s="78">
        <v>0</v>
      </c>
      <c r="F33" s="78">
        <f t="shared" si="0"/>
        <v>0</v>
      </c>
      <c r="G33" s="84">
        <v>395846987.25</v>
      </c>
      <c r="H33" s="84">
        <v>318447054.06</v>
      </c>
      <c r="I33" s="50">
        <f t="shared" si="1"/>
        <v>77399933.19</v>
      </c>
      <c r="J33" s="50">
        <f t="shared" si="2"/>
        <v>0</v>
      </c>
    </row>
    <row r="34" spans="1:10" ht="15">
      <c r="A34" s="68" t="s">
        <v>28</v>
      </c>
      <c r="B34" s="78"/>
      <c r="C34" s="78"/>
      <c r="D34" s="78">
        <v>0</v>
      </c>
      <c r="E34" s="78">
        <v>0</v>
      </c>
      <c r="F34" s="78">
        <f t="shared" si="0"/>
        <v>0</v>
      </c>
      <c r="G34" s="84">
        <v>386608572.31</v>
      </c>
      <c r="H34" s="84">
        <v>298573629</v>
      </c>
      <c r="I34" s="50">
        <f t="shared" si="1"/>
        <v>88034943.31</v>
      </c>
      <c r="J34" s="50">
        <f t="shared" si="2"/>
        <v>0</v>
      </c>
    </row>
    <row r="35" spans="1:10" ht="15">
      <c r="A35" s="68" t="s">
        <v>29</v>
      </c>
      <c r="B35" s="78"/>
      <c r="C35" s="78"/>
      <c r="D35" s="78">
        <v>0</v>
      </c>
      <c r="E35" s="78">
        <v>0</v>
      </c>
      <c r="F35" s="78">
        <f t="shared" si="0"/>
        <v>0</v>
      </c>
      <c r="G35" s="84">
        <v>306289713.28</v>
      </c>
      <c r="H35" s="84">
        <v>229403809.72</v>
      </c>
      <c r="I35" s="50">
        <f t="shared" si="1"/>
        <v>76885903.55999997</v>
      </c>
      <c r="J35" s="50">
        <f t="shared" si="2"/>
        <v>0</v>
      </c>
    </row>
    <row r="36" spans="1:10" ht="15">
      <c r="A36" s="68" t="s">
        <v>30</v>
      </c>
      <c r="B36" s="78"/>
      <c r="C36" s="78"/>
      <c r="D36" s="78">
        <v>0</v>
      </c>
      <c r="E36" s="78">
        <v>0</v>
      </c>
      <c r="F36" s="78">
        <f t="shared" si="0"/>
        <v>0</v>
      </c>
      <c r="G36" s="84">
        <v>959016635.81</v>
      </c>
      <c r="H36" s="84">
        <v>643219613.95</v>
      </c>
      <c r="I36" s="50">
        <f t="shared" si="1"/>
        <v>315797021.8599999</v>
      </c>
      <c r="J36" s="50">
        <f t="shared" si="2"/>
        <v>0</v>
      </c>
    </row>
    <row r="37" spans="1:10" ht="15">
      <c r="A37" s="68" t="s">
        <v>31</v>
      </c>
      <c r="B37" s="78">
        <v>-46324709.53</v>
      </c>
      <c r="C37" s="78">
        <v>16324709.53</v>
      </c>
      <c r="D37" s="78">
        <v>0</v>
      </c>
      <c r="E37" s="78">
        <v>0</v>
      </c>
      <c r="F37" s="78">
        <f t="shared" si="0"/>
        <v>-30000000</v>
      </c>
      <c r="G37" s="84">
        <v>769974530.21</v>
      </c>
      <c r="H37" s="84">
        <v>462066537.91</v>
      </c>
      <c r="I37" s="50">
        <f t="shared" si="1"/>
        <v>307907992.3</v>
      </c>
      <c r="J37" s="50">
        <f t="shared" si="2"/>
        <v>9.743170281455535</v>
      </c>
    </row>
    <row r="38" spans="1:10" ht="15">
      <c r="A38" s="68" t="s">
        <v>32</v>
      </c>
      <c r="B38" s="78"/>
      <c r="C38" s="78"/>
      <c r="D38" s="78">
        <v>0</v>
      </c>
      <c r="E38" s="78">
        <v>0</v>
      </c>
      <c r="F38" s="78">
        <f t="shared" si="0"/>
        <v>0</v>
      </c>
      <c r="G38" s="84">
        <v>300938997.26</v>
      </c>
      <c r="H38" s="84">
        <v>175635476.39</v>
      </c>
      <c r="I38" s="50">
        <f t="shared" si="1"/>
        <v>125303520.87</v>
      </c>
      <c r="J38" s="50">
        <f t="shared" si="2"/>
        <v>0</v>
      </c>
    </row>
    <row r="39" spans="1:10" ht="15">
      <c r="A39" s="68" t="s">
        <v>33</v>
      </c>
      <c r="B39" s="78"/>
      <c r="C39" s="78">
        <v>2117155.4</v>
      </c>
      <c r="D39" s="78">
        <v>0</v>
      </c>
      <c r="E39" s="78">
        <v>0</v>
      </c>
      <c r="F39" s="78">
        <f t="shared" si="0"/>
        <v>0</v>
      </c>
      <c r="G39" s="84">
        <v>255655619.33</v>
      </c>
      <c r="H39" s="84">
        <v>187164899.79</v>
      </c>
      <c r="I39" s="50">
        <f t="shared" si="1"/>
        <v>68490719.54000002</v>
      </c>
      <c r="J39" s="50">
        <f t="shared" si="2"/>
        <v>0</v>
      </c>
    </row>
    <row r="40" spans="1:10" ht="15">
      <c r="A40" s="68" t="s">
        <v>34</v>
      </c>
      <c r="B40" s="78"/>
      <c r="C40" s="78"/>
      <c r="D40" s="78">
        <v>0</v>
      </c>
      <c r="E40" s="78">
        <v>0</v>
      </c>
      <c r="F40" s="78">
        <f t="shared" si="0"/>
        <v>0</v>
      </c>
      <c r="G40" s="84">
        <v>224474581.23</v>
      </c>
      <c r="H40" s="84">
        <v>179410749.92</v>
      </c>
      <c r="I40" s="50">
        <f t="shared" si="1"/>
        <v>45063831.31</v>
      </c>
      <c r="J40" s="50">
        <f t="shared" si="2"/>
        <v>0</v>
      </c>
    </row>
    <row r="41" spans="1:10" ht="15">
      <c r="A41" s="68" t="s">
        <v>35</v>
      </c>
      <c r="B41" s="78"/>
      <c r="C41" s="78"/>
      <c r="D41" s="78">
        <v>0</v>
      </c>
      <c r="E41" s="78">
        <v>333000</v>
      </c>
      <c r="F41" s="78">
        <f t="shared" si="0"/>
        <v>0</v>
      </c>
      <c r="G41" s="84">
        <v>223026034.97</v>
      </c>
      <c r="H41" s="84">
        <v>169527991.1</v>
      </c>
      <c r="I41" s="50">
        <f t="shared" si="1"/>
        <v>53498043.870000005</v>
      </c>
      <c r="J41" s="50">
        <f t="shared" si="2"/>
        <v>0</v>
      </c>
    </row>
    <row r="42" spans="1:10" ht="15">
      <c r="A42" s="68" t="s">
        <v>36</v>
      </c>
      <c r="B42" s="28">
        <v>-18242500.08</v>
      </c>
      <c r="C42" s="28">
        <v>20742500.08</v>
      </c>
      <c r="D42" s="28">
        <v>0</v>
      </c>
      <c r="E42" s="78">
        <v>0</v>
      </c>
      <c r="F42" s="28">
        <f t="shared" si="0"/>
        <v>0</v>
      </c>
      <c r="G42" s="27">
        <v>242186867.48</v>
      </c>
      <c r="H42" s="27">
        <v>173687277.94</v>
      </c>
      <c r="I42" s="50">
        <f t="shared" si="1"/>
        <v>68499589.53999999</v>
      </c>
      <c r="J42" s="50">
        <f t="shared" si="2"/>
        <v>0</v>
      </c>
    </row>
    <row r="43" spans="1:10" s="71" customFormat="1" ht="15">
      <c r="A43" s="14" t="s">
        <v>44</v>
      </c>
      <c r="B43" s="69">
        <f>SUM(B$6:B$42)</f>
        <v>-2888180926.6499996</v>
      </c>
      <c r="C43" s="69">
        <f aca="true" t="shared" si="3" ref="C43:I43">SUM(C$6:C$42)</f>
        <v>1197515248.8700001</v>
      </c>
      <c r="D43" s="69">
        <f t="shared" si="3"/>
        <v>724081.26</v>
      </c>
      <c r="E43" s="69">
        <f t="shared" si="3"/>
        <v>68058690</v>
      </c>
      <c r="F43" s="69">
        <f t="shared" si="3"/>
        <v>-1659930037.67</v>
      </c>
      <c r="G43" s="69">
        <f t="shared" si="3"/>
        <v>60405925662.50001</v>
      </c>
      <c r="H43" s="69">
        <f t="shared" si="3"/>
        <v>31783682476.83</v>
      </c>
      <c r="I43" s="69">
        <f t="shared" si="3"/>
        <v>28622243185.67</v>
      </c>
      <c r="J43" s="70"/>
    </row>
    <row r="45" spans="6:9" ht="15">
      <c r="F45" s="40"/>
      <c r="I45" s="40">
        <f>$G$43-$H$43-$I$43</f>
        <v>0</v>
      </c>
    </row>
  </sheetData>
  <sheetProtection/>
  <mergeCells count="5">
    <mergeCell ref="A1:J1"/>
    <mergeCell ref="A3:A4"/>
    <mergeCell ref="B3:F3"/>
    <mergeCell ref="G3:I3"/>
    <mergeCell ref="J3:J4"/>
  </mergeCells>
  <printOptions horizontalCentered="1"/>
  <pageMargins left="0.23" right="0.15748031496062992" top="0.15748031496062992" bottom="0.15748031496062992" header="0.15748031496062992" footer="0.15748031496062992"/>
  <pageSetup fitToHeight="1" fitToWidth="1" horizontalDpi="600" verticalDpi="600" orientation="landscape" paperSize="9" scale="70" r:id="rId1"/>
  <colBreaks count="1" manualBreakCount="1">
    <brk id="4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SheetLayoutView="100" zoomScalePageLayoutView="0" workbookViewId="0" topLeftCell="A1">
      <selection activeCell="B42" sqref="B42"/>
    </sheetView>
  </sheetViews>
  <sheetFormatPr defaultColWidth="8.7109375" defaultRowHeight="15"/>
  <cols>
    <col min="1" max="1" width="24.421875" style="26" customWidth="1"/>
    <col min="2" max="2" width="19.28125" style="26" customWidth="1"/>
    <col min="3" max="3" width="17.28125" style="26" bestFit="1" customWidth="1"/>
    <col min="4" max="4" width="19.421875" style="26" customWidth="1"/>
    <col min="5" max="5" width="17.8515625" style="26" customWidth="1"/>
    <col min="6" max="6" width="19.28125" style="26" customWidth="1"/>
    <col min="7" max="7" width="20.00390625" style="26" customWidth="1"/>
    <col min="8" max="8" width="22.421875" style="26" customWidth="1"/>
    <col min="9" max="16384" width="8.7109375" style="26" customWidth="1"/>
  </cols>
  <sheetData>
    <row r="1" spans="1:8" ht="27" customHeight="1">
      <c r="A1" s="109" t="s">
        <v>158</v>
      </c>
      <c r="B1" s="109"/>
      <c r="C1" s="109"/>
      <c r="D1" s="109"/>
      <c r="E1" s="109"/>
      <c r="F1" s="109"/>
      <c r="G1" s="109"/>
      <c r="H1" s="109"/>
    </row>
    <row r="2" ht="15">
      <c r="A2" s="26" t="s">
        <v>149</v>
      </c>
    </row>
    <row r="3" spans="1:8" s="31" customFormat="1" ht="24.75" customHeight="1">
      <c r="A3" s="110" t="s">
        <v>39</v>
      </c>
      <c r="B3" s="110" t="s">
        <v>281</v>
      </c>
      <c r="C3" s="110"/>
      <c r="D3" s="110"/>
      <c r="E3" s="110" t="s">
        <v>225</v>
      </c>
      <c r="F3" s="110"/>
      <c r="G3" s="110"/>
      <c r="H3" s="110" t="s">
        <v>157</v>
      </c>
    </row>
    <row r="4" spans="1:8" s="31" customFormat="1" ht="129" customHeight="1">
      <c r="A4" s="110"/>
      <c r="B4" s="23" t="s">
        <v>175</v>
      </c>
      <c r="C4" s="23" t="s">
        <v>146</v>
      </c>
      <c r="D4" s="23" t="s">
        <v>196</v>
      </c>
      <c r="E4" s="23" t="s">
        <v>92</v>
      </c>
      <c r="F4" s="23" t="s">
        <v>100</v>
      </c>
      <c r="G4" s="23" t="s">
        <v>93</v>
      </c>
      <c r="H4" s="110"/>
    </row>
    <row r="5" spans="1:8" s="29" customFormat="1" ht="15">
      <c r="A5" s="30">
        <v>1</v>
      </c>
      <c r="B5" s="30">
        <v>2</v>
      </c>
      <c r="C5" s="30">
        <v>3</v>
      </c>
      <c r="D5" s="30" t="s">
        <v>141</v>
      </c>
      <c r="E5" s="30">
        <v>5</v>
      </c>
      <c r="F5" s="30">
        <v>6</v>
      </c>
      <c r="G5" s="30" t="s">
        <v>147</v>
      </c>
      <c r="H5" s="30" t="s">
        <v>155</v>
      </c>
    </row>
    <row r="6" spans="1:8" ht="15">
      <c r="A6" s="68" t="s">
        <v>0</v>
      </c>
      <c r="B6" s="84">
        <v>8667129000</v>
      </c>
      <c r="C6" s="84">
        <v>100000000</v>
      </c>
      <c r="D6" s="78">
        <f>$B6-$C6</f>
        <v>8567129000</v>
      </c>
      <c r="E6" s="84">
        <v>26353543048.97</v>
      </c>
      <c r="F6" s="84">
        <v>12374763522.98</v>
      </c>
      <c r="G6" s="50">
        <f>$E6-$F6</f>
        <v>13978779525.990002</v>
      </c>
      <c r="H6" s="50">
        <f>$D6/$G6*100</f>
        <v>61.28667373336558</v>
      </c>
    </row>
    <row r="7" spans="1:8" ht="15">
      <c r="A7" s="68" t="s">
        <v>1</v>
      </c>
      <c r="B7" s="84">
        <v>5740078000</v>
      </c>
      <c r="C7" s="84">
        <v>218478000</v>
      </c>
      <c r="D7" s="78">
        <f aca="true" t="shared" si="0" ref="D7:D42">$B7-$C7</f>
        <v>5521600000</v>
      </c>
      <c r="E7" s="84">
        <v>12730943471.02</v>
      </c>
      <c r="F7" s="84">
        <v>6347571613.14</v>
      </c>
      <c r="G7" s="50">
        <f aca="true" t="shared" si="1" ref="G7:G42">$E7-$F7</f>
        <v>6383371857.88</v>
      </c>
      <c r="H7" s="50">
        <f aca="true" t="shared" si="2" ref="H7:H42">$D7/$G7*100</f>
        <v>86.49973905536805</v>
      </c>
    </row>
    <row r="8" spans="1:8" ht="15">
      <c r="A8" s="68" t="s">
        <v>2</v>
      </c>
      <c r="B8" s="84">
        <v>151455100</v>
      </c>
      <c r="C8" s="84">
        <v>42530700</v>
      </c>
      <c r="D8" s="78">
        <f t="shared" si="0"/>
        <v>108924400</v>
      </c>
      <c r="E8" s="84">
        <v>2217969586.76</v>
      </c>
      <c r="F8" s="84">
        <v>911172597.95</v>
      </c>
      <c r="G8" s="50">
        <f t="shared" si="1"/>
        <v>1306796988.8100002</v>
      </c>
      <c r="H8" s="50">
        <f t="shared" si="2"/>
        <v>8.335219696151054</v>
      </c>
    </row>
    <row r="9" spans="1:8" ht="15">
      <c r="A9" s="68" t="s">
        <v>3</v>
      </c>
      <c r="B9" s="84">
        <v>170000000</v>
      </c>
      <c r="C9" s="84">
        <v>50000000</v>
      </c>
      <c r="D9" s="78">
        <f t="shared" si="0"/>
        <v>120000000</v>
      </c>
      <c r="E9" s="84">
        <v>1627463298.27</v>
      </c>
      <c r="F9" s="84">
        <v>418199496.07</v>
      </c>
      <c r="G9" s="50">
        <f t="shared" si="1"/>
        <v>1209263802.2</v>
      </c>
      <c r="H9" s="50">
        <f t="shared" si="2"/>
        <v>9.923393041426143</v>
      </c>
    </row>
    <row r="10" spans="1:8" ht="15">
      <c r="A10" s="68" t="s">
        <v>4</v>
      </c>
      <c r="B10" s="84">
        <v>136400000</v>
      </c>
      <c r="C10" s="84">
        <v>0</v>
      </c>
      <c r="D10" s="78">
        <f t="shared" si="0"/>
        <v>136400000</v>
      </c>
      <c r="E10" s="84">
        <v>1022439795.74</v>
      </c>
      <c r="F10" s="84">
        <v>597972583.9</v>
      </c>
      <c r="G10" s="50">
        <f t="shared" si="1"/>
        <v>424467211.84000003</v>
      </c>
      <c r="H10" s="50">
        <f t="shared" si="2"/>
        <v>32.13440195032427</v>
      </c>
    </row>
    <row r="11" spans="1:8" ht="15">
      <c r="A11" s="68" t="s">
        <v>5</v>
      </c>
      <c r="B11" s="84">
        <v>13921000</v>
      </c>
      <c r="C11" s="84">
        <v>13921000</v>
      </c>
      <c r="D11" s="78">
        <f t="shared" si="0"/>
        <v>0</v>
      </c>
      <c r="E11" s="84">
        <v>690586602.72</v>
      </c>
      <c r="F11" s="84">
        <v>246236989.94</v>
      </c>
      <c r="G11" s="50">
        <f t="shared" si="1"/>
        <v>444349612.78000003</v>
      </c>
      <c r="H11" s="50">
        <f t="shared" si="2"/>
        <v>0</v>
      </c>
    </row>
    <row r="12" spans="1:8" ht="15">
      <c r="A12" s="68" t="s">
        <v>6</v>
      </c>
      <c r="B12" s="84">
        <v>28395000</v>
      </c>
      <c r="C12" s="84">
        <v>28395000</v>
      </c>
      <c r="D12" s="78">
        <f t="shared" si="0"/>
        <v>0</v>
      </c>
      <c r="E12" s="84">
        <v>1139640744.84</v>
      </c>
      <c r="F12" s="84">
        <v>726067208.48</v>
      </c>
      <c r="G12" s="50">
        <f t="shared" si="1"/>
        <v>413573536.3599999</v>
      </c>
      <c r="H12" s="50">
        <f t="shared" si="2"/>
        <v>0</v>
      </c>
    </row>
    <row r="13" spans="1:8" ht="15">
      <c r="A13" s="68" t="s">
        <v>7</v>
      </c>
      <c r="B13" s="84">
        <v>119583300</v>
      </c>
      <c r="C13" s="84">
        <v>74323700</v>
      </c>
      <c r="D13" s="78">
        <f t="shared" si="0"/>
        <v>45259600</v>
      </c>
      <c r="E13" s="84">
        <v>498430516.88</v>
      </c>
      <c r="F13" s="84">
        <v>371383759.8</v>
      </c>
      <c r="G13" s="50">
        <f t="shared" si="1"/>
        <v>127046757.07999998</v>
      </c>
      <c r="H13" s="50">
        <f t="shared" si="2"/>
        <v>35.62436463569119</v>
      </c>
    </row>
    <row r="14" spans="1:8" ht="15">
      <c r="A14" s="68" t="s">
        <v>8</v>
      </c>
      <c r="B14" s="84">
        <v>37194295.25</v>
      </c>
      <c r="C14" s="84">
        <v>0</v>
      </c>
      <c r="D14" s="78">
        <f t="shared" si="0"/>
        <v>37194295.25</v>
      </c>
      <c r="E14" s="84">
        <v>803530875.61</v>
      </c>
      <c r="F14" s="84">
        <v>387878201.74</v>
      </c>
      <c r="G14" s="50">
        <f t="shared" si="1"/>
        <v>415652673.87</v>
      </c>
      <c r="H14" s="50">
        <f t="shared" si="2"/>
        <v>8.9484075499134</v>
      </c>
    </row>
    <row r="15" spans="1:8" ht="15">
      <c r="A15" s="68" t="s">
        <v>9</v>
      </c>
      <c r="B15" s="84">
        <v>10000000</v>
      </c>
      <c r="C15" s="84">
        <v>0</v>
      </c>
      <c r="D15" s="78">
        <f t="shared" si="0"/>
        <v>10000000</v>
      </c>
      <c r="E15" s="84">
        <v>722763255.38</v>
      </c>
      <c r="F15" s="84">
        <v>512406882.99</v>
      </c>
      <c r="G15" s="50">
        <f t="shared" si="1"/>
        <v>210356372.39</v>
      </c>
      <c r="H15" s="50">
        <f t="shared" si="2"/>
        <v>4.753837445656286</v>
      </c>
    </row>
    <row r="16" spans="1:8" ht="15">
      <c r="A16" s="68" t="s">
        <v>10</v>
      </c>
      <c r="B16" s="84">
        <v>0</v>
      </c>
      <c r="C16" s="84">
        <v>0</v>
      </c>
      <c r="D16" s="78">
        <f t="shared" si="0"/>
        <v>0</v>
      </c>
      <c r="E16" s="84">
        <v>142874933.98</v>
      </c>
      <c r="F16" s="84">
        <v>107493868.24</v>
      </c>
      <c r="G16" s="50">
        <f t="shared" si="1"/>
        <v>35381065.739999995</v>
      </c>
      <c r="H16" s="50">
        <f t="shared" si="2"/>
        <v>0</v>
      </c>
    </row>
    <row r="17" spans="1:8" ht="15">
      <c r="A17" s="68" t="s">
        <v>11</v>
      </c>
      <c r="B17" s="84">
        <v>21500000</v>
      </c>
      <c r="C17" s="84">
        <v>21500000</v>
      </c>
      <c r="D17" s="78">
        <f t="shared" si="0"/>
        <v>0</v>
      </c>
      <c r="E17" s="84">
        <v>605977711.86</v>
      </c>
      <c r="F17" s="84">
        <v>443756178.49</v>
      </c>
      <c r="G17" s="50">
        <f t="shared" si="1"/>
        <v>162221533.37</v>
      </c>
      <c r="H17" s="50">
        <f t="shared" si="2"/>
        <v>0</v>
      </c>
    </row>
    <row r="18" spans="1:8" ht="15">
      <c r="A18" s="68" t="s">
        <v>12</v>
      </c>
      <c r="B18" s="84">
        <v>0</v>
      </c>
      <c r="C18" s="84">
        <v>0</v>
      </c>
      <c r="D18" s="78">
        <f t="shared" si="0"/>
        <v>0</v>
      </c>
      <c r="E18" s="84">
        <v>211948788</v>
      </c>
      <c r="F18" s="84">
        <v>141074889.29</v>
      </c>
      <c r="G18" s="50">
        <f t="shared" si="1"/>
        <v>70873898.71000001</v>
      </c>
      <c r="H18" s="50">
        <f t="shared" si="2"/>
        <v>0</v>
      </c>
    </row>
    <row r="19" spans="1:8" ht="15">
      <c r="A19" s="68" t="s">
        <v>13</v>
      </c>
      <c r="B19" s="84">
        <v>29621000</v>
      </c>
      <c r="C19" s="84">
        <v>29621000</v>
      </c>
      <c r="D19" s="78">
        <f t="shared" si="0"/>
        <v>0</v>
      </c>
      <c r="E19" s="84">
        <v>414113382.04</v>
      </c>
      <c r="F19" s="84">
        <v>312452481.69</v>
      </c>
      <c r="G19" s="50">
        <f t="shared" si="1"/>
        <v>101660900.35000002</v>
      </c>
      <c r="H19" s="50">
        <f t="shared" si="2"/>
        <v>0</v>
      </c>
    </row>
    <row r="20" spans="1:8" ht="15">
      <c r="A20" s="68" t="s">
        <v>14</v>
      </c>
      <c r="B20" s="84">
        <v>0</v>
      </c>
      <c r="C20" s="84">
        <v>0</v>
      </c>
      <c r="D20" s="78">
        <f t="shared" si="0"/>
        <v>0</v>
      </c>
      <c r="E20" s="84">
        <v>235563781.5</v>
      </c>
      <c r="F20" s="84">
        <v>150886932.2</v>
      </c>
      <c r="G20" s="50">
        <f t="shared" si="1"/>
        <v>84676849.30000001</v>
      </c>
      <c r="H20" s="50">
        <f t="shared" si="2"/>
        <v>0</v>
      </c>
    </row>
    <row r="21" spans="1:8" ht="15">
      <c r="A21" s="68" t="s">
        <v>15</v>
      </c>
      <c r="B21" s="84">
        <v>0</v>
      </c>
      <c r="C21" s="84">
        <v>0</v>
      </c>
      <c r="D21" s="78">
        <f t="shared" si="0"/>
        <v>0</v>
      </c>
      <c r="E21" s="84">
        <v>506290446.12</v>
      </c>
      <c r="F21" s="84">
        <v>438288011.8</v>
      </c>
      <c r="G21" s="50">
        <f t="shared" si="1"/>
        <v>68002434.32</v>
      </c>
      <c r="H21" s="50">
        <f t="shared" si="2"/>
        <v>0</v>
      </c>
    </row>
    <row r="22" spans="1:8" ht="15">
      <c r="A22" s="68" t="s">
        <v>16</v>
      </c>
      <c r="B22" s="84">
        <v>0</v>
      </c>
      <c r="C22" s="84">
        <v>0</v>
      </c>
      <c r="D22" s="78">
        <f t="shared" si="0"/>
        <v>0</v>
      </c>
      <c r="E22" s="84">
        <v>2875043999.31</v>
      </c>
      <c r="F22" s="84">
        <v>2207653611.44</v>
      </c>
      <c r="G22" s="50">
        <f t="shared" si="1"/>
        <v>667390387.8699999</v>
      </c>
      <c r="H22" s="50">
        <f t="shared" si="2"/>
        <v>0</v>
      </c>
    </row>
    <row r="23" spans="1:8" ht="15">
      <c r="A23" s="68" t="s">
        <v>17</v>
      </c>
      <c r="B23" s="84">
        <v>12922810</v>
      </c>
      <c r="C23" s="84">
        <v>12922810</v>
      </c>
      <c r="D23" s="78">
        <f t="shared" si="0"/>
        <v>0</v>
      </c>
      <c r="E23" s="84">
        <v>109899342.56</v>
      </c>
      <c r="F23" s="84">
        <v>77820483.51</v>
      </c>
      <c r="G23" s="50">
        <f t="shared" si="1"/>
        <v>32078859.049999997</v>
      </c>
      <c r="H23" s="50">
        <f t="shared" si="2"/>
        <v>0</v>
      </c>
    </row>
    <row r="24" spans="1:8" ht="15">
      <c r="A24" s="68" t="s">
        <v>18</v>
      </c>
      <c r="B24" s="84">
        <v>3518700</v>
      </c>
      <c r="C24" s="84">
        <v>3518700</v>
      </c>
      <c r="D24" s="78">
        <f t="shared" si="0"/>
        <v>0</v>
      </c>
      <c r="E24" s="84">
        <v>215627790.07</v>
      </c>
      <c r="F24" s="84">
        <v>169850608.59</v>
      </c>
      <c r="G24" s="50">
        <f t="shared" si="1"/>
        <v>45777181.47999999</v>
      </c>
      <c r="H24" s="50">
        <f t="shared" si="2"/>
        <v>0</v>
      </c>
    </row>
    <row r="25" spans="1:8" ht="15">
      <c r="A25" s="68" t="s">
        <v>19</v>
      </c>
      <c r="B25" s="84">
        <v>0</v>
      </c>
      <c r="C25" s="84">
        <v>0</v>
      </c>
      <c r="D25" s="78">
        <f t="shared" si="0"/>
        <v>0</v>
      </c>
      <c r="E25" s="84">
        <v>458264568.69</v>
      </c>
      <c r="F25" s="84">
        <v>265645342.36</v>
      </c>
      <c r="G25" s="50">
        <f t="shared" si="1"/>
        <v>192619226.32999998</v>
      </c>
      <c r="H25" s="50">
        <f t="shared" si="2"/>
        <v>0</v>
      </c>
    </row>
    <row r="26" spans="1:8" ht="15">
      <c r="A26" s="68" t="s">
        <v>20</v>
      </c>
      <c r="B26" s="84">
        <v>0</v>
      </c>
      <c r="C26" s="84">
        <v>0</v>
      </c>
      <c r="D26" s="78">
        <f t="shared" si="0"/>
        <v>0</v>
      </c>
      <c r="E26" s="84">
        <v>483526058.12</v>
      </c>
      <c r="F26" s="84">
        <v>238417608.95</v>
      </c>
      <c r="G26" s="50">
        <f t="shared" si="1"/>
        <v>245108449.17000002</v>
      </c>
      <c r="H26" s="50">
        <f t="shared" si="2"/>
        <v>0</v>
      </c>
    </row>
    <row r="27" spans="1:8" ht="15">
      <c r="A27" s="68" t="s">
        <v>21</v>
      </c>
      <c r="B27" s="84">
        <v>54417000</v>
      </c>
      <c r="C27" s="84">
        <v>40180000</v>
      </c>
      <c r="D27" s="78">
        <f t="shared" si="0"/>
        <v>14237000</v>
      </c>
      <c r="E27" s="84">
        <v>220052851.39</v>
      </c>
      <c r="F27" s="84">
        <v>142924923.56</v>
      </c>
      <c r="G27" s="50">
        <f t="shared" si="1"/>
        <v>77127927.82999998</v>
      </c>
      <c r="H27" s="50">
        <f t="shared" si="2"/>
        <v>18.458942695025083</v>
      </c>
    </row>
    <row r="28" spans="1:8" ht="15">
      <c r="A28" s="68" t="s">
        <v>22</v>
      </c>
      <c r="B28" s="84">
        <v>0</v>
      </c>
      <c r="C28" s="84">
        <v>0</v>
      </c>
      <c r="D28" s="78">
        <f t="shared" si="0"/>
        <v>0</v>
      </c>
      <c r="E28" s="84">
        <v>339950887.74</v>
      </c>
      <c r="F28" s="84">
        <v>224530255.35</v>
      </c>
      <c r="G28" s="50">
        <f t="shared" si="1"/>
        <v>115420632.39000002</v>
      </c>
      <c r="H28" s="50">
        <f t="shared" si="2"/>
        <v>0</v>
      </c>
    </row>
    <row r="29" spans="1:8" ht="15">
      <c r="A29" s="68" t="s">
        <v>23</v>
      </c>
      <c r="B29" s="84">
        <v>70212000</v>
      </c>
      <c r="C29" s="84">
        <v>70212000</v>
      </c>
      <c r="D29" s="78">
        <f t="shared" si="0"/>
        <v>0</v>
      </c>
      <c r="E29" s="84">
        <v>561941823.64</v>
      </c>
      <c r="F29" s="84">
        <v>473130690.82</v>
      </c>
      <c r="G29" s="50">
        <f t="shared" si="1"/>
        <v>88811132.82</v>
      </c>
      <c r="H29" s="50">
        <f t="shared" si="2"/>
        <v>0</v>
      </c>
    </row>
    <row r="30" spans="1:8" ht="15">
      <c r="A30" s="68" t="s">
        <v>24</v>
      </c>
      <c r="B30" s="84">
        <v>0</v>
      </c>
      <c r="C30" s="84">
        <v>0</v>
      </c>
      <c r="D30" s="78">
        <f t="shared" si="0"/>
        <v>0</v>
      </c>
      <c r="E30" s="84">
        <v>629786886.62</v>
      </c>
      <c r="F30" s="84">
        <v>337978846.2</v>
      </c>
      <c r="G30" s="50">
        <f t="shared" si="1"/>
        <v>291808040.42</v>
      </c>
      <c r="H30" s="50">
        <f t="shared" si="2"/>
        <v>0</v>
      </c>
    </row>
    <row r="31" spans="1:8" ht="15">
      <c r="A31" s="68" t="s">
        <v>25</v>
      </c>
      <c r="B31" s="84">
        <v>18020000</v>
      </c>
      <c r="C31" s="84">
        <v>8020000</v>
      </c>
      <c r="D31" s="78">
        <f t="shared" si="0"/>
        <v>10000000</v>
      </c>
      <c r="E31" s="84">
        <v>129317253.51</v>
      </c>
      <c r="F31" s="84">
        <v>102133990.55</v>
      </c>
      <c r="G31" s="50">
        <f t="shared" si="1"/>
        <v>27183262.96000001</v>
      </c>
      <c r="H31" s="50">
        <f t="shared" si="2"/>
        <v>36.787342324263776</v>
      </c>
    </row>
    <row r="32" spans="1:8" ht="15">
      <c r="A32" s="68" t="s">
        <v>26</v>
      </c>
      <c r="B32" s="84">
        <v>7000000</v>
      </c>
      <c r="C32" s="84">
        <v>0</v>
      </c>
      <c r="D32" s="78">
        <f t="shared" si="0"/>
        <v>7000000</v>
      </c>
      <c r="E32" s="84">
        <v>394415422.03</v>
      </c>
      <c r="F32" s="84">
        <v>218853857.02</v>
      </c>
      <c r="G32" s="50">
        <f t="shared" si="1"/>
        <v>175561565.00999996</v>
      </c>
      <c r="H32" s="50">
        <f t="shared" si="2"/>
        <v>3.987205285850169</v>
      </c>
    </row>
    <row r="33" spans="1:8" ht="15">
      <c r="A33" s="68" t="s">
        <v>27</v>
      </c>
      <c r="B33" s="84">
        <v>0</v>
      </c>
      <c r="C33" s="84">
        <v>0</v>
      </c>
      <c r="D33" s="78">
        <f t="shared" si="0"/>
        <v>0</v>
      </c>
      <c r="E33" s="84">
        <v>395846987.25</v>
      </c>
      <c r="F33" s="84">
        <v>318447054.06</v>
      </c>
      <c r="G33" s="50">
        <f t="shared" si="1"/>
        <v>77399933.19</v>
      </c>
      <c r="H33" s="50">
        <f t="shared" si="2"/>
        <v>0</v>
      </c>
    </row>
    <row r="34" spans="1:8" ht="15">
      <c r="A34" s="68" t="s">
        <v>28</v>
      </c>
      <c r="B34" s="84">
        <v>0</v>
      </c>
      <c r="C34" s="84">
        <v>0</v>
      </c>
      <c r="D34" s="78">
        <f t="shared" si="0"/>
        <v>0</v>
      </c>
      <c r="E34" s="84">
        <v>386608572.31</v>
      </c>
      <c r="F34" s="84">
        <v>298573629</v>
      </c>
      <c r="G34" s="50">
        <f t="shared" si="1"/>
        <v>88034943.31</v>
      </c>
      <c r="H34" s="50">
        <f t="shared" si="2"/>
        <v>0</v>
      </c>
    </row>
    <row r="35" spans="1:8" ht="15">
      <c r="A35" s="68" t="s">
        <v>29</v>
      </c>
      <c r="B35" s="84">
        <v>23703000</v>
      </c>
      <c r="C35" s="84">
        <v>23703000</v>
      </c>
      <c r="D35" s="78">
        <f t="shared" si="0"/>
        <v>0</v>
      </c>
      <c r="E35" s="84">
        <v>306289713.28</v>
      </c>
      <c r="F35" s="84">
        <v>229403809.72</v>
      </c>
      <c r="G35" s="50">
        <f t="shared" si="1"/>
        <v>76885903.55999997</v>
      </c>
      <c r="H35" s="50">
        <f t="shared" si="2"/>
        <v>0</v>
      </c>
    </row>
    <row r="36" spans="1:8" ht="15">
      <c r="A36" s="68" t="s">
        <v>30</v>
      </c>
      <c r="B36" s="84">
        <v>50329750</v>
      </c>
      <c r="C36" s="84">
        <v>50329750</v>
      </c>
      <c r="D36" s="78">
        <f t="shared" si="0"/>
        <v>0</v>
      </c>
      <c r="E36" s="84">
        <v>959016635.81</v>
      </c>
      <c r="F36" s="84">
        <v>643219613.95</v>
      </c>
      <c r="G36" s="50">
        <f t="shared" si="1"/>
        <v>315797021.8599999</v>
      </c>
      <c r="H36" s="50">
        <f t="shared" si="2"/>
        <v>0</v>
      </c>
    </row>
    <row r="37" spans="1:8" ht="15">
      <c r="A37" s="68" t="s">
        <v>31</v>
      </c>
      <c r="B37" s="84">
        <v>30000000</v>
      </c>
      <c r="C37" s="84">
        <v>0</v>
      </c>
      <c r="D37" s="78">
        <f t="shared" si="0"/>
        <v>30000000</v>
      </c>
      <c r="E37" s="84">
        <v>769974530.21</v>
      </c>
      <c r="F37" s="84">
        <v>462066537.91</v>
      </c>
      <c r="G37" s="50">
        <f t="shared" si="1"/>
        <v>307907992.3</v>
      </c>
      <c r="H37" s="50">
        <f t="shared" si="2"/>
        <v>9.743170281455535</v>
      </c>
    </row>
    <row r="38" spans="1:8" ht="15">
      <c r="A38" s="68" t="s">
        <v>32</v>
      </c>
      <c r="B38" s="84">
        <v>5000000</v>
      </c>
      <c r="C38" s="84">
        <v>0</v>
      </c>
      <c r="D38" s="78">
        <f t="shared" si="0"/>
        <v>5000000</v>
      </c>
      <c r="E38" s="84">
        <v>300938997.26</v>
      </c>
      <c r="F38" s="84">
        <v>175635476.39</v>
      </c>
      <c r="G38" s="50">
        <f t="shared" si="1"/>
        <v>125303520.87</v>
      </c>
      <c r="H38" s="50">
        <f t="shared" si="2"/>
        <v>3.9903108590120175</v>
      </c>
    </row>
    <row r="39" spans="1:8" ht="15">
      <c r="A39" s="68" t="s">
        <v>33</v>
      </c>
      <c r="B39" s="84">
        <v>25284750</v>
      </c>
      <c r="C39" s="84">
        <v>25284750</v>
      </c>
      <c r="D39" s="78">
        <f t="shared" si="0"/>
        <v>0</v>
      </c>
      <c r="E39" s="84">
        <v>255655619.33</v>
      </c>
      <c r="F39" s="84">
        <v>187164899.79</v>
      </c>
      <c r="G39" s="50">
        <f t="shared" si="1"/>
        <v>68490719.54000002</v>
      </c>
      <c r="H39" s="50">
        <f t="shared" si="2"/>
        <v>0</v>
      </c>
    </row>
    <row r="40" spans="1:8" ht="15">
      <c r="A40" s="68" t="s">
        <v>34</v>
      </c>
      <c r="B40" s="84">
        <v>0</v>
      </c>
      <c r="C40" s="84">
        <v>0</v>
      </c>
      <c r="D40" s="78">
        <f t="shared" si="0"/>
        <v>0</v>
      </c>
      <c r="E40" s="84">
        <v>224474581.23</v>
      </c>
      <c r="F40" s="84">
        <v>179410749.92</v>
      </c>
      <c r="G40" s="50">
        <f t="shared" si="1"/>
        <v>45063831.31</v>
      </c>
      <c r="H40" s="50">
        <f t="shared" si="2"/>
        <v>0</v>
      </c>
    </row>
    <row r="41" spans="1:8" ht="15">
      <c r="A41" s="68" t="s">
        <v>35</v>
      </c>
      <c r="B41" s="84">
        <v>3170000</v>
      </c>
      <c r="C41" s="84">
        <v>3170000</v>
      </c>
      <c r="D41" s="78">
        <f t="shared" si="0"/>
        <v>0</v>
      </c>
      <c r="E41" s="84">
        <v>223026034.97</v>
      </c>
      <c r="F41" s="84">
        <v>169527991.1</v>
      </c>
      <c r="G41" s="50">
        <f t="shared" si="1"/>
        <v>53498043.870000005</v>
      </c>
      <c r="H41" s="50">
        <f t="shared" si="2"/>
        <v>0</v>
      </c>
    </row>
    <row r="42" spans="1:8" ht="15">
      <c r="A42" s="68" t="s">
        <v>36</v>
      </c>
      <c r="B42" s="27">
        <v>9970000</v>
      </c>
      <c r="C42" s="27">
        <v>9970000</v>
      </c>
      <c r="D42" s="28">
        <f t="shared" si="0"/>
        <v>0</v>
      </c>
      <c r="E42" s="27">
        <v>242186867.48</v>
      </c>
      <c r="F42" s="27">
        <v>173687277.94</v>
      </c>
      <c r="G42" s="50">
        <f t="shared" si="1"/>
        <v>68499589.53999999</v>
      </c>
      <c r="H42" s="50">
        <f t="shared" si="2"/>
        <v>0</v>
      </c>
    </row>
    <row r="43" spans="1:8" s="71" customFormat="1" ht="15">
      <c r="A43" s="14" t="s">
        <v>44</v>
      </c>
      <c r="B43" s="70">
        <f aca="true" t="shared" si="3" ref="B43:G43">SUM(B$6:B$42)</f>
        <v>15438824705.25</v>
      </c>
      <c r="C43" s="70">
        <f t="shared" si="3"/>
        <v>826080410</v>
      </c>
      <c r="D43" s="70">
        <f t="shared" si="3"/>
        <v>14612744295.25</v>
      </c>
      <c r="E43" s="70">
        <f t="shared" si="3"/>
        <v>60405925662.50001</v>
      </c>
      <c r="F43" s="70">
        <f t="shared" si="3"/>
        <v>31783682476.83</v>
      </c>
      <c r="G43" s="70">
        <f t="shared" si="3"/>
        <v>28622243185.67</v>
      </c>
      <c r="H43" s="72">
        <f>$D43/$G43*100</f>
        <v>51.053805253691685</v>
      </c>
    </row>
    <row r="45" spans="4:7" ht="15">
      <c r="D45" s="40">
        <f>$B$43-$C$43-$D$43</f>
        <v>0</v>
      </c>
      <c r="G45" s="40">
        <f>$E$43-$F$43-$G$43</f>
        <v>0</v>
      </c>
    </row>
  </sheetData>
  <sheetProtection/>
  <mergeCells count="5">
    <mergeCell ref="A1:H1"/>
    <mergeCell ref="A3:A4"/>
    <mergeCell ref="B3:D3"/>
    <mergeCell ref="E3:G3"/>
    <mergeCell ref="H3:H4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41" sqref="F41"/>
    </sheetView>
  </sheetViews>
  <sheetFormatPr defaultColWidth="8.7109375" defaultRowHeight="15"/>
  <cols>
    <col min="1" max="1" width="24.57421875" style="26" customWidth="1"/>
    <col min="2" max="2" width="17.140625" style="26" customWidth="1"/>
    <col min="3" max="3" width="18.140625" style="26" customWidth="1"/>
    <col min="4" max="4" width="18.421875" style="26" bestFit="1" customWidth="1"/>
    <col min="5" max="5" width="19.28125" style="26" customWidth="1"/>
    <col min="6" max="6" width="20.7109375" style="26" customWidth="1"/>
    <col min="7" max="16384" width="8.7109375" style="26" customWidth="1"/>
  </cols>
  <sheetData>
    <row r="1" spans="1:6" ht="39.75" customHeight="1">
      <c r="A1" s="111" t="s">
        <v>160</v>
      </c>
      <c r="B1" s="111"/>
      <c r="C1" s="111"/>
      <c r="D1" s="111"/>
      <c r="E1" s="111"/>
      <c r="F1" s="111"/>
    </row>
    <row r="2" spans="1:6" s="31" customFormat="1" ht="128.25" customHeight="1">
      <c r="A2" s="23" t="s">
        <v>39</v>
      </c>
      <c r="B2" s="23" t="s">
        <v>235</v>
      </c>
      <c r="C2" s="23" t="s">
        <v>236</v>
      </c>
      <c r="D2" s="23" t="s">
        <v>238</v>
      </c>
      <c r="E2" s="23" t="s">
        <v>237</v>
      </c>
      <c r="F2" s="23" t="s">
        <v>161</v>
      </c>
    </row>
    <row r="3" spans="1:6" s="29" customFormat="1" ht="15">
      <c r="A3" s="30">
        <v>1</v>
      </c>
      <c r="B3" s="30">
        <v>2</v>
      </c>
      <c r="C3" s="30">
        <v>3</v>
      </c>
      <c r="D3" s="30">
        <v>4</v>
      </c>
      <c r="E3" s="30" t="s">
        <v>148</v>
      </c>
      <c r="F3" s="30" t="s">
        <v>159</v>
      </c>
    </row>
    <row r="4" spans="1:6" ht="15">
      <c r="A4" s="68" t="s">
        <v>0</v>
      </c>
      <c r="B4" s="84">
        <v>613400253.67</v>
      </c>
      <c r="C4" s="84">
        <v>27636091279.35</v>
      </c>
      <c r="D4" s="84">
        <v>6385572326.93</v>
      </c>
      <c r="E4" s="27">
        <f>$C4-$D4</f>
        <v>21250518952.42</v>
      </c>
      <c r="F4" s="27">
        <f>$B4/$E4*100</f>
        <v>2.8865189365182364</v>
      </c>
    </row>
    <row r="5" spans="1:6" ht="15">
      <c r="A5" s="68" t="s">
        <v>1</v>
      </c>
      <c r="B5" s="84">
        <v>517860325.53</v>
      </c>
      <c r="C5" s="84">
        <v>13056404987.09</v>
      </c>
      <c r="D5" s="84">
        <v>3883436542.14</v>
      </c>
      <c r="E5" s="27">
        <f aca="true" t="shared" si="0" ref="E5:E40">$C5-$D5</f>
        <v>9172968444.95</v>
      </c>
      <c r="F5" s="27">
        <f aca="true" t="shared" si="1" ref="F5:F41">$B5/$E5*100</f>
        <v>5.64550427310254</v>
      </c>
    </row>
    <row r="6" spans="1:6" ht="15">
      <c r="A6" s="68" t="s">
        <v>2</v>
      </c>
      <c r="B6" s="84">
        <v>5892943.23</v>
      </c>
      <c r="C6" s="84">
        <v>2198008293</v>
      </c>
      <c r="D6" s="84">
        <v>79527626.28</v>
      </c>
      <c r="E6" s="27">
        <f t="shared" si="0"/>
        <v>2118480666.72</v>
      </c>
      <c r="F6" s="27">
        <f t="shared" si="1"/>
        <v>0.27816837427758656</v>
      </c>
    </row>
    <row r="7" spans="1:6" ht="15">
      <c r="A7" s="68" t="s">
        <v>3</v>
      </c>
      <c r="B7" s="84">
        <v>2682165.04</v>
      </c>
      <c r="C7" s="84">
        <v>1906005712.75</v>
      </c>
      <c r="D7" s="84">
        <v>31946821.33</v>
      </c>
      <c r="E7" s="27">
        <f t="shared" si="0"/>
        <v>1874058891.42</v>
      </c>
      <c r="F7" s="27">
        <f t="shared" si="1"/>
        <v>0.14312063789882754</v>
      </c>
    </row>
    <row r="8" spans="1:6" ht="15">
      <c r="A8" s="68" t="s">
        <v>4</v>
      </c>
      <c r="B8" s="84">
        <v>0</v>
      </c>
      <c r="C8" s="84">
        <v>990972351.87</v>
      </c>
      <c r="D8" s="84">
        <v>34030503.55</v>
      </c>
      <c r="E8" s="27">
        <f t="shared" si="0"/>
        <v>956941848.32</v>
      </c>
      <c r="F8" s="27">
        <f t="shared" si="1"/>
        <v>0</v>
      </c>
    </row>
    <row r="9" spans="1:6" ht="15">
      <c r="A9" s="68" t="s">
        <v>5</v>
      </c>
      <c r="B9" s="84">
        <v>588876.62</v>
      </c>
      <c r="C9" s="84">
        <v>676907929.96</v>
      </c>
      <c r="D9" s="84">
        <v>19012862.01</v>
      </c>
      <c r="E9" s="27">
        <f t="shared" si="0"/>
        <v>657895067.95</v>
      </c>
      <c r="F9" s="27">
        <f t="shared" si="1"/>
        <v>0.08950920119145118</v>
      </c>
    </row>
    <row r="10" spans="1:6" ht="15">
      <c r="A10" s="68" t="s">
        <v>6</v>
      </c>
      <c r="B10" s="84">
        <v>807160.3</v>
      </c>
      <c r="C10" s="84">
        <v>1459590072.63</v>
      </c>
      <c r="D10" s="84">
        <v>19430137.89</v>
      </c>
      <c r="E10" s="27">
        <f t="shared" si="0"/>
        <v>1440159934.74</v>
      </c>
      <c r="F10" s="27">
        <f t="shared" si="1"/>
        <v>0.05604657375402692</v>
      </c>
    </row>
    <row r="11" spans="1:6" ht="15">
      <c r="A11" s="68" t="s">
        <v>7</v>
      </c>
      <c r="B11" s="84">
        <v>5840199.43</v>
      </c>
      <c r="C11" s="84">
        <v>503424658.33</v>
      </c>
      <c r="D11" s="84">
        <v>18921922.24</v>
      </c>
      <c r="E11" s="27">
        <f t="shared" si="0"/>
        <v>484502736.09</v>
      </c>
      <c r="F11" s="27">
        <f t="shared" si="1"/>
        <v>1.2054007118992078</v>
      </c>
    </row>
    <row r="12" spans="1:6" ht="15">
      <c r="A12" s="68" t="s">
        <v>8</v>
      </c>
      <c r="B12" s="84">
        <v>3212287.24</v>
      </c>
      <c r="C12" s="84">
        <v>820995206.44</v>
      </c>
      <c r="D12" s="84">
        <v>18007264.21</v>
      </c>
      <c r="E12" s="27">
        <f t="shared" si="0"/>
        <v>802987942.23</v>
      </c>
      <c r="F12" s="27">
        <f t="shared" si="1"/>
        <v>0.4000417778477555</v>
      </c>
    </row>
    <row r="13" spans="1:6" ht="15">
      <c r="A13" s="68" t="s">
        <v>9</v>
      </c>
      <c r="B13" s="84">
        <v>168243.14</v>
      </c>
      <c r="C13" s="84">
        <v>871855364.61</v>
      </c>
      <c r="D13" s="84">
        <v>27529489.02</v>
      </c>
      <c r="E13" s="27">
        <f t="shared" si="0"/>
        <v>844325875.59</v>
      </c>
      <c r="F13" s="27">
        <f t="shared" si="1"/>
        <v>0.019926327602175484</v>
      </c>
    </row>
    <row r="14" spans="1:6" ht="15">
      <c r="A14" s="68" t="s">
        <v>10</v>
      </c>
      <c r="B14" s="84">
        <v>0</v>
      </c>
      <c r="C14" s="84">
        <v>145619267.38</v>
      </c>
      <c r="D14" s="84">
        <v>22201005.73</v>
      </c>
      <c r="E14" s="27">
        <f t="shared" si="0"/>
        <v>123418261.64999999</v>
      </c>
      <c r="F14" s="27">
        <f t="shared" si="1"/>
        <v>0</v>
      </c>
    </row>
    <row r="15" spans="1:6" ht="15">
      <c r="A15" s="68" t="s">
        <v>11</v>
      </c>
      <c r="B15" s="84">
        <v>653274.18</v>
      </c>
      <c r="C15" s="84">
        <v>613143462.36</v>
      </c>
      <c r="D15" s="84">
        <v>136681014.03</v>
      </c>
      <c r="E15" s="27">
        <f t="shared" si="0"/>
        <v>476462448.33000004</v>
      </c>
      <c r="F15" s="27">
        <f t="shared" si="1"/>
        <v>0.13710926900739498</v>
      </c>
    </row>
    <row r="16" spans="1:6" ht="15">
      <c r="A16" s="68" t="s">
        <v>12</v>
      </c>
      <c r="B16" s="84">
        <v>64159.09</v>
      </c>
      <c r="C16" s="84">
        <v>192037435.88</v>
      </c>
      <c r="D16" s="84">
        <v>38816347.62</v>
      </c>
      <c r="E16" s="27">
        <f t="shared" si="0"/>
        <v>153221088.26</v>
      </c>
      <c r="F16" s="27">
        <f t="shared" si="1"/>
        <v>0.04187353759759806</v>
      </c>
    </row>
    <row r="17" spans="1:6" ht="15">
      <c r="A17" s="68" t="s">
        <v>13</v>
      </c>
      <c r="B17" s="84">
        <v>500177.14</v>
      </c>
      <c r="C17" s="84">
        <v>431770890.99</v>
      </c>
      <c r="D17" s="84">
        <v>34703036.25</v>
      </c>
      <c r="E17" s="27">
        <f t="shared" si="0"/>
        <v>397067854.74</v>
      </c>
      <c r="F17" s="27">
        <f t="shared" si="1"/>
        <v>0.12596767379407128</v>
      </c>
    </row>
    <row r="18" spans="1:6" ht="15">
      <c r="A18" s="68" t="s">
        <v>14</v>
      </c>
      <c r="B18" s="84">
        <v>0</v>
      </c>
      <c r="C18" s="84">
        <v>235017160.66</v>
      </c>
      <c r="D18" s="84">
        <v>28134541.5</v>
      </c>
      <c r="E18" s="27">
        <f t="shared" si="0"/>
        <v>206882619.16</v>
      </c>
      <c r="F18" s="27">
        <f t="shared" si="1"/>
        <v>0</v>
      </c>
    </row>
    <row r="19" spans="1:6" ht="15">
      <c r="A19" s="68" t="s">
        <v>15</v>
      </c>
      <c r="B19" s="84">
        <v>0</v>
      </c>
      <c r="C19" s="84">
        <v>507869912.22</v>
      </c>
      <c r="D19" s="84">
        <v>30776400.39</v>
      </c>
      <c r="E19" s="27">
        <f t="shared" si="0"/>
        <v>477093511.83000004</v>
      </c>
      <c r="F19" s="27">
        <f t="shared" si="1"/>
        <v>0</v>
      </c>
    </row>
    <row r="20" spans="1:6" ht="15">
      <c r="A20" s="68" t="s">
        <v>16</v>
      </c>
      <c r="B20" s="84">
        <v>0</v>
      </c>
      <c r="C20" s="84">
        <v>3126035084.07</v>
      </c>
      <c r="D20" s="84">
        <v>55588482.39</v>
      </c>
      <c r="E20" s="27">
        <f t="shared" si="0"/>
        <v>3070446601.6800003</v>
      </c>
      <c r="F20" s="27">
        <f t="shared" si="1"/>
        <v>0</v>
      </c>
    </row>
    <row r="21" spans="1:6" ht="15">
      <c r="A21" s="68" t="s">
        <v>17</v>
      </c>
      <c r="B21" s="84">
        <v>236441.93</v>
      </c>
      <c r="C21" s="84">
        <v>112712384.05</v>
      </c>
      <c r="D21" s="84">
        <v>18024892.21</v>
      </c>
      <c r="E21" s="27">
        <f t="shared" si="0"/>
        <v>94687491.84</v>
      </c>
      <c r="F21" s="27">
        <f t="shared" si="1"/>
        <v>0.24970767036424646</v>
      </c>
    </row>
    <row r="22" spans="1:6" ht="15">
      <c r="A22" s="68" t="s">
        <v>18</v>
      </c>
      <c r="B22" s="84">
        <v>105624.91</v>
      </c>
      <c r="C22" s="84">
        <v>210690035.52</v>
      </c>
      <c r="D22" s="84">
        <v>33910024.63</v>
      </c>
      <c r="E22" s="27">
        <f t="shared" si="0"/>
        <v>176780010.89000002</v>
      </c>
      <c r="F22" s="27">
        <f t="shared" si="1"/>
        <v>0.05974935144999186</v>
      </c>
    </row>
    <row r="23" spans="1:6" ht="15">
      <c r="A23" s="68" t="s">
        <v>19</v>
      </c>
      <c r="B23" s="84">
        <v>0</v>
      </c>
      <c r="C23" s="84">
        <v>479319842.34</v>
      </c>
      <c r="D23" s="84">
        <v>50776044.7</v>
      </c>
      <c r="E23" s="27">
        <f t="shared" si="0"/>
        <v>428543797.64</v>
      </c>
      <c r="F23" s="27">
        <f t="shared" si="1"/>
        <v>0</v>
      </c>
    </row>
    <row r="24" spans="1:6" ht="15">
      <c r="A24" s="68" t="s">
        <v>20</v>
      </c>
      <c r="B24" s="84">
        <v>0</v>
      </c>
      <c r="C24" s="84">
        <v>521922237.43</v>
      </c>
      <c r="D24" s="84">
        <v>48930986</v>
      </c>
      <c r="E24" s="27">
        <f t="shared" si="0"/>
        <v>472991251.43</v>
      </c>
      <c r="F24" s="27">
        <f t="shared" si="1"/>
        <v>0</v>
      </c>
    </row>
    <row r="25" spans="1:6" ht="15">
      <c r="A25" s="68" t="s">
        <v>21</v>
      </c>
      <c r="B25" s="84">
        <v>1851373.18</v>
      </c>
      <c r="C25" s="84">
        <v>222444089.83</v>
      </c>
      <c r="D25" s="84">
        <v>25244229.46</v>
      </c>
      <c r="E25" s="27">
        <f t="shared" si="0"/>
        <v>197199860.37</v>
      </c>
      <c r="F25" s="27">
        <f t="shared" si="1"/>
        <v>0.9388308777330397</v>
      </c>
    </row>
    <row r="26" spans="1:6" ht="15">
      <c r="A26" s="68" t="s">
        <v>22</v>
      </c>
      <c r="B26" s="84">
        <v>0</v>
      </c>
      <c r="C26" s="84">
        <v>324619152.59</v>
      </c>
      <c r="D26" s="84">
        <v>38056018.64</v>
      </c>
      <c r="E26" s="27">
        <f t="shared" si="0"/>
        <v>286563133.95</v>
      </c>
      <c r="F26" s="27">
        <f t="shared" si="1"/>
        <v>0</v>
      </c>
    </row>
    <row r="27" spans="1:6" ht="15">
      <c r="A27" s="68" t="s">
        <v>23</v>
      </c>
      <c r="B27" s="84">
        <v>1390260.36</v>
      </c>
      <c r="C27" s="84">
        <v>623152278.95</v>
      </c>
      <c r="D27" s="84">
        <v>26439473.09</v>
      </c>
      <c r="E27" s="27">
        <f t="shared" si="0"/>
        <v>596712805.86</v>
      </c>
      <c r="F27" s="27">
        <f t="shared" si="1"/>
        <v>0.2329865131679747</v>
      </c>
    </row>
    <row r="28" spans="1:6" ht="15">
      <c r="A28" s="68" t="s">
        <v>24</v>
      </c>
      <c r="B28" s="84">
        <v>0</v>
      </c>
      <c r="C28" s="84">
        <v>650221760.54</v>
      </c>
      <c r="D28" s="84">
        <v>51013356.43</v>
      </c>
      <c r="E28" s="27">
        <f t="shared" si="0"/>
        <v>599208404.11</v>
      </c>
      <c r="F28" s="27">
        <f t="shared" si="1"/>
        <v>0</v>
      </c>
    </row>
    <row r="29" spans="1:6" ht="15">
      <c r="A29" s="68" t="s">
        <v>25</v>
      </c>
      <c r="B29" s="84">
        <v>1447033.13</v>
      </c>
      <c r="C29" s="84">
        <v>129530765.27</v>
      </c>
      <c r="D29" s="84">
        <v>26443294.85</v>
      </c>
      <c r="E29" s="27">
        <f t="shared" si="0"/>
        <v>103087470.41999999</v>
      </c>
      <c r="F29" s="27">
        <f t="shared" si="1"/>
        <v>1.4036944781984495</v>
      </c>
    </row>
    <row r="30" spans="1:6" ht="15">
      <c r="A30" s="68" t="s">
        <v>26</v>
      </c>
      <c r="B30" s="84">
        <v>927243</v>
      </c>
      <c r="C30" s="84">
        <v>400428847.71</v>
      </c>
      <c r="D30" s="84">
        <v>29147245.62</v>
      </c>
      <c r="E30" s="27">
        <f t="shared" si="0"/>
        <v>371281602.09</v>
      </c>
      <c r="F30" s="27">
        <f t="shared" si="1"/>
        <v>0.24974116540663738</v>
      </c>
    </row>
    <row r="31" spans="1:6" ht="15">
      <c r="A31" s="68" t="s">
        <v>27</v>
      </c>
      <c r="B31" s="84">
        <v>0</v>
      </c>
      <c r="C31" s="84">
        <v>408742490.79</v>
      </c>
      <c r="D31" s="84">
        <v>101808964.01</v>
      </c>
      <c r="E31" s="27">
        <f t="shared" si="0"/>
        <v>306933526.78000003</v>
      </c>
      <c r="F31" s="27">
        <f t="shared" si="1"/>
        <v>0</v>
      </c>
    </row>
    <row r="32" spans="1:6" ht="15">
      <c r="A32" s="68" t="s">
        <v>28</v>
      </c>
      <c r="B32" s="84">
        <v>0</v>
      </c>
      <c r="C32" s="84">
        <v>381996307.83</v>
      </c>
      <c r="D32" s="84">
        <v>49011929.26</v>
      </c>
      <c r="E32" s="27">
        <f t="shared" si="0"/>
        <v>332984378.57</v>
      </c>
      <c r="F32" s="27">
        <f t="shared" si="1"/>
        <v>0</v>
      </c>
    </row>
    <row r="33" spans="1:6" ht="15">
      <c r="A33" s="68" t="s">
        <v>29</v>
      </c>
      <c r="B33" s="84">
        <v>624256.23</v>
      </c>
      <c r="C33" s="84">
        <v>294501030.77</v>
      </c>
      <c r="D33" s="84">
        <v>17580316.75</v>
      </c>
      <c r="E33" s="27">
        <f t="shared" si="0"/>
        <v>276920714.02</v>
      </c>
      <c r="F33" s="27">
        <f t="shared" si="1"/>
        <v>0.22542778434224117</v>
      </c>
    </row>
    <row r="34" spans="1:6" ht="15">
      <c r="A34" s="68" t="s">
        <v>30</v>
      </c>
      <c r="B34" s="84">
        <v>1290029.24</v>
      </c>
      <c r="C34" s="84">
        <v>935306078.49</v>
      </c>
      <c r="D34" s="84">
        <v>36860337.53</v>
      </c>
      <c r="E34" s="27">
        <f t="shared" si="0"/>
        <v>898445740.96</v>
      </c>
      <c r="F34" s="27">
        <f t="shared" si="1"/>
        <v>0.14358454619881533</v>
      </c>
    </row>
    <row r="35" spans="1:6" ht="15">
      <c r="A35" s="68" t="s">
        <v>31</v>
      </c>
      <c r="B35" s="84">
        <v>96657.53</v>
      </c>
      <c r="C35" s="84">
        <v>816299239.74</v>
      </c>
      <c r="D35" s="84">
        <v>79160804.8</v>
      </c>
      <c r="E35" s="27">
        <f t="shared" si="0"/>
        <v>737138434.94</v>
      </c>
      <c r="F35" s="27">
        <f t="shared" si="1"/>
        <v>0.013112534283722097</v>
      </c>
    </row>
    <row r="36" spans="1:6" ht="15">
      <c r="A36" s="68" t="s">
        <v>32</v>
      </c>
      <c r="B36" s="84">
        <v>1001906.67</v>
      </c>
      <c r="C36" s="84">
        <v>291981730.2</v>
      </c>
      <c r="D36" s="84">
        <v>36234994.84</v>
      </c>
      <c r="E36" s="27">
        <f t="shared" si="0"/>
        <v>255746735.35999998</v>
      </c>
      <c r="F36" s="27">
        <f t="shared" si="1"/>
        <v>0.3917573644057171</v>
      </c>
    </row>
    <row r="37" spans="1:6" ht="15">
      <c r="A37" s="68" t="s">
        <v>33</v>
      </c>
      <c r="B37" s="84">
        <v>631941.64</v>
      </c>
      <c r="C37" s="84">
        <v>249344524.73</v>
      </c>
      <c r="D37" s="84">
        <v>38936307.14</v>
      </c>
      <c r="E37" s="27">
        <f t="shared" si="0"/>
        <v>210408217.58999997</v>
      </c>
      <c r="F37" s="27">
        <f t="shared" si="1"/>
        <v>0.3003407600892267</v>
      </c>
    </row>
    <row r="38" spans="1:6" ht="15">
      <c r="A38" s="68" t="s">
        <v>34</v>
      </c>
      <c r="B38" s="84">
        <v>0</v>
      </c>
      <c r="C38" s="84">
        <v>213164283.88</v>
      </c>
      <c r="D38" s="84">
        <v>26774337.85</v>
      </c>
      <c r="E38" s="27">
        <f t="shared" si="0"/>
        <v>186389946.03</v>
      </c>
      <c r="F38" s="27">
        <f t="shared" si="1"/>
        <v>0</v>
      </c>
    </row>
    <row r="39" spans="1:6" ht="15">
      <c r="A39" s="68" t="s">
        <v>35</v>
      </c>
      <c r="B39" s="84">
        <v>23260.09</v>
      </c>
      <c r="C39" s="84">
        <v>210768964.53</v>
      </c>
      <c r="D39" s="84">
        <v>24698599.72</v>
      </c>
      <c r="E39" s="27">
        <f t="shared" si="0"/>
        <v>186070364.81</v>
      </c>
      <c r="F39" s="27">
        <f t="shared" si="1"/>
        <v>0.012500695650138227</v>
      </c>
    </row>
    <row r="40" spans="1:6" ht="15">
      <c r="A40" s="68" t="s">
        <v>36</v>
      </c>
      <c r="B40" s="27">
        <v>257688.52</v>
      </c>
      <c r="C40" s="27">
        <v>260429367.56</v>
      </c>
      <c r="D40" s="27">
        <v>30619620.35</v>
      </c>
      <c r="E40" s="27">
        <f t="shared" si="0"/>
        <v>229809747.21</v>
      </c>
      <c r="F40" s="27">
        <f t="shared" si="1"/>
        <v>0.1121312403535801</v>
      </c>
    </row>
    <row r="41" spans="1:6" s="71" customFormat="1" ht="15">
      <c r="A41" s="14" t="s">
        <v>44</v>
      </c>
      <c r="B41" s="70">
        <f>SUM(B$4:B$40)</f>
        <v>1161553781.0400002</v>
      </c>
      <c r="C41" s="70">
        <f>SUM(C$4:C$40)</f>
        <v>63109324482.33998</v>
      </c>
      <c r="D41" s="70">
        <f>SUM(D$4:D$40)</f>
        <v>11653988101.389997</v>
      </c>
      <c r="E41" s="70">
        <f>SUM(E$4:E$40)</f>
        <v>51455336380.94998</v>
      </c>
      <c r="F41" s="70">
        <f t="shared" si="1"/>
        <v>2.257401977591649</v>
      </c>
    </row>
    <row r="43" spans="5:6" ht="15">
      <c r="E43" s="40">
        <f>$C$41-$D$41-$E$41</f>
        <v>0</v>
      </c>
      <c r="F43" s="40"/>
    </row>
  </sheetData>
  <sheetProtection/>
  <mergeCells count="1">
    <mergeCell ref="A1:F1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2"/>
  <sheetViews>
    <sheetView view="pageBreakPreview" zoomScaleSheetLayoutView="100" zoomScalePageLayoutView="0" workbookViewId="0" topLeftCell="A1">
      <selection activeCell="A9" sqref="A9:A21"/>
    </sheetView>
  </sheetViews>
  <sheetFormatPr defaultColWidth="8.7109375" defaultRowHeight="15"/>
  <cols>
    <col min="1" max="1" width="3.57421875" style="26" customWidth="1"/>
    <col min="2" max="2" width="24.140625" style="26" customWidth="1"/>
    <col min="3" max="3" width="33.8515625" style="26" customWidth="1"/>
    <col min="4" max="4" width="15.7109375" style="26" customWidth="1"/>
    <col min="5" max="5" width="9.8515625" style="26" customWidth="1"/>
    <col min="6" max="6" width="9.7109375" style="26" customWidth="1"/>
    <col min="7" max="7" width="12.7109375" style="26" customWidth="1"/>
    <col min="8" max="8" width="8.7109375" style="26" customWidth="1"/>
    <col min="9" max="16384" width="8.7109375" style="26" customWidth="1"/>
  </cols>
  <sheetData>
    <row r="1" spans="2:7" ht="33" customHeight="1">
      <c r="B1" s="112" t="s">
        <v>197</v>
      </c>
      <c r="C1" s="112"/>
      <c r="D1" s="112"/>
      <c r="E1" s="112"/>
      <c r="F1" s="112"/>
      <c r="G1" s="112"/>
    </row>
    <row r="3" spans="2:4" ht="15">
      <c r="B3" s="37" t="s">
        <v>198</v>
      </c>
      <c r="C3" s="36">
        <f>MAX($E$9:$E$21)</f>
        <v>0.881964444109217</v>
      </c>
      <c r="D3" s="43"/>
    </row>
    <row r="4" spans="2:4" ht="15">
      <c r="B4" s="35" t="s">
        <v>199</v>
      </c>
      <c r="C4" s="34">
        <f>MIN($E$9:$E$21)</f>
        <v>0.16541476077168063</v>
      </c>
      <c r="D4" s="44"/>
    </row>
    <row r="5" spans="2:4" ht="15">
      <c r="B5" s="33" t="s">
        <v>200</v>
      </c>
      <c r="C5" s="32" t="s">
        <v>42</v>
      </c>
      <c r="D5" s="39"/>
    </row>
    <row r="7" spans="1:8" s="31" customFormat="1" ht="96.75" customHeight="1">
      <c r="A7" s="114" t="s">
        <v>219</v>
      </c>
      <c r="B7" s="114"/>
      <c r="C7" s="23" t="s">
        <v>201</v>
      </c>
      <c r="D7" s="23" t="s">
        <v>239</v>
      </c>
      <c r="E7" s="30" t="s">
        <v>202</v>
      </c>
      <c r="F7" s="30" t="s">
        <v>203</v>
      </c>
      <c r="G7" s="30" t="s">
        <v>204</v>
      </c>
      <c r="H7" s="113"/>
    </row>
    <row r="8" spans="1:8" s="29" customFormat="1" ht="15">
      <c r="A8" s="115" t="s">
        <v>220</v>
      </c>
      <c r="B8" s="115"/>
      <c r="C8" s="90">
        <v>2</v>
      </c>
      <c r="D8" s="86">
        <v>3</v>
      </c>
      <c r="E8" s="86" t="s">
        <v>49</v>
      </c>
      <c r="F8" s="86">
        <v>5</v>
      </c>
      <c r="G8" s="86">
        <v>6</v>
      </c>
      <c r="H8" s="113"/>
    </row>
    <row r="9" spans="1:8" ht="15">
      <c r="A9" s="96">
        <v>1</v>
      </c>
      <c r="B9" s="92" t="s">
        <v>207</v>
      </c>
      <c r="C9" s="91">
        <v>55728.13166</v>
      </c>
      <c r="D9" s="53">
        <v>104279</v>
      </c>
      <c r="E9" s="88">
        <f>$C9/$D9</f>
        <v>0.5344137521456861</v>
      </c>
      <c r="F9" s="27">
        <f>($E9-$C$4)/($C$3-$C$4)</f>
        <v>0.5149663728204951</v>
      </c>
      <c r="G9" s="42">
        <f>$F9*$C$5</f>
        <v>-0.5149663728204951</v>
      </c>
      <c r="H9" s="45"/>
    </row>
    <row r="10" spans="1:8" ht="15">
      <c r="A10" s="96">
        <v>2</v>
      </c>
      <c r="B10" s="92" t="s">
        <v>227</v>
      </c>
      <c r="C10" s="91">
        <v>13866.61173</v>
      </c>
      <c r="D10" s="53">
        <v>47180</v>
      </c>
      <c r="E10" s="88">
        <f aca="true" t="shared" si="0" ref="E10:E21">$C10/$D10</f>
        <v>0.2939086844001696</v>
      </c>
      <c r="F10" s="27">
        <f aca="true" t="shared" si="1" ref="F10:F21">($E10-$C$4)/($C$3-$C$4)</f>
        <v>0.17932311829375394</v>
      </c>
      <c r="G10" s="42">
        <f aca="true" t="shared" si="2" ref="G10:G21">$F10*$C$5</f>
        <v>-0.17932311829375394</v>
      </c>
      <c r="H10" s="45"/>
    </row>
    <row r="11" spans="1:8" ht="15">
      <c r="A11" s="96">
        <v>3</v>
      </c>
      <c r="B11" s="92" t="s">
        <v>208</v>
      </c>
      <c r="C11" s="91">
        <v>35079.2538</v>
      </c>
      <c r="D11" s="53">
        <v>39774</v>
      </c>
      <c r="E11" s="88">
        <f t="shared" si="0"/>
        <v>0.881964444109217</v>
      </c>
      <c r="F11" s="27">
        <f t="shared" si="1"/>
        <v>1</v>
      </c>
      <c r="G11" s="42">
        <f t="shared" si="2"/>
        <v>-1</v>
      </c>
      <c r="H11" s="45"/>
    </row>
    <row r="12" spans="1:8" ht="15">
      <c r="A12" s="96">
        <v>4</v>
      </c>
      <c r="B12" s="92" t="s">
        <v>209</v>
      </c>
      <c r="C12" s="91">
        <v>11103.72312</v>
      </c>
      <c r="D12" s="53">
        <v>14355</v>
      </c>
      <c r="E12" s="88">
        <f t="shared" si="0"/>
        <v>0.7735090992685476</v>
      </c>
      <c r="F12" s="27">
        <f t="shared" si="1"/>
        <v>0.8486422541762807</v>
      </c>
      <c r="G12" s="42">
        <f t="shared" si="2"/>
        <v>-0.8486422541762807</v>
      </c>
      <c r="H12" s="45"/>
    </row>
    <row r="13" spans="1:8" ht="15">
      <c r="A13" s="96">
        <v>5</v>
      </c>
      <c r="B13" s="92" t="s">
        <v>210</v>
      </c>
      <c r="C13" s="91">
        <v>10739.76516</v>
      </c>
      <c r="D13" s="53">
        <v>18503</v>
      </c>
      <c r="E13" s="88">
        <f t="shared" si="0"/>
        <v>0.5804337220991191</v>
      </c>
      <c r="F13" s="27">
        <f t="shared" si="1"/>
        <v>0.5791907678953513</v>
      </c>
      <c r="G13" s="42">
        <f t="shared" si="2"/>
        <v>-0.5791907678953513</v>
      </c>
      <c r="H13" s="45"/>
    </row>
    <row r="14" spans="1:8" ht="15">
      <c r="A14" s="96">
        <v>6</v>
      </c>
      <c r="B14" s="92" t="s">
        <v>211</v>
      </c>
      <c r="C14" s="91">
        <v>11726.220469999998</v>
      </c>
      <c r="D14" s="53">
        <v>23717</v>
      </c>
      <c r="E14" s="88">
        <f t="shared" si="0"/>
        <v>0.4944225859088417</v>
      </c>
      <c r="F14" s="27">
        <f t="shared" si="1"/>
        <v>0.45915563538415427</v>
      </c>
      <c r="G14" s="42">
        <f t="shared" si="2"/>
        <v>-0.45915563538415427</v>
      </c>
      <c r="H14" s="45"/>
    </row>
    <row r="15" spans="1:8" ht="15">
      <c r="A15" s="96">
        <v>7</v>
      </c>
      <c r="B15" s="92" t="s">
        <v>212</v>
      </c>
      <c r="C15" s="91">
        <v>7957.55227</v>
      </c>
      <c r="D15" s="53">
        <v>12363</v>
      </c>
      <c r="E15" s="88">
        <f t="shared" si="0"/>
        <v>0.6436586807409205</v>
      </c>
      <c r="F15" s="27">
        <f t="shared" si="1"/>
        <v>0.667426043287998</v>
      </c>
      <c r="G15" s="42">
        <f t="shared" si="2"/>
        <v>-0.667426043287998</v>
      </c>
      <c r="H15" s="45"/>
    </row>
    <row r="16" spans="1:8" ht="15">
      <c r="A16" s="96">
        <v>8</v>
      </c>
      <c r="B16" s="92" t="s">
        <v>213</v>
      </c>
      <c r="C16" s="91">
        <v>17887.6782</v>
      </c>
      <c r="D16" s="53">
        <v>44266</v>
      </c>
      <c r="E16" s="88">
        <f t="shared" si="0"/>
        <v>0.4040952017349659</v>
      </c>
      <c r="F16" s="27">
        <f t="shared" si="1"/>
        <v>0.3330968480113792</v>
      </c>
      <c r="G16" s="42">
        <f t="shared" si="2"/>
        <v>-0.3330968480113792</v>
      </c>
      <c r="H16" s="45"/>
    </row>
    <row r="17" spans="1:8" ht="15">
      <c r="A17" s="96">
        <v>9</v>
      </c>
      <c r="B17" s="92" t="s">
        <v>214</v>
      </c>
      <c r="C17" s="91">
        <v>7268.93133</v>
      </c>
      <c r="D17" s="53">
        <v>22081</v>
      </c>
      <c r="E17" s="88">
        <f t="shared" si="0"/>
        <v>0.3291939373216793</v>
      </c>
      <c r="F17" s="27">
        <f t="shared" si="1"/>
        <v>0.2285663930338368</v>
      </c>
      <c r="G17" s="42">
        <f t="shared" si="2"/>
        <v>-0.2285663930338368</v>
      </c>
      <c r="H17" s="45"/>
    </row>
    <row r="18" spans="1:8" ht="15">
      <c r="A18" s="96">
        <v>10</v>
      </c>
      <c r="B18" s="92" t="s">
        <v>215</v>
      </c>
      <c r="C18" s="91">
        <v>4518.63502</v>
      </c>
      <c r="D18" s="53">
        <v>27317</v>
      </c>
      <c r="E18" s="88">
        <f t="shared" si="0"/>
        <v>0.16541476077168063</v>
      </c>
      <c r="F18" s="27">
        <f t="shared" si="1"/>
        <v>0</v>
      </c>
      <c r="G18" s="42">
        <f t="shared" si="2"/>
        <v>0</v>
      </c>
      <c r="H18" s="45"/>
    </row>
    <row r="19" spans="1:8" ht="15">
      <c r="A19" s="96">
        <v>11</v>
      </c>
      <c r="B19" s="92" t="s">
        <v>216</v>
      </c>
      <c r="C19" s="91">
        <v>14002.838780000002</v>
      </c>
      <c r="D19" s="53">
        <v>45193</v>
      </c>
      <c r="E19" s="88">
        <f t="shared" si="0"/>
        <v>0.3098453030336557</v>
      </c>
      <c r="F19" s="27">
        <f t="shared" si="1"/>
        <v>0.20156389099112884</v>
      </c>
      <c r="G19" s="42">
        <f t="shared" si="2"/>
        <v>-0.20156389099112884</v>
      </c>
      <c r="H19" s="45"/>
    </row>
    <row r="20" spans="1:8" ht="15">
      <c r="A20" s="96">
        <v>12</v>
      </c>
      <c r="B20" s="92" t="s">
        <v>217</v>
      </c>
      <c r="C20" s="91">
        <v>3523.1382399999998</v>
      </c>
      <c r="D20" s="53">
        <v>14755</v>
      </c>
      <c r="E20" s="88">
        <f t="shared" si="0"/>
        <v>0.23877588885123685</v>
      </c>
      <c r="F20" s="27">
        <f t="shared" si="1"/>
        <v>0.10238107668662366</v>
      </c>
      <c r="G20" s="42">
        <f t="shared" si="2"/>
        <v>-0.10238107668662366</v>
      </c>
      <c r="H20" s="45"/>
    </row>
    <row r="21" spans="1:8" ht="15">
      <c r="A21" s="96">
        <v>13</v>
      </c>
      <c r="B21" s="92" t="s">
        <v>218</v>
      </c>
      <c r="C21" s="91">
        <v>5649.01561</v>
      </c>
      <c r="D21" s="53">
        <v>15278</v>
      </c>
      <c r="E21" s="88">
        <f t="shared" si="0"/>
        <v>0.36974837086006024</v>
      </c>
      <c r="F21" s="27">
        <f t="shared" si="1"/>
        <v>0.2851632131586982</v>
      </c>
      <c r="G21" s="42">
        <f t="shared" si="2"/>
        <v>-0.2851632131586982</v>
      </c>
      <c r="H21" s="45"/>
    </row>
    <row r="22" spans="1:8" ht="15">
      <c r="A22" s="93" t="s">
        <v>40</v>
      </c>
      <c r="B22" s="93"/>
      <c r="C22" s="87"/>
      <c r="H22" s="40"/>
    </row>
  </sheetData>
  <sheetProtection/>
  <mergeCells count="4">
    <mergeCell ref="B1:G1"/>
    <mergeCell ref="H7:H8"/>
    <mergeCell ref="A7:B7"/>
    <mergeCell ref="A8:B8"/>
  </mergeCells>
  <printOptions horizontalCentered="1" verticalCentered="1"/>
  <pageMargins left="0.23" right="0.15748031496062992" top="0.17" bottom="0.15748031496062992" header="0.15748031496062992" footer="0.1574803149606299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6"/>
  <sheetViews>
    <sheetView view="pageBreakPreview" zoomScale="80" zoomScaleSheetLayoutView="80" zoomScalePageLayoutView="0" workbookViewId="0" topLeftCell="A1">
      <selection activeCell="A11" sqref="A11:A23"/>
    </sheetView>
  </sheetViews>
  <sheetFormatPr defaultColWidth="8.7109375" defaultRowHeight="15"/>
  <cols>
    <col min="1" max="1" width="3.57421875" style="26" customWidth="1"/>
    <col min="2" max="2" width="24.57421875" style="26" customWidth="1"/>
    <col min="3" max="3" width="15.421875" style="26" bestFit="1" customWidth="1"/>
    <col min="4" max="4" width="14.28125" style="26" bestFit="1" customWidth="1"/>
    <col min="5" max="5" width="10.28125" style="26" customWidth="1"/>
    <col min="6" max="7" width="15.421875" style="26" bestFit="1" customWidth="1"/>
    <col min="8" max="8" width="10.00390625" style="26" customWidth="1"/>
    <col min="9" max="10" width="15.421875" style="26" bestFit="1" customWidth="1"/>
    <col min="11" max="11" width="10.421875" style="26" customWidth="1"/>
    <col min="12" max="13" width="15.421875" style="26" bestFit="1" customWidth="1"/>
    <col min="14" max="14" width="12.421875" style="26" customWidth="1"/>
    <col min="15" max="15" width="15.140625" style="26" customWidth="1"/>
    <col min="16" max="16" width="7.28125" style="26" customWidth="1"/>
    <col min="17" max="17" width="10.00390625" style="26" customWidth="1"/>
    <col min="18" max="18" width="8.7109375" style="26" customWidth="1"/>
    <col min="19" max="16384" width="8.7109375" style="26" customWidth="1"/>
  </cols>
  <sheetData>
    <row r="1" spans="2:18" ht="18" customHeight="1">
      <c r="B1" s="109" t="s">
        <v>163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3" spans="2:3" ht="15">
      <c r="B3" s="37" t="s">
        <v>56</v>
      </c>
      <c r="C3" s="36">
        <f>MAX($P$11:$P$23)</f>
        <v>100</v>
      </c>
    </row>
    <row r="4" spans="2:3" ht="15">
      <c r="B4" s="35" t="s">
        <v>57</v>
      </c>
      <c r="C4" s="34">
        <f>MIN($P$11:$P$23)</f>
        <v>31.813022157783692</v>
      </c>
    </row>
    <row r="5" spans="2:3" ht="15">
      <c r="B5" s="33" t="s">
        <v>58</v>
      </c>
      <c r="C5" s="32" t="s">
        <v>46</v>
      </c>
    </row>
    <row r="6" spans="2:12" ht="15">
      <c r="B6" s="38"/>
      <c r="C6" s="39"/>
      <c r="F6" s="39"/>
      <c r="I6" s="39"/>
      <c r="L6" s="39"/>
    </row>
    <row r="7" spans="1:18" s="29" customFormat="1" ht="18" customHeight="1">
      <c r="A7" s="110" t="s">
        <v>39</v>
      </c>
      <c r="B7" s="110"/>
      <c r="C7" s="110" t="s">
        <v>62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7" t="s">
        <v>59</v>
      </c>
      <c r="Q7" s="117" t="s">
        <v>60</v>
      </c>
      <c r="R7" s="117" t="s">
        <v>61</v>
      </c>
    </row>
    <row r="8" spans="1:18" s="29" customFormat="1" ht="22.5" customHeight="1">
      <c r="A8" s="110"/>
      <c r="B8" s="110"/>
      <c r="C8" s="110" t="s">
        <v>243</v>
      </c>
      <c r="D8" s="110"/>
      <c r="E8" s="110"/>
      <c r="F8" s="110" t="s">
        <v>244</v>
      </c>
      <c r="G8" s="110"/>
      <c r="H8" s="110"/>
      <c r="I8" s="110" t="s">
        <v>245</v>
      </c>
      <c r="J8" s="110"/>
      <c r="K8" s="110"/>
      <c r="L8" s="110" t="s">
        <v>246</v>
      </c>
      <c r="M8" s="110"/>
      <c r="N8" s="110"/>
      <c r="O8" s="119" t="s">
        <v>127</v>
      </c>
      <c r="P8" s="117"/>
      <c r="Q8" s="117"/>
      <c r="R8" s="117"/>
    </row>
    <row r="9" spans="1:18" s="31" customFormat="1" ht="49.5" customHeight="1">
      <c r="A9" s="110"/>
      <c r="B9" s="110"/>
      <c r="C9" s="23" t="s">
        <v>124</v>
      </c>
      <c r="D9" s="23" t="s">
        <v>125</v>
      </c>
      <c r="E9" s="23" t="s">
        <v>128</v>
      </c>
      <c r="F9" s="23" t="s">
        <v>124</v>
      </c>
      <c r="G9" s="23" t="s">
        <v>125</v>
      </c>
      <c r="H9" s="23" t="s">
        <v>128</v>
      </c>
      <c r="I9" s="23" t="s">
        <v>124</v>
      </c>
      <c r="J9" s="23" t="s">
        <v>125</v>
      </c>
      <c r="K9" s="23" t="s">
        <v>128</v>
      </c>
      <c r="L9" s="23" t="s">
        <v>124</v>
      </c>
      <c r="M9" s="23" t="s">
        <v>125</v>
      </c>
      <c r="N9" s="23" t="s">
        <v>128</v>
      </c>
      <c r="O9" s="119"/>
      <c r="P9" s="118"/>
      <c r="Q9" s="118"/>
      <c r="R9" s="118"/>
    </row>
    <row r="10" spans="1:18" s="29" customFormat="1" ht="15">
      <c r="A10" s="116">
        <v>1</v>
      </c>
      <c r="B10" s="116"/>
      <c r="C10" s="30">
        <v>2</v>
      </c>
      <c r="D10" s="30">
        <v>3</v>
      </c>
      <c r="E10" s="56" t="s">
        <v>63</v>
      </c>
      <c r="F10" s="30">
        <v>5</v>
      </c>
      <c r="G10" s="30">
        <v>6</v>
      </c>
      <c r="H10" s="56" t="s">
        <v>126</v>
      </c>
      <c r="I10" s="30">
        <v>8</v>
      </c>
      <c r="J10" s="30">
        <v>9</v>
      </c>
      <c r="K10" s="56" t="s">
        <v>193</v>
      </c>
      <c r="L10" s="30">
        <v>11</v>
      </c>
      <c r="M10" s="30">
        <v>12</v>
      </c>
      <c r="N10" s="56" t="s">
        <v>194</v>
      </c>
      <c r="O10" s="30">
        <v>14</v>
      </c>
      <c r="P10" s="30">
        <v>15</v>
      </c>
      <c r="Q10" s="30">
        <v>16</v>
      </c>
      <c r="R10" s="30">
        <v>17</v>
      </c>
    </row>
    <row r="11" spans="1:18" ht="15">
      <c r="A11" s="96">
        <v>1</v>
      </c>
      <c r="B11" s="92" t="s">
        <v>207</v>
      </c>
      <c r="C11" s="95">
        <v>63270000</v>
      </c>
      <c r="D11" s="21">
        <v>3452020.82</v>
      </c>
      <c r="E11" s="84">
        <f>D11/C11*100</f>
        <v>5.456015204678363</v>
      </c>
      <c r="F11" s="21">
        <v>82670000</v>
      </c>
      <c r="G11" s="21">
        <v>12825803.98</v>
      </c>
      <c r="H11" s="84">
        <f>G11/F11*100</f>
        <v>15.514459876617877</v>
      </c>
      <c r="I11" s="21">
        <v>82670000</v>
      </c>
      <c r="J11" s="21">
        <v>30265223.71</v>
      </c>
      <c r="K11" s="84">
        <f>J11/I11*100</f>
        <v>36.60968151687432</v>
      </c>
      <c r="L11" s="21">
        <v>48900000</v>
      </c>
      <c r="M11" s="21">
        <v>49019628.89</v>
      </c>
      <c r="N11" s="27">
        <f>M11/L11*100</f>
        <v>100.24463985685072</v>
      </c>
      <c r="O11" s="27">
        <f>AVERAGE(E11,H11,K11,N11)</f>
        <v>39.45619911375532</v>
      </c>
      <c r="P11" s="27">
        <f>IF(O11&gt;100,100,O11)</f>
        <v>39.45619911375532</v>
      </c>
      <c r="Q11" s="27">
        <f>($P11-$C$4)/($C$3-$C$4)</f>
        <v>0.11209144616524622</v>
      </c>
      <c r="R11" s="27">
        <f>$Q11*$C$5</f>
        <v>0.11209144616524622</v>
      </c>
    </row>
    <row r="12" spans="1:18" ht="15">
      <c r="A12" s="96">
        <v>2</v>
      </c>
      <c r="B12" s="92" t="s">
        <v>227</v>
      </c>
      <c r="C12" s="95">
        <v>17157000</v>
      </c>
      <c r="D12" s="21">
        <v>10393809.98</v>
      </c>
      <c r="E12" s="84">
        <f aca="true" t="shared" si="0" ref="E12:E23">D12/C12*100</f>
        <v>60.58057923879466</v>
      </c>
      <c r="F12" s="21">
        <v>20157000</v>
      </c>
      <c r="G12" s="21">
        <v>14978294.74</v>
      </c>
      <c r="H12" s="84">
        <f aca="true" t="shared" si="1" ref="H12:H23">G12/F12*100</f>
        <v>74.30815468571711</v>
      </c>
      <c r="I12" s="21">
        <v>20157000</v>
      </c>
      <c r="J12" s="21">
        <v>21629918.52</v>
      </c>
      <c r="K12" s="84">
        <f aca="true" t="shared" si="2" ref="K12:K23">J12/I12*100</f>
        <v>107.3072308379223</v>
      </c>
      <c r="L12" s="21">
        <v>24957000</v>
      </c>
      <c r="M12" s="21">
        <v>35253579.36</v>
      </c>
      <c r="N12" s="27">
        <f aca="true" t="shared" si="3" ref="N12:N23">M12/L12*100</f>
        <v>141.25727996153384</v>
      </c>
      <c r="O12" s="27">
        <f aca="true" t="shared" si="4" ref="O12:O23">AVERAGE(E12,H12,K12,N12)</f>
        <v>95.86331118099199</v>
      </c>
      <c r="P12" s="27">
        <f aca="true" t="shared" si="5" ref="P12:P23">IF(O12&gt;100,100,O12)</f>
        <v>95.86331118099199</v>
      </c>
      <c r="Q12" s="27">
        <f aca="true" t="shared" si="6" ref="Q12:Q23">($P12-$C$4)/($C$3-$C$4)</f>
        <v>0.9393331549525445</v>
      </c>
      <c r="R12" s="27">
        <f aca="true" t="shared" si="7" ref="R12:R23">$Q12*$C$5</f>
        <v>0.9393331549525445</v>
      </c>
    </row>
    <row r="13" spans="1:18" ht="15">
      <c r="A13" s="96">
        <v>3</v>
      </c>
      <c r="B13" s="92" t="s">
        <v>208</v>
      </c>
      <c r="C13" s="95">
        <v>1830000</v>
      </c>
      <c r="D13" s="21">
        <v>902031.76</v>
      </c>
      <c r="E13" s="84">
        <f t="shared" si="0"/>
        <v>49.29135300546449</v>
      </c>
      <c r="F13" s="21">
        <v>5398645</v>
      </c>
      <c r="G13" s="21">
        <v>8202458.41</v>
      </c>
      <c r="H13" s="84">
        <f t="shared" si="1"/>
        <v>151.93550251961372</v>
      </c>
      <c r="I13" s="21">
        <v>8808645</v>
      </c>
      <c r="J13" s="21">
        <v>10003412.48</v>
      </c>
      <c r="K13" s="84">
        <f t="shared" si="2"/>
        <v>113.56357850725057</v>
      </c>
      <c r="L13" s="21">
        <v>11409204.23</v>
      </c>
      <c r="M13" s="21">
        <v>11409121.39</v>
      </c>
      <c r="N13" s="27">
        <f t="shared" si="3"/>
        <v>99.9992739195624</v>
      </c>
      <c r="O13" s="27">
        <f t="shared" si="4"/>
        <v>103.69742698797279</v>
      </c>
      <c r="P13" s="27">
        <f t="shared" si="5"/>
        <v>100</v>
      </c>
      <c r="Q13" s="27">
        <f t="shared" si="6"/>
        <v>1</v>
      </c>
      <c r="R13" s="27">
        <f t="shared" si="7"/>
        <v>1</v>
      </c>
    </row>
    <row r="14" spans="1:18" ht="15">
      <c r="A14" s="96">
        <v>4</v>
      </c>
      <c r="B14" s="92" t="s">
        <v>209</v>
      </c>
      <c r="C14" s="95">
        <v>598000</v>
      </c>
      <c r="D14" s="21">
        <v>598491.34</v>
      </c>
      <c r="E14" s="84">
        <f t="shared" si="0"/>
        <v>100.08216387959865</v>
      </c>
      <c r="F14" s="21">
        <v>3247061</v>
      </c>
      <c r="G14" s="21">
        <v>3467289.93</v>
      </c>
      <c r="H14" s="84">
        <f t="shared" si="1"/>
        <v>106.78240815309599</v>
      </c>
      <c r="I14" s="21">
        <v>3247061</v>
      </c>
      <c r="J14" s="21">
        <v>5039381.21</v>
      </c>
      <c r="K14" s="84">
        <f t="shared" si="2"/>
        <v>155.1982303381427</v>
      </c>
      <c r="L14" s="21">
        <v>8474969</v>
      </c>
      <c r="M14" s="21">
        <v>8474969.94</v>
      </c>
      <c r="N14" s="27">
        <f t="shared" si="3"/>
        <v>100.000011091486</v>
      </c>
      <c r="O14" s="27">
        <f t="shared" si="4"/>
        <v>115.51570336558083</v>
      </c>
      <c r="P14" s="27">
        <f t="shared" si="5"/>
        <v>100</v>
      </c>
      <c r="Q14" s="27">
        <f t="shared" si="6"/>
        <v>1</v>
      </c>
      <c r="R14" s="27">
        <f t="shared" si="7"/>
        <v>1</v>
      </c>
    </row>
    <row r="15" spans="1:18" ht="15">
      <c r="A15" s="96">
        <v>5</v>
      </c>
      <c r="B15" s="92" t="s">
        <v>210</v>
      </c>
      <c r="C15" s="95">
        <v>1300334</v>
      </c>
      <c r="D15" s="21">
        <v>1300333.38</v>
      </c>
      <c r="E15" s="84">
        <f t="shared" si="0"/>
        <v>99.99995231994241</v>
      </c>
      <c r="F15" s="21">
        <v>3564696</v>
      </c>
      <c r="G15" s="21">
        <v>3564692.45</v>
      </c>
      <c r="H15" s="84">
        <f t="shared" si="1"/>
        <v>99.99990041226518</v>
      </c>
      <c r="I15" s="21">
        <v>8170908</v>
      </c>
      <c r="J15" s="21">
        <v>8170906.03</v>
      </c>
      <c r="K15" s="84">
        <f t="shared" si="2"/>
        <v>99.99997589007245</v>
      </c>
      <c r="L15" s="21">
        <v>12460419</v>
      </c>
      <c r="M15" s="21">
        <v>12460416.63</v>
      </c>
      <c r="N15" s="27">
        <f t="shared" si="3"/>
        <v>99.99998097977284</v>
      </c>
      <c r="O15" s="27">
        <f t="shared" si="4"/>
        <v>99.99995240051321</v>
      </c>
      <c r="P15" s="27">
        <f t="shared" si="5"/>
        <v>99.99995240051321</v>
      </c>
      <c r="Q15" s="27">
        <f t="shared" si="6"/>
        <v>0.9999993019270205</v>
      </c>
      <c r="R15" s="27">
        <f t="shared" si="7"/>
        <v>0.9999993019270205</v>
      </c>
    </row>
    <row r="16" spans="1:18" ht="15">
      <c r="A16" s="96">
        <v>6</v>
      </c>
      <c r="B16" s="92" t="s">
        <v>211</v>
      </c>
      <c r="C16" s="95">
        <v>270000</v>
      </c>
      <c r="D16" s="21">
        <v>967857.05</v>
      </c>
      <c r="E16" s="84">
        <f t="shared" si="0"/>
        <v>358.4655740740741</v>
      </c>
      <c r="F16" s="21">
        <v>4292990</v>
      </c>
      <c r="G16" s="21">
        <v>5429379.95</v>
      </c>
      <c r="H16" s="84">
        <f t="shared" si="1"/>
        <v>126.47082685960136</v>
      </c>
      <c r="I16" s="21">
        <v>6630590</v>
      </c>
      <c r="J16" s="21">
        <v>7823306.7</v>
      </c>
      <c r="K16" s="84">
        <f t="shared" si="2"/>
        <v>117.98809306562464</v>
      </c>
      <c r="L16" s="21">
        <v>9667981.72</v>
      </c>
      <c r="M16" s="21">
        <v>9765683.56</v>
      </c>
      <c r="N16" s="27">
        <f t="shared" si="3"/>
        <v>101.01057121154756</v>
      </c>
      <c r="O16" s="27">
        <f t="shared" si="4"/>
        <v>175.9837663027119</v>
      </c>
      <c r="P16" s="27">
        <f t="shared" si="5"/>
        <v>100</v>
      </c>
      <c r="Q16" s="27">
        <f t="shared" si="6"/>
        <v>1</v>
      </c>
      <c r="R16" s="27">
        <f t="shared" si="7"/>
        <v>1</v>
      </c>
    </row>
    <row r="17" spans="1:18" ht="15">
      <c r="A17" s="96">
        <v>7</v>
      </c>
      <c r="B17" s="92" t="s">
        <v>212</v>
      </c>
      <c r="C17" s="95">
        <v>2096300</v>
      </c>
      <c r="D17" s="21">
        <v>40856.86</v>
      </c>
      <c r="E17" s="84">
        <f t="shared" si="0"/>
        <v>1.9489987120164098</v>
      </c>
      <c r="F17" s="21">
        <v>2085300</v>
      </c>
      <c r="G17" s="21">
        <v>99073.25</v>
      </c>
      <c r="H17" s="84">
        <f t="shared" si="1"/>
        <v>4.751031026710785</v>
      </c>
      <c r="I17" s="21">
        <v>2477300</v>
      </c>
      <c r="J17" s="21">
        <v>510073.49</v>
      </c>
      <c r="K17" s="84">
        <f t="shared" si="2"/>
        <v>20.589895854357565</v>
      </c>
      <c r="L17" s="21">
        <v>1882260</v>
      </c>
      <c r="M17" s="21">
        <v>1881547.81</v>
      </c>
      <c r="N17" s="27">
        <f t="shared" si="3"/>
        <v>99.96216303805001</v>
      </c>
      <c r="O17" s="27">
        <f t="shared" si="4"/>
        <v>31.813022157783692</v>
      </c>
      <c r="P17" s="27">
        <f t="shared" si="5"/>
        <v>31.813022157783692</v>
      </c>
      <c r="Q17" s="27">
        <f t="shared" si="6"/>
        <v>0</v>
      </c>
      <c r="R17" s="27">
        <f t="shared" si="7"/>
        <v>0</v>
      </c>
    </row>
    <row r="18" spans="1:18" ht="15">
      <c r="A18" s="96">
        <v>8</v>
      </c>
      <c r="B18" s="92" t="s">
        <v>213</v>
      </c>
      <c r="C18" s="95">
        <v>3716100</v>
      </c>
      <c r="D18" s="21">
        <v>1341559.64</v>
      </c>
      <c r="E18" s="84">
        <f t="shared" si="0"/>
        <v>36.101279298188956</v>
      </c>
      <c r="F18" s="21">
        <v>3740900</v>
      </c>
      <c r="G18" s="21">
        <v>2532087.35</v>
      </c>
      <c r="H18" s="84">
        <f t="shared" si="1"/>
        <v>67.68658210591035</v>
      </c>
      <c r="I18" s="21">
        <v>8997305</v>
      </c>
      <c r="J18" s="21">
        <v>7328705.01</v>
      </c>
      <c r="K18" s="84">
        <f t="shared" si="2"/>
        <v>81.4544467482207</v>
      </c>
      <c r="L18" s="21">
        <v>8635411.15</v>
      </c>
      <c r="M18" s="21">
        <v>10912302.02</v>
      </c>
      <c r="N18" s="27">
        <f t="shared" si="3"/>
        <v>126.3669074980871</v>
      </c>
      <c r="O18" s="27">
        <f t="shared" si="4"/>
        <v>77.90230391260178</v>
      </c>
      <c r="P18" s="27">
        <f t="shared" si="5"/>
        <v>77.90230391260178</v>
      </c>
      <c r="Q18" s="27">
        <f t="shared" si="6"/>
        <v>0.6759249817680442</v>
      </c>
      <c r="R18" s="27">
        <f t="shared" si="7"/>
        <v>0.6759249817680442</v>
      </c>
    </row>
    <row r="19" spans="1:18" ht="15">
      <c r="A19" s="96">
        <v>9</v>
      </c>
      <c r="B19" s="92" t="s">
        <v>214</v>
      </c>
      <c r="C19" s="95">
        <v>5830200</v>
      </c>
      <c r="D19" s="21">
        <v>183359</v>
      </c>
      <c r="E19" s="84">
        <f t="shared" si="0"/>
        <v>3.144986449864499</v>
      </c>
      <c r="F19" s="21">
        <v>5830200</v>
      </c>
      <c r="G19" s="21">
        <v>1672109.16</v>
      </c>
      <c r="H19" s="84">
        <f t="shared" si="1"/>
        <v>28.680133786147987</v>
      </c>
      <c r="I19" s="21">
        <v>26857833.5</v>
      </c>
      <c r="J19" s="21">
        <v>22993634.96</v>
      </c>
      <c r="K19" s="84">
        <f t="shared" si="2"/>
        <v>85.61239669610731</v>
      </c>
      <c r="L19" s="21">
        <v>23608242.5</v>
      </c>
      <c r="M19" s="21">
        <v>23608717.5</v>
      </c>
      <c r="N19" s="27">
        <f t="shared" si="3"/>
        <v>100.00201200915315</v>
      </c>
      <c r="O19" s="27">
        <f t="shared" si="4"/>
        <v>54.35988223531824</v>
      </c>
      <c r="P19" s="27">
        <f t="shared" si="5"/>
        <v>54.35988223531824</v>
      </c>
      <c r="Q19" s="27">
        <f t="shared" si="6"/>
        <v>0.33066225826443957</v>
      </c>
      <c r="R19" s="27">
        <f t="shared" si="7"/>
        <v>0.33066225826443957</v>
      </c>
    </row>
    <row r="20" spans="1:18" ht="15">
      <c r="A20" s="96">
        <v>10</v>
      </c>
      <c r="B20" s="92" t="s">
        <v>215</v>
      </c>
      <c r="C20" s="95">
        <v>4500000</v>
      </c>
      <c r="D20" s="21">
        <v>282993.8</v>
      </c>
      <c r="E20" s="84">
        <f t="shared" si="0"/>
        <v>6.288751111111111</v>
      </c>
      <c r="F20" s="21">
        <v>4578000</v>
      </c>
      <c r="G20" s="21">
        <v>585220.84</v>
      </c>
      <c r="H20" s="84">
        <f t="shared" si="1"/>
        <v>12.78332983835736</v>
      </c>
      <c r="I20" s="21">
        <v>7570000</v>
      </c>
      <c r="J20" s="21">
        <v>2459957.08</v>
      </c>
      <c r="K20" s="84">
        <f t="shared" si="2"/>
        <v>32.496130515191545</v>
      </c>
      <c r="L20" s="21">
        <v>11225000</v>
      </c>
      <c r="M20" s="21">
        <v>11242040.18</v>
      </c>
      <c r="N20" s="27">
        <f t="shared" si="3"/>
        <v>100.15180561247217</v>
      </c>
      <c r="O20" s="27">
        <f t="shared" si="4"/>
        <v>37.930004269283046</v>
      </c>
      <c r="P20" s="27">
        <f t="shared" si="5"/>
        <v>37.930004269283046</v>
      </c>
      <c r="Q20" s="27">
        <f t="shared" si="6"/>
        <v>0.08970894890889523</v>
      </c>
      <c r="R20" s="27">
        <f t="shared" si="7"/>
        <v>0.08970894890889523</v>
      </c>
    </row>
    <row r="21" spans="1:18" ht="15">
      <c r="A21" s="96">
        <v>11</v>
      </c>
      <c r="B21" s="92" t="s">
        <v>216</v>
      </c>
      <c r="C21" s="95">
        <v>5787500</v>
      </c>
      <c r="D21" s="21">
        <v>6183719</v>
      </c>
      <c r="E21" s="84">
        <f t="shared" si="0"/>
        <v>106.84611663066954</v>
      </c>
      <c r="F21" s="21">
        <v>16375693</v>
      </c>
      <c r="G21" s="21">
        <v>20220099.01</v>
      </c>
      <c r="H21" s="84">
        <f t="shared" si="1"/>
        <v>123.47629507954261</v>
      </c>
      <c r="I21" s="21">
        <v>21778488.02</v>
      </c>
      <c r="J21" s="21">
        <v>21776278.19</v>
      </c>
      <c r="K21" s="84">
        <f t="shared" si="2"/>
        <v>99.98985315234938</v>
      </c>
      <c r="L21" s="21">
        <v>28075632.28</v>
      </c>
      <c r="M21" s="21">
        <v>28132678.99</v>
      </c>
      <c r="N21" s="27">
        <f t="shared" si="3"/>
        <v>100.20318940435986</v>
      </c>
      <c r="O21" s="27">
        <f t="shared" si="4"/>
        <v>107.62886356673035</v>
      </c>
      <c r="P21" s="27">
        <f t="shared" si="5"/>
        <v>100</v>
      </c>
      <c r="Q21" s="27">
        <f t="shared" si="6"/>
        <v>1</v>
      </c>
      <c r="R21" s="27">
        <f t="shared" si="7"/>
        <v>1</v>
      </c>
    </row>
    <row r="22" spans="1:18" ht="15">
      <c r="A22" s="96">
        <v>12</v>
      </c>
      <c r="B22" s="92" t="s">
        <v>217</v>
      </c>
      <c r="C22" s="95">
        <v>835000</v>
      </c>
      <c r="D22" s="21">
        <v>121950.23</v>
      </c>
      <c r="E22" s="84">
        <f t="shared" si="0"/>
        <v>14.604817964071856</v>
      </c>
      <c r="F22" s="21">
        <v>1757420</v>
      </c>
      <c r="G22" s="21">
        <v>497892.16</v>
      </c>
      <c r="H22" s="84">
        <f t="shared" si="1"/>
        <v>28.330857734633724</v>
      </c>
      <c r="I22" s="21">
        <v>2268612.44</v>
      </c>
      <c r="J22" s="21">
        <v>940523.45</v>
      </c>
      <c r="K22" s="84">
        <f t="shared" si="2"/>
        <v>41.458092771456364</v>
      </c>
      <c r="L22" s="21">
        <v>1396483.41</v>
      </c>
      <c r="M22" s="21">
        <v>1396483.41</v>
      </c>
      <c r="N22" s="27">
        <f t="shared" si="3"/>
        <v>100</v>
      </c>
      <c r="O22" s="27">
        <f t="shared" si="4"/>
        <v>46.098442117540486</v>
      </c>
      <c r="P22" s="27">
        <f t="shared" si="5"/>
        <v>46.098442117540486</v>
      </c>
      <c r="Q22" s="27">
        <f t="shared" si="6"/>
        <v>0.20950363855123558</v>
      </c>
      <c r="R22" s="27">
        <f t="shared" si="7"/>
        <v>0.20950363855123558</v>
      </c>
    </row>
    <row r="23" spans="1:18" ht="15">
      <c r="A23" s="96">
        <v>13</v>
      </c>
      <c r="B23" s="92" t="s">
        <v>218</v>
      </c>
      <c r="C23" s="95">
        <v>3291000</v>
      </c>
      <c r="D23" s="21">
        <v>125374.2</v>
      </c>
      <c r="E23" s="84">
        <f t="shared" si="0"/>
        <v>3.8096080218778487</v>
      </c>
      <c r="F23" s="21">
        <v>82000</v>
      </c>
      <c r="G23" s="21">
        <v>195597.96</v>
      </c>
      <c r="H23" s="84">
        <f t="shared" si="1"/>
        <v>238.5340975609756</v>
      </c>
      <c r="I23" s="21">
        <v>4549177</v>
      </c>
      <c r="J23" s="21">
        <v>984650.86</v>
      </c>
      <c r="K23" s="84">
        <f t="shared" si="2"/>
        <v>21.644593296765546</v>
      </c>
      <c r="L23" s="21">
        <v>2011346</v>
      </c>
      <c r="M23" s="21">
        <v>2011028.34</v>
      </c>
      <c r="N23" s="27">
        <f t="shared" si="3"/>
        <v>99.98420659598101</v>
      </c>
      <c r="O23" s="27">
        <f t="shared" si="4"/>
        <v>90.9931263689</v>
      </c>
      <c r="P23" s="27">
        <f t="shared" si="5"/>
        <v>90.9931263689</v>
      </c>
      <c r="Q23" s="27">
        <f t="shared" si="6"/>
        <v>0.8679091827189969</v>
      </c>
      <c r="R23" s="27">
        <f t="shared" si="7"/>
        <v>0.8679091827189969</v>
      </c>
    </row>
    <row r="24" spans="1:2" ht="15">
      <c r="A24" s="94" t="s">
        <v>40</v>
      </c>
      <c r="B24" s="94"/>
    </row>
    <row r="25" ht="15">
      <c r="P25" s="40"/>
    </row>
    <row r="26" spans="3:15" ht="15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</sheetData>
  <sheetProtection/>
  <mergeCells count="12">
    <mergeCell ref="C7:O7"/>
    <mergeCell ref="A7:B9"/>
    <mergeCell ref="A10:B10"/>
    <mergeCell ref="B1:R1"/>
    <mergeCell ref="P7:P9"/>
    <mergeCell ref="Q7:Q9"/>
    <mergeCell ref="R7:R9"/>
    <mergeCell ref="C8:E8"/>
    <mergeCell ref="I8:K8"/>
    <mergeCell ref="F8:H8"/>
    <mergeCell ref="L8:N8"/>
    <mergeCell ref="O8:O9"/>
  </mergeCells>
  <printOptions horizontalCentered="1" verticalCentered="1"/>
  <pageMargins left="0.23" right="0.15748031496062992" top="0.17" bottom="0.31496062992125984" header="0.17" footer="0.31496062992125984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3"/>
  <sheetViews>
    <sheetView view="pageBreakPreview" zoomScaleSheetLayoutView="100" zoomScalePageLayoutView="0" workbookViewId="0" topLeftCell="A1">
      <selection activeCell="E10" sqref="E10:E22"/>
    </sheetView>
  </sheetViews>
  <sheetFormatPr defaultColWidth="9.140625" defaultRowHeight="15"/>
  <cols>
    <col min="1" max="1" width="3.7109375" style="26" customWidth="1"/>
    <col min="2" max="2" width="24.7109375" style="26" customWidth="1"/>
    <col min="3" max="3" width="17.28125" style="26" customWidth="1"/>
    <col min="4" max="4" width="20.57421875" style="26" customWidth="1"/>
    <col min="5" max="5" width="19.28125" style="26" customWidth="1"/>
    <col min="6" max="6" width="9.8515625" style="41" customWidth="1"/>
    <col min="7" max="7" width="6.57421875" style="41" customWidth="1"/>
    <col min="8" max="8" width="12.57421875" style="41" customWidth="1"/>
    <col min="9" max="16384" width="9.140625" style="26" customWidth="1"/>
  </cols>
  <sheetData>
    <row r="1" spans="2:8" ht="15">
      <c r="B1" s="112" t="s">
        <v>192</v>
      </c>
      <c r="C1" s="120"/>
      <c r="D1" s="120"/>
      <c r="E1" s="120"/>
      <c r="F1" s="120"/>
      <c r="G1" s="120"/>
      <c r="H1" s="120"/>
    </row>
    <row r="3" spans="2:5" ht="15">
      <c r="B3" s="37" t="s">
        <v>164</v>
      </c>
      <c r="C3" s="61">
        <f>MAX($F$10:$F$22)</f>
        <v>0.09419961672056311</v>
      </c>
      <c r="D3" s="51"/>
      <c r="E3" s="51"/>
    </row>
    <row r="4" spans="2:5" ht="15">
      <c r="B4" s="35" t="s">
        <v>165</v>
      </c>
      <c r="C4" s="89">
        <f>MIN($F$10:$F$22)</f>
        <v>0.044390767376204475</v>
      </c>
      <c r="D4" s="52"/>
      <c r="E4" s="52"/>
    </row>
    <row r="5" spans="2:5" ht="15">
      <c r="B5" s="33" t="s">
        <v>166</v>
      </c>
      <c r="C5" s="32" t="s">
        <v>41</v>
      </c>
      <c r="D5" s="39"/>
      <c r="E5" s="39"/>
    </row>
    <row r="7" spans="1:8" s="31" customFormat="1" ht="33" customHeight="1">
      <c r="A7" s="110" t="s">
        <v>39</v>
      </c>
      <c r="B7" s="110"/>
      <c r="C7" s="110" t="s">
        <v>169</v>
      </c>
      <c r="D7" s="110"/>
      <c r="E7" s="110" t="s">
        <v>168</v>
      </c>
      <c r="F7" s="117" t="s">
        <v>171</v>
      </c>
      <c r="G7" s="117" t="s">
        <v>172</v>
      </c>
      <c r="H7" s="117" t="s">
        <v>173</v>
      </c>
    </row>
    <row r="8" spans="1:8" s="31" customFormat="1" ht="64.5" customHeight="1">
      <c r="A8" s="110"/>
      <c r="B8" s="110"/>
      <c r="C8" s="23" t="s">
        <v>51</v>
      </c>
      <c r="D8" s="23" t="s">
        <v>167</v>
      </c>
      <c r="E8" s="110"/>
      <c r="F8" s="117"/>
      <c r="G8" s="117"/>
      <c r="H8" s="117"/>
    </row>
    <row r="9" spans="1:8" s="29" customFormat="1" ht="15">
      <c r="A9" s="117">
        <v>1</v>
      </c>
      <c r="B9" s="117"/>
      <c r="C9" s="30">
        <v>2</v>
      </c>
      <c r="D9" s="30">
        <v>3</v>
      </c>
      <c r="E9" s="30">
        <v>4</v>
      </c>
      <c r="F9" s="30" t="s">
        <v>170</v>
      </c>
      <c r="G9" s="30">
        <v>6</v>
      </c>
      <c r="H9" s="30">
        <v>7</v>
      </c>
    </row>
    <row r="10" spans="1:8" ht="15">
      <c r="A10" s="96">
        <v>1</v>
      </c>
      <c r="B10" s="92" t="s">
        <v>207</v>
      </c>
      <c r="C10" s="83">
        <v>605564784.21</v>
      </c>
      <c r="D10" s="83">
        <v>-48364188.13</v>
      </c>
      <c r="E10" s="97">
        <v>13470647200</v>
      </c>
      <c r="F10" s="98">
        <f>($C10-$D10)/$E10</f>
        <v>0.048544733050391226</v>
      </c>
      <c r="G10" s="42">
        <f>($F10-$C$4)/($C$3-$C$4)</f>
        <v>0.08339814568828681</v>
      </c>
      <c r="H10" s="42">
        <f>$G10*$C$5</f>
        <v>0.16679629137657362</v>
      </c>
    </row>
    <row r="11" spans="1:8" ht="15">
      <c r="A11" s="96">
        <v>2</v>
      </c>
      <c r="B11" s="92" t="s">
        <v>227</v>
      </c>
      <c r="C11" s="83">
        <v>235911136.35</v>
      </c>
      <c r="D11" s="83">
        <v>-16959276.38</v>
      </c>
      <c r="E11" s="97">
        <v>5696464100</v>
      </c>
      <c r="F11" s="98">
        <f aca="true" t="shared" si="0" ref="F11:F22">($C11-$D11)/$E11</f>
        <v>0.044390767376204475</v>
      </c>
      <c r="G11" s="42">
        <f aca="true" t="shared" si="1" ref="G11:G22">($F11-$C$4)/($C$3-$C$4)</f>
        <v>0</v>
      </c>
      <c r="H11" s="42">
        <f aca="true" t="shared" si="2" ref="H11:H22">$G11*$C$5</f>
        <v>0</v>
      </c>
    </row>
    <row r="12" spans="1:8" ht="15">
      <c r="A12" s="96">
        <v>3</v>
      </c>
      <c r="B12" s="92" t="s">
        <v>208</v>
      </c>
      <c r="C12" s="83">
        <v>141118296.55</v>
      </c>
      <c r="D12" s="83">
        <v>-8280654.96</v>
      </c>
      <c r="E12" s="97">
        <v>2605980500</v>
      </c>
      <c r="F12" s="98">
        <f t="shared" si="0"/>
        <v>0.05732926685752254</v>
      </c>
      <c r="G12" s="42">
        <f t="shared" si="1"/>
        <v>0.25976306723864295</v>
      </c>
      <c r="H12" s="42">
        <f t="shared" si="2"/>
        <v>0.5195261344772859</v>
      </c>
    </row>
    <row r="13" spans="1:8" ht="15">
      <c r="A13" s="96">
        <v>4</v>
      </c>
      <c r="B13" s="92" t="s">
        <v>209</v>
      </c>
      <c r="C13" s="83">
        <v>64635298.38</v>
      </c>
      <c r="D13" s="83">
        <v>-4594885.38</v>
      </c>
      <c r="E13" s="97">
        <v>899681500</v>
      </c>
      <c r="F13" s="98">
        <f t="shared" si="0"/>
        <v>0.07694965802898027</v>
      </c>
      <c r="G13" s="42">
        <f t="shared" si="1"/>
        <v>0.6536768281410504</v>
      </c>
      <c r="H13" s="42">
        <f t="shared" si="2"/>
        <v>1.3073536562821009</v>
      </c>
    </row>
    <row r="14" spans="1:8" ht="15">
      <c r="A14" s="96">
        <v>5</v>
      </c>
      <c r="B14" s="92" t="s">
        <v>210</v>
      </c>
      <c r="C14" s="83">
        <v>52784076.8</v>
      </c>
      <c r="D14" s="83">
        <v>-3853942.26</v>
      </c>
      <c r="E14" s="97">
        <v>812246400</v>
      </c>
      <c r="F14" s="98">
        <f t="shared" si="0"/>
        <v>0.06973009552273793</v>
      </c>
      <c r="G14" s="42">
        <f t="shared" si="1"/>
        <v>0.508731449934677</v>
      </c>
      <c r="H14" s="42">
        <f t="shared" si="2"/>
        <v>1.017462899869354</v>
      </c>
    </row>
    <row r="15" spans="1:8" ht="15">
      <c r="A15" s="96">
        <v>6</v>
      </c>
      <c r="B15" s="92" t="s">
        <v>211</v>
      </c>
      <c r="C15" s="83">
        <v>50810614.3</v>
      </c>
      <c r="D15" s="83">
        <v>-2613170.55</v>
      </c>
      <c r="E15" s="97">
        <v>770869800</v>
      </c>
      <c r="F15" s="98">
        <f t="shared" si="0"/>
        <v>0.0693032530915078</v>
      </c>
      <c r="G15" s="42">
        <f t="shared" si="1"/>
        <v>0.5001618395773063</v>
      </c>
      <c r="H15" s="42">
        <f t="shared" si="2"/>
        <v>1.0003236791546126</v>
      </c>
    </row>
    <row r="16" spans="1:8" ht="15">
      <c r="A16" s="96">
        <v>7</v>
      </c>
      <c r="B16" s="92" t="s">
        <v>212</v>
      </c>
      <c r="C16" s="83">
        <v>34934249.2</v>
      </c>
      <c r="D16" s="83">
        <v>-2105939.47</v>
      </c>
      <c r="E16" s="97">
        <v>513986700</v>
      </c>
      <c r="F16" s="98">
        <f t="shared" si="0"/>
        <v>0.07206448857528804</v>
      </c>
      <c r="G16" s="42">
        <f t="shared" si="1"/>
        <v>0.555598484272512</v>
      </c>
      <c r="H16" s="42">
        <f t="shared" si="2"/>
        <v>1.111196968545024</v>
      </c>
    </row>
    <row r="17" spans="1:8" ht="15">
      <c r="A17" s="96">
        <v>8</v>
      </c>
      <c r="B17" s="92" t="s">
        <v>213</v>
      </c>
      <c r="C17" s="83">
        <v>143255054.62</v>
      </c>
      <c r="D17" s="83">
        <v>-4319219.2</v>
      </c>
      <c r="E17" s="97">
        <v>2177931000</v>
      </c>
      <c r="F17" s="98">
        <f t="shared" si="0"/>
        <v>0.06775892983753846</v>
      </c>
      <c r="G17" s="42">
        <f t="shared" si="1"/>
        <v>0.46915684198556323</v>
      </c>
      <c r="H17" s="42">
        <f t="shared" si="2"/>
        <v>0.9383136839711265</v>
      </c>
    </row>
    <row r="18" spans="1:8" ht="15">
      <c r="A18" s="96">
        <v>9</v>
      </c>
      <c r="B18" s="92" t="s">
        <v>214</v>
      </c>
      <c r="C18" s="83">
        <v>84711568.53</v>
      </c>
      <c r="D18" s="83">
        <v>-5497227.23</v>
      </c>
      <c r="E18" s="97">
        <v>1181917700</v>
      </c>
      <c r="F18" s="98">
        <f t="shared" si="0"/>
        <v>0.07632409241354116</v>
      </c>
      <c r="G18" s="42">
        <f t="shared" si="1"/>
        <v>0.641117501361301</v>
      </c>
      <c r="H18" s="42">
        <f t="shared" si="2"/>
        <v>1.282235002722602</v>
      </c>
    </row>
    <row r="19" spans="1:8" ht="15">
      <c r="A19" s="96">
        <v>10</v>
      </c>
      <c r="B19" s="92" t="s">
        <v>215</v>
      </c>
      <c r="C19" s="83">
        <v>48892264.8</v>
      </c>
      <c r="D19" s="83">
        <v>-1650888.09</v>
      </c>
      <c r="E19" s="97">
        <v>536553700</v>
      </c>
      <c r="F19" s="98">
        <f t="shared" si="0"/>
        <v>0.09419961672056311</v>
      </c>
      <c r="G19" s="42">
        <f t="shared" si="1"/>
        <v>1</v>
      </c>
      <c r="H19" s="42">
        <f t="shared" si="2"/>
        <v>2</v>
      </c>
    </row>
    <row r="20" spans="1:8" ht="15">
      <c r="A20" s="96">
        <v>11</v>
      </c>
      <c r="B20" s="92" t="s">
        <v>216</v>
      </c>
      <c r="C20" s="83">
        <v>256262865.2</v>
      </c>
      <c r="D20" s="83">
        <v>-14894260.24</v>
      </c>
      <c r="E20" s="97">
        <v>3577040200</v>
      </c>
      <c r="F20" s="98">
        <f t="shared" si="0"/>
        <v>0.07580488624086472</v>
      </c>
      <c r="G20" s="42">
        <f t="shared" si="1"/>
        <v>0.630693526916783</v>
      </c>
      <c r="H20" s="42">
        <f t="shared" si="2"/>
        <v>1.261387053833566</v>
      </c>
    </row>
    <row r="21" spans="1:8" ht="15">
      <c r="A21" s="96">
        <v>12</v>
      </c>
      <c r="B21" s="92" t="s">
        <v>217</v>
      </c>
      <c r="C21" s="83">
        <v>37710747.42</v>
      </c>
      <c r="D21" s="83">
        <v>-2605484.51</v>
      </c>
      <c r="E21" s="97">
        <v>643763500</v>
      </c>
      <c r="F21" s="98">
        <f t="shared" si="0"/>
        <v>0.06262584307746556</v>
      </c>
      <c r="G21" s="42">
        <f t="shared" si="1"/>
        <v>0.3661011234206798</v>
      </c>
      <c r="H21" s="42">
        <f t="shared" si="2"/>
        <v>0.7322022468413596</v>
      </c>
    </row>
    <row r="22" spans="1:8" ht="15">
      <c r="A22" s="96">
        <v>13</v>
      </c>
      <c r="B22" s="92" t="s">
        <v>218</v>
      </c>
      <c r="C22" s="83">
        <v>37839509.05</v>
      </c>
      <c r="D22" s="83">
        <v>-2051364.92</v>
      </c>
      <c r="E22" s="97">
        <v>597975800</v>
      </c>
      <c r="F22" s="98">
        <f t="shared" si="0"/>
        <v>0.0667098467362726</v>
      </c>
      <c r="G22" s="42">
        <f t="shared" si="1"/>
        <v>0.44809465895834816</v>
      </c>
      <c r="H22" s="42">
        <f t="shared" si="2"/>
        <v>0.8961893179166963</v>
      </c>
    </row>
    <row r="23" spans="1:2" ht="15">
      <c r="A23" s="93" t="s">
        <v>40</v>
      </c>
      <c r="B23" s="93"/>
    </row>
  </sheetData>
  <sheetProtection/>
  <mergeCells count="8">
    <mergeCell ref="A7:B8"/>
    <mergeCell ref="A9:B9"/>
    <mergeCell ref="B1:H1"/>
    <mergeCell ref="C7:D7"/>
    <mergeCell ref="E7:E8"/>
    <mergeCell ref="F7:F8"/>
    <mergeCell ref="G7:G8"/>
    <mergeCell ref="H7:H8"/>
  </mergeCells>
  <printOptions horizontalCentered="1" verticalCentered="1"/>
  <pageMargins left="0.15748031496062992" right="0.2362204724409449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view="pageBreakPreview" zoomScale="90" zoomScaleSheetLayoutView="90" zoomScalePageLayoutView="0" workbookViewId="0" topLeftCell="A1">
      <selection activeCell="D20" sqref="D20"/>
    </sheetView>
  </sheetViews>
  <sheetFormatPr defaultColWidth="9.140625" defaultRowHeight="15"/>
  <cols>
    <col min="1" max="1" width="4.140625" style="0" customWidth="1"/>
    <col min="2" max="2" width="20.00390625" style="0" customWidth="1"/>
    <col min="3" max="3" width="17.28125" style="0" customWidth="1"/>
    <col min="4" max="4" width="17.140625" style="0" customWidth="1"/>
    <col min="5" max="5" width="15.28125" style="0" customWidth="1"/>
    <col min="6" max="7" width="12.7109375" style="0" customWidth="1"/>
  </cols>
  <sheetData>
    <row r="1" spans="1:7" ht="15">
      <c r="A1" s="26"/>
      <c r="B1" s="112" t="s">
        <v>256</v>
      </c>
      <c r="C1" s="112"/>
      <c r="D1" s="112"/>
      <c r="E1" s="112"/>
      <c r="F1" s="112"/>
      <c r="G1" s="112"/>
    </row>
    <row r="2" spans="1:7" ht="15">
      <c r="A2" s="26"/>
      <c r="B2" s="26"/>
      <c r="C2" s="26"/>
      <c r="D2" s="26"/>
      <c r="E2" s="26"/>
      <c r="F2" s="26"/>
      <c r="G2" s="26"/>
    </row>
    <row r="3" spans="1:7" ht="15">
      <c r="A3" s="26"/>
      <c r="B3" s="37" t="s">
        <v>257</v>
      </c>
      <c r="C3" s="36">
        <f>MAX($E$9:$E$21)</f>
        <v>15.952629745733194</v>
      </c>
      <c r="D3" s="43"/>
      <c r="E3" s="26"/>
      <c r="F3" s="26"/>
      <c r="G3" s="26"/>
    </row>
    <row r="4" spans="1:7" ht="15">
      <c r="A4" s="26"/>
      <c r="B4" s="35" t="s">
        <v>258</v>
      </c>
      <c r="C4" s="34">
        <f>MIN($E$9:$E$21)</f>
        <v>5.747336823223634</v>
      </c>
      <c r="D4" s="44"/>
      <c r="E4" s="26"/>
      <c r="F4" s="26"/>
      <c r="G4" s="26"/>
    </row>
    <row r="5" spans="1:7" ht="15">
      <c r="A5" s="26"/>
      <c r="B5" s="33" t="s">
        <v>259</v>
      </c>
      <c r="C5" s="32" t="s">
        <v>46</v>
      </c>
      <c r="D5" s="39"/>
      <c r="E5" s="26"/>
      <c r="F5" s="26"/>
      <c r="G5" s="26"/>
    </row>
    <row r="6" spans="1:7" ht="15">
      <c r="A6" s="26"/>
      <c r="B6" s="26"/>
      <c r="C6" s="26"/>
      <c r="D6" s="26"/>
      <c r="E6" s="26"/>
      <c r="F6" s="26"/>
      <c r="G6" s="26"/>
    </row>
    <row r="7" spans="1:7" ht="62.25">
      <c r="A7" s="114" t="s">
        <v>39</v>
      </c>
      <c r="B7" s="114"/>
      <c r="C7" s="23" t="s">
        <v>260</v>
      </c>
      <c r="D7" s="23" t="s">
        <v>239</v>
      </c>
      <c r="E7" s="30" t="s">
        <v>261</v>
      </c>
      <c r="F7" s="30" t="s">
        <v>262</v>
      </c>
      <c r="G7" s="30" t="s">
        <v>263</v>
      </c>
    </row>
    <row r="8" spans="1:7" ht="15">
      <c r="A8" s="115">
        <v>1</v>
      </c>
      <c r="B8" s="115"/>
      <c r="C8" s="103">
        <v>2</v>
      </c>
      <c r="D8" s="103">
        <v>3</v>
      </c>
      <c r="E8" s="103" t="s">
        <v>264</v>
      </c>
      <c r="F8" s="103">
        <v>5</v>
      </c>
      <c r="G8" s="103">
        <v>6</v>
      </c>
    </row>
    <row r="9" spans="1:7" ht="15">
      <c r="A9" s="96">
        <v>1</v>
      </c>
      <c r="B9" s="92" t="s">
        <v>207</v>
      </c>
      <c r="C9" s="53">
        <v>1458</v>
      </c>
      <c r="D9" s="53">
        <v>104279</v>
      </c>
      <c r="E9" s="42">
        <f aca="true" t="shared" si="0" ref="E9:E21">$C9/$D9*1000</f>
        <v>13.981722110875632</v>
      </c>
      <c r="F9" s="42">
        <f aca="true" t="shared" si="1" ref="F9:F21">($E9-$C$4)/($C$3-$C$4)</f>
        <v>0.8068739770800326</v>
      </c>
      <c r="G9" s="42">
        <f aca="true" t="shared" si="2" ref="G9:G21">$F9*$C$5</f>
        <v>0.8068739770800326</v>
      </c>
    </row>
    <row r="10" spans="1:7" ht="15">
      <c r="A10" s="96">
        <v>2</v>
      </c>
      <c r="B10" s="92" t="s">
        <v>227</v>
      </c>
      <c r="C10" s="53">
        <v>725</v>
      </c>
      <c r="D10" s="53">
        <v>47180</v>
      </c>
      <c r="E10" s="42">
        <f t="shared" si="0"/>
        <v>15.36668079694786</v>
      </c>
      <c r="F10" s="42">
        <f t="shared" si="1"/>
        <v>0.9425838186875634</v>
      </c>
      <c r="G10" s="42">
        <f t="shared" si="2"/>
        <v>0.9425838186875634</v>
      </c>
    </row>
    <row r="11" spans="1:7" ht="15">
      <c r="A11" s="96">
        <v>3</v>
      </c>
      <c r="B11" s="92" t="s">
        <v>208</v>
      </c>
      <c r="C11" s="53">
        <v>464</v>
      </c>
      <c r="D11" s="53">
        <v>39774</v>
      </c>
      <c r="E11" s="42">
        <f t="shared" si="0"/>
        <v>11.66591240508875</v>
      </c>
      <c r="F11" s="42">
        <f t="shared" si="1"/>
        <v>0.5799515630571135</v>
      </c>
      <c r="G11" s="42">
        <f t="shared" si="2"/>
        <v>0.5799515630571135</v>
      </c>
    </row>
    <row r="12" spans="1:7" ht="15">
      <c r="A12" s="96">
        <v>4</v>
      </c>
      <c r="B12" s="92" t="s">
        <v>209</v>
      </c>
      <c r="C12" s="53">
        <v>229</v>
      </c>
      <c r="D12" s="53">
        <v>14355</v>
      </c>
      <c r="E12" s="42">
        <f t="shared" si="0"/>
        <v>15.952629745733194</v>
      </c>
      <c r="F12" s="42">
        <f t="shared" si="1"/>
        <v>1</v>
      </c>
      <c r="G12" s="42">
        <f t="shared" si="2"/>
        <v>1</v>
      </c>
    </row>
    <row r="13" spans="1:7" ht="15">
      <c r="A13" s="96">
        <v>5</v>
      </c>
      <c r="B13" s="92" t="s">
        <v>210</v>
      </c>
      <c r="C13" s="53">
        <v>281</v>
      </c>
      <c r="D13" s="53">
        <v>18503</v>
      </c>
      <c r="E13" s="42">
        <f t="shared" si="0"/>
        <v>15.186726476787548</v>
      </c>
      <c r="F13" s="42">
        <f t="shared" si="1"/>
        <v>0.9249503885129733</v>
      </c>
      <c r="G13" s="42">
        <f t="shared" si="2"/>
        <v>0.9249503885129733</v>
      </c>
    </row>
    <row r="14" spans="1:7" ht="15">
      <c r="A14" s="96">
        <v>6</v>
      </c>
      <c r="B14" s="92" t="s">
        <v>211</v>
      </c>
      <c r="C14" s="53">
        <v>298</v>
      </c>
      <c r="D14" s="53">
        <v>23717</v>
      </c>
      <c r="E14" s="42">
        <f t="shared" si="0"/>
        <v>12.564826917401021</v>
      </c>
      <c r="F14" s="42">
        <f t="shared" si="1"/>
        <v>0.6680347292276363</v>
      </c>
      <c r="G14" s="42">
        <f t="shared" si="2"/>
        <v>0.6680347292276363</v>
      </c>
    </row>
    <row r="15" spans="1:7" ht="15">
      <c r="A15" s="96">
        <v>7</v>
      </c>
      <c r="B15" s="92" t="s">
        <v>212</v>
      </c>
      <c r="C15" s="53">
        <v>187</v>
      </c>
      <c r="D15" s="53">
        <v>12363</v>
      </c>
      <c r="E15" s="42">
        <f t="shared" si="0"/>
        <v>15.125778532718597</v>
      </c>
      <c r="F15" s="42">
        <f t="shared" si="1"/>
        <v>0.9189781989313769</v>
      </c>
      <c r="G15" s="42">
        <f t="shared" si="2"/>
        <v>0.9189781989313769</v>
      </c>
    </row>
    <row r="16" spans="1:9" ht="15">
      <c r="A16" s="96">
        <v>8</v>
      </c>
      <c r="B16" s="92" t="s">
        <v>213</v>
      </c>
      <c r="C16" s="53">
        <v>565</v>
      </c>
      <c r="D16" s="53">
        <v>44266</v>
      </c>
      <c r="E16" s="42">
        <f t="shared" si="0"/>
        <v>12.763746441964487</v>
      </c>
      <c r="F16" s="42">
        <f t="shared" si="1"/>
        <v>0.6875265288333795</v>
      </c>
      <c r="G16" s="42">
        <f t="shared" si="2"/>
        <v>0.6875265288333795</v>
      </c>
      <c r="I16" s="104"/>
    </row>
    <row r="17" spans="1:7" ht="15">
      <c r="A17" s="96">
        <v>9</v>
      </c>
      <c r="B17" s="92" t="s">
        <v>214</v>
      </c>
      <c r="C17" s="53">
        <v>218</v>
      </c>
      <c r="D17" s="53">
        <v>22081</v>
      </c>
      <c r="E17" s="42">
        <f t="shared" si="0"/>
        <v>9.87274127077578</v>
      </c>
      <c r="F17" s="42">
        <f t="shared" si="1"/>
        <v>0.4042416497867341</v>
      </c>
      <c r="G17" s="42">
        <f t="shared" si="2"/>
        <v>0.4042416497867341</v>
      </c>
    </row>
    <row r="18" spans="1:7" ht="15">
      <c r="A18" s="96">
        <v>10</v>
      </c>
      <c r="B18" s="92" t="s">
        <v>215</v>
      </c>
      <c r="C18" s="53">
        <v>157</v>
      </c>
      <c r="D18" s="53">
        <v>27317</v>
      </c>
      <c r="E18" s="42">
        <f t="shared" si="0"/>
        <v>5.747336823223634</v>
      </c>
      <c r="F18" s="42">
        <f t="shared" si="1"/>
        <v>0</v>
      </c>
      <c r="G18" s="42">
        <f t="shared" si="2"/>
        <v>0</v>
      </c>
    </row>
    <row r="19" spans="1:7" ht="15">
      <c r="A19" s="96">
        <v>11</v>
      </c>
      <c r="B19" s="92" t="s">
        <v>216</v>
      </c>
      <c r="C19" s="53">
        <v>499</v>
      </c>
      <c r="D19" s="53">
        <v>45193</v>
      </c>
      <c r="E19" s="42">
        <f t="shared" si="0"/>
        <v>11.041532980771358</v>
      </c>
      <c r="F19" s="42">
        <f t="shared" si="1"/>
        <v>0.5187696421599469</v>
      </c>
      <c r="G19" s="42">
        <f t="shared" si="2"/>
        <v>0.5187696421599469</v>
      </c>
    </row>
    <row r="20" spans="1:7" ht="15">
      <c r="A20" s="96">
        <v>12</v>
      </c>
      <c r="B20" s="92" t="s">
        <v>217</v>
      </c>
      <c r="C20" s="53">
        <v>192</v>
      </c>
      <c r="D20" s="53">
        <v>14755</v>
      </c>
      <c r="E20" s="42">
        <f t="shared" si="0"/>
        <v>13.01253812267028</v>
      </c>
      <c r="F20" s="42">
        <f t="shared" si="1"/>
        <v>0.7119052196357807</v>
      </c>
      <c r="G20" s="42">
        <f t="shared" si="2"/>
        <v>0.7119052196357807</v>
      </c>
    </row>
    <row r="21" spans="1:7" ht="15">
      <c r="A21" s="96">
        <v>13</v>
      </c>
      <c r="B21" s="92" t="s">
        <v>218</v>
      </c>
      <c r="C21" s="53">
        <v>231</v>
      </c>
      <c r="D21" s="53">
        <v>15278</v>
      </c>
      <c r="E21" s="42">
        <f t="shared" si="0"/>
        <v>15.119780075926169</v>
      </c>
      <c r="F21" s="42">
        <f t="shared" si="1"/>
        <v>0.9183904199388506</v>
      </c>
      <c r="G21" s="42">
        <f t="shared" si="2"/>
        <v>0.9183904199388506</v>
      </c>
    </row>
  </sheetData>
  <sheetProtection/>
  <mergeCells count="3">
    <mergeCell ref="B1:G1"/>
    <mergeCell ref="A7:B7"/>
    <mergeCell ref="A8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2"/>
  <sheetViews>
    <sheetView view="pageBreakPreview" zoomScaleSheetLayoutView="100" zoomScalePageLayoutView="0" workbookViewId="0" topLeftCell="A4">
      <selection activeCell="D24" sqref="D24"/>
    </sheetView>
  </sheetViews>
  <sheetFormatPr defaultColWidth="8.7109375" defaultRowHeight="15"/>
  <cols>
    <col min="1" max="1" width="3.8515625" style="26" customWidth="1"/>
    <col min="2" max="2" width="24.421875" style="26" customWidth="1"/>
    <col min="3" max="4" width="18.421875" style="26" customWidth="1"/>
    <col min="5" max="5" width="7.140625" style="26" customWidth="1"/>
    <col min="6" max="6" width="6.57421875" style="26" customWidth="1"/>
    <col min="7" max="7" width="9.00390625" style="26" bestFit="1" customWidth="1"/>
    <col min="8" max="9" width="8.57421875" style="26" customWidth="1"/>
    <col min="10" max="16384" width="8.7109375" style="26" customWidth="1"/>
  </cols>
  <sheetData>
    <row r="1" spans="2:7" ht="33.75" customHeight="1">
      <c r="B1" s="112" t="s">
        <v>129</v>
      </c>
      <c r="C1" s="112"/>
      <c r="D1" s="112"/>
      <c r="E1" s="112"/>
      <c r="F1" s="112"/>
      <c r="G1" s="112"/>
    </row>
    <row r="3" spans="2:3" ht="15">
      <c r="B3" s="37" t="s">
        <v>64</v>
      </c>
      <c r="C3" s="61">
        <f>MAX($E$9:$E$21)</f>
        <v>0.10279115677220582</v>
      </c>
    </row>
    <row r="4" spans="2:3" ht="15">
      <c r="B4" s="35" t="s">
        <v>65</v>
      </c>
      <c r="C4" s="60">
        <f>MIN($E$9:$E$21)</f>
        <v>0.0047053432679600255</v>
      </c>
    </row>
    <row r="5" spans="2:3" ht="15">
      <c r="B5" s="33" t="s">
        <v>66</v>
      </c>
      <c r="C5" s="32" t="s">
        <v>43</v>
      </c>
    </row>
    <row r="7" spans="1:7" s="31" customFormat="1" ht="62.25">
      <c r="A7" s="110" t="s">
        <v>39</v>
      </c>
      <c r="B7" s="110"/>
      <c r="C7" s="23" t="s">
        <v>240</v>
      </c>
      <c r="D7" s="23" t="s">
        <v>241</v>
      </c>
      <c r="E7" s="30" t="s">
        <v>67</v>
      </c>
      <c r="F7" s="30" t="s">
        <v>68</v>
      </c>
      <c r="G7" s="30" t="s">
        <v>69</v>
      </c>
    </row>
    <row r="8" spans="1:7" s="29" customFormat="1" ht="15">
      <c r="A8" s="117">
        <v>1</v>
      </c>
      <c r="B8" s="117"/>
      <c r="C8" s="30">
        <v>2</v>
      </c>
      <c r="D8" s="30">
        <v>3</v>
      </c>
      <c r="E8" s="30" t="s">
        <v>48</v>
      </c>
      <c r="F8" s="30">
        <v>5</v>
      </c>
      <c r="G8" s="30">
        <v>6</v>
      </c>
    </row>
    <row r="9" spans="1:8" ht="15">
      <c r="A9" s="96">
        <v>1</v>
      </c>
      <c r="B9" s="92" t="s">
        <v>207</v>
      </c>
      <c r="C9" s="78">
        <v>1906005712.75</v>
      </c>
      <c r="D9" s="78">
        <v>52233546.26010142</v>
      </c>
      <c r="E9" s="98">
        <f>$D9/$C9</f>
        <v>0.02740471652875502</v>
      </c>
      <c r="F9" s="42">
        <f>($E9-$C$4)/($C$3-$C$4)</f>
        <v>0.23142361213951107</v>
      </c>
      <c r="G9" s="42">
        <f>$F9*$C$5</f>
        <v>-0.46284722427902214</v>
      </c>
      <c r="H9" s="45"/>
    </row>
    <row r="10" spans="1:8" ht="15">
      <c r="A10" s="96">
        <v>2</v>
      </c>
      <c r="B10" s="92" t="s">
        <v>227</v>
      </c>
      <c r="C10" s="78">
        <v>676907929.96</v>
      </c>
      <c r="D10" s="78">
        <v>29429119.423109606</v>
      </c>
      <c r="E10" s="98">
        <f aca="true" t="shared" si="0" ref="E10:E21">$D10/$C10</f>
        <v>0.04347580833459676</v>
      </c>
      <c r="F10" s="42">
        <f aca="true" t="shared" si="1" ref="F10:F21">($E10-$C$4)/($C$3-$C$4)</f>
        <v>0.3952708723260831</v>
      </c>
      <c r="G10" s="42">
        <f aca="true" t="shared" si="2" ref="G10:G21">$F10*$C$5</f>
        <v>-0.7905417446521662</v>
      </c>
      <c r="H10" s="45"/>
    </row>
    <row r="11" spans="1:8" ht="15">
      <c r="A11" s="96">
        <v>3</v>
      </c>
      <c r="B11" s="92" t="s">
        <v>208</v>
      </c>
      <c r="C11" s="78">
        <v>685476874.73</v>
      </c>
      <c r="D11" s="78">
        <v>25693152.51278971</v>
      </c>
      <c r="E11" s="98">
        <f t="shared" si="0"/>
        <v>0.03748215798368091</v>
      </c>
      <c r="F11" s="42">
        <f t="shared" si="1"/>
        <v>0.33416468238092445</v>
      </c>
      <c r="G11" s="42">
        <f t="shared" si="2"/>
        <v>-0.6683293647618489</v>
      </c>
      <c r="H11" s="45"/>
    </row>
    <row r="12" spans="1:8" ht="15">
      <c r="A12" s="96">
        <v>4</v>
      </c>
      <c r="B12" s="92" t="s">
        <v>209</v>
      </c>
      <c r="C12" s="78">
        <v>237946649.37</v>
      </c>
      <c r="D12" s="78">
        <v>24458811.33881276</v>
      </c>
      <c r="E12" s="98">
        <f t="shared" si="0"/>
        <v>0.10279115677220582</v>
      </c>
      <c r="F12" s="42">
        <f t="shared" si="1"/>
        <v>1</v>
      </c>
      <c r="G12" s="42">
        <f t="shared" si="2"/>
        <v>-2</v>
      </c>
      <c r="H12" s="45"/>
    </row>
    <row r="13" spans="1:8" ht="15">
      <c r="A13" s="96">
        <v>5</v>
      </c>
      <c r="B13" s="92" t="s">
        <v>210</v>
      </c>
      <c r="C13" s="78">
        <v>472949233.4</v>
      </c>
      <c r="D13" s="78">
        <v>8789103.095442161</v>
      </c>
      <c r="E13" s="98">
        <f t="shared" si="0"/>
        <v>0.01858360786898394</v>
      </c>
      <c r="F13" s="42">
        <f t="shared" si="1"/>
        <v>0.14149104855436787</v>
      </c>
      <c r="G13" s="42">
        <f t="shared" si="2"/>
        <v>-0.28298209710873573</v>
      </c>
      <c r="H13" s="45"/>
    </row>
    <row r="14" spans="1:8" ht="15">
      <c r="A14" s="96">
        <v>6</v>
      </c>
      <c r="B14" s="92" t="s">
        <v>211</v>
      </c>
      <c r="C14" s="78">
        <v>556259118.75</v>
      </c>
      <c r="D14" s="78">
        <v>7555155.499070823</v>
      </c>
      <c r="E14" s="98">
        <f t="shared" si="0"/>
        <v>0.013582079366264453</v>
      </c>
      <c r="F14" s="42">
        <f t="shared" si="1"/>
        <v>0.09049969390242335</v>
      </c>
      <c r="G14" s="42">
        <f t="shared" si="2"/>
        <v>-0.1809993878048467</v>
      </c>
      <c r="H14" s="45"/>
    </row>
    <row r="15" spans="1:8" ht="15">
      <c r="A15" s="96">
        <v>7</v>
      </c>
      <c r="B15" s="92" t="s">
        <v>212</v>
      </c>
      <c r="C15" s="78">
        <v>257197019.55</v>
      </c>
      <c r="D15" s="78">
        <v>20702802.76348976</v>
      </c>
      <c r="E15" s="98">
        <f t="shared" si="0"/>
        <v>0.08049394506869495</v>
      </c>
      <c r="F15" s="42">
        <f t="shared" si="1"/>
        <v>0.7726764869769296</v>
      </c>
      <c r="G15" s="42">
        <f t="shared" si="2"/>
        <v>-1.5453529739538592</v>
      </c>
      <c r="H15" s="45"/>
    </row>
    <row r="16" spans="1:8" ht="15">
      <c r="A16" s="96">
        <v>8</v>
      </c>
      <c r="B16" s="92" t="s">
        <v>213</v>
      </c>
      <c r="C16" s="78">
        <v>749613718.33</v>
      </c>
      <c r="D16" s="78">
        <v>19712815.090972118</v>
      </c>
      <c r="E16" s="98">
        <f t="shared" si="0"/>
        <v>0.026297297673378503</v>
      </c>
      <c r="F16" s="42">
        <f t="shared" si="1"/>
        <v>0.22013330607166587</v>
      </c>
      <c r="G16" s="42">
        <f t="shared" si="2"/>
        <v>-0.44026661214333174</v>
      </c>
      <c r="H16" s="45"/>
    </row>
    <row r="17" spans="1:8" ht="15">
      <c r="A17" s="96">
        <v>9</v>
      </c>
      <c r="B17" s="92" t="s">
        <v>214</v>
      </c>
      <c r="C17" s="78">
        <v>417335355.01</v>
      </c>
      <c r="D17" s="78">
        <v>16894743.856572784</v>
      </c>
      <c r="E17" s="98">
        <f t="shared" si="0"/>
        <v>0.04048241696696883</v>
      </c>
      <c r="F17" s="42">
        <f t="shared" si="1"/>
        <v>0.36475278555405105</v>
      </c>
      <c r="G17" s="42">
        <f t="shared" si="2"/>
        <v>-0.7295055711081021</v>
      </c>
      <c r="H17" s="45"/>
    </row>
    <row r="18" spans="1:8" ht="15">
      <c r="A18" s="96">
        <v>10</v>
      </c>
      <c r="B18" s="92" t="s">
        <v>215</v>
      </c>
      <c r="C18" s="78">
        <v>465171905.33</v>
      </c>
      <c r="D18" s="78">
        <v>24466576.86183565</v>
      </c>
      <c r="E18" s="98">
        <f t="shared" si="0"/>
        <v>0.05259684985592303</v>
      </c>
      <c r="F18" s="42">
        <f t="shared" si="1"/>
        <v>0.4882612977042796</v>
      </c>
      <c r="G18" s="42">
        <f t="shared" si="2"/>
        <v>-0.9765225954085592</v>
      </c>
      <c r="H18" s="45"/>
    </row>
    <row r="19" spans="1:8" ht="15">
      <c r="A19" s="96">
        <v>11</v>
      </c>
      <c r="B19" s="92" t="s">
        <v>216</v>
      </c>
      <c r="C19" s="78">
        <v>996262749.92</v>
      </c>
      <c r="D19" s="78">
        <v>4687758.223455414</v>
      </c>
      <c r="E19" s="98">
        <f t="shared" si="0"/>
        <v>0.0047053432679600255</v>
      </c>
      <c r="F19" s="42">
        <f t="shared" si="1"/>
        <v>0</v>
      </c>
      <c r="G19" s="42">
        <f t="shared" si="2"/>
        <v>0</v>
      </c>
      <c r="H19" s="45"/>
    </row>
    <row r="20" spans="1:8" ht="15">
      <c r="A20" s="96">
        <v>12</v>
      </c>
      <c r="B20" s="92" t="s">
        <v>217</v>
      </c>
      <c r="C20" s="78">
        <v>272527663.05</v>
      </c>
      <c r="D20" s="78">
        <v>24832190.065078244</v>
      </c>
      <c r="E20" s="98">
        <f t="shared" si="0"/>
        <v>0.09111805307089996</v>
      </c>
      <c r="F20" s="42">
        <f t="shared" si="1"/>
        <v>0.8809909070000161</v>
      </c>
      <c r="G20" s="42">
        <f t="shared" si="2"/>
        <v>-1.7619818140000323</v>
      </c>
      <c r="H20" s="45"/>
    </row>
    <row r="21" spans="1:8" ht="15">
      <c r="A21" s="96">
        <v>13</v>
      </c>
      <c r="B21" s="92" t="s">
        <v>218</v>
      </c>
      <c r="C21" s="78">
        <v>271721866.19</v>
      </c>
      <c r="D21" s="78">
        <v>22925058.161297474</v>
      </c>
      <c r="E21" s="98">
        <f t="shared" si="0"/>
        <v>0.08436957423686783</v>
      </c>
      <c r="F21" s="42">
        <f t="shared" si="1"/>
        <v>0.8121891242249769</v>
      </c>
      <c r="G21" s="42">
        <f t="shared" si="2"/>
        <v>-1.6243782484499538</v>
      </c>
      <c r="H21" s="45"/>
    </row>
    <row r="22" spans="1:2" ht="15">
      <c r="A22" s="93" t="s">
        <v>40</v>
      </c>
      <c r="B22" s="93"/>
    </row>
  </sheetData>
  <sheetProtection/>
  <mergeCells count="3">
    <mergeCell ref="B1:G1"/>
    <mergeCell ref="A7:B7"/>
    <mergeCell ref="A8:B8"/>
  </mergeCells>
  <printOptions horizontalCentered="1" vertic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2018-05-22T07:46:15Z</dcterms:modified>
  <cp:category/>
  <cp:version/>
  <cp:contentType/>
  <cp:contentStatus/>
</cp:coreProperties>
</file>