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910" yWindow="5580" windowWidth="26265" windowHeight="1113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дотаций'!$A$1:$AB$50</definedName>
  </definedNames>
  <calcPr calcId="125725"/>
</workbook>
</file>

<file path=xl/calcChain.xml><?xml version="1.0" encoding="utf-8"?>
<calcChain xmlns="http://schemas.openxmlformats.org/spreadsheetml/2006/main">
  <c r="E7" i="8"/>
  <c r="H7" l="1"/>
  <c r="L9"/>
  <c r="L7"/>
  <c r="AB9" i="7"/>
  <c r="AA46"/>
  <c r="AA45"/>
  <c r="AA41"/>
  <c r="AA39"/>
  <c r="AA35"/>
  <c r="AA33"/>
  <c r="AA32"/>
  <c r="AA20"/>
  <c r="AA10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0"/>
  <c r="Z11"/>
  <c r="Z12"/>
  <c r="Z13"/>
  <c r="Z14"/>
  <c r="Z15"/>
  <c r="Z16"/>
  <c r="Z17"/>
  <c r="Z18"/>
  <c r="Z9"/>
  <c r="V9"/>
  <c r="Y47"/>
  <c r="X47"/>
  <c r="W47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20"/>
  <c r="V10"/>
  <c r="V11"/>
  <c r="V12"/>
  <c r="V13"/>
  <c r="V14"/>
  <c r="V15"/>
  <c r="V16"/>
  <c r="V17"/>
  <c r="V18"/>
  <c r="P46" l="1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0"/>
  <c r="P11"/>
  <c r="P12"/>
  <c r="P13"/>
  <c r="P14"/>
  <c r="P15"/>
  <c r="P16"/>
  <c r="P17"/>
  <c r="P18"/>
  <c r="P9"/>
  <c r="O10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1"/>
  <c r="O12"/>
  <c r="O13"/>
  <c r="O14"/>
  <c r="O15"/>
  <c r="O16"/>
  <c r="O17"/>
  <c r="O18"/>
  <c r="O9"/>
  <c r="N9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0"/>
  <c r="N11"/>
  <c r="N12"/>
  <c r="N13"/>
  <c r="N14"/>
  <c r="N15"/>
  <c r="N16"/>
  <c r="N17"/>
  <c r="N18"/>
  <c r="L46" l="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0"/>
  <c r="L11"/>
  <c r="L12"/>
  <c r="L13"/>
  <c r="L14"/>
  <c r="L15"/>
  <c r="L16"/>
  <c r="L17"/>
  <c r="L18"/>
  <c r="L9"/>
  <c r="J9"/>
  <c r="T19" l="1"/>
  <c r="T8"/>
  <c r="T47" l="1"/>
  <c r="U19" l="1"/>
  <c r="U8"/>
  <c r="U47" l="1"/>
  <c r="S19"/>
  <c r="S8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0"/>
  <c r="J11"/>
  <c r="J12"/>
  <c r="J13"/>
  <c r="J14"/>
  <c r="J15"/>
  <c r="J16"/>
  <c r="J17"/>
  <c r="J18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0"/>
  <c r="F11"/>
  <c r="F12"/>
  <c r="F13"/>
  <c r="F14"/>
  <c r="F15"/>
  <c r="F16"/>
  <c r="F17"/>
  <c r="F18"/>
  <c r="F9"/>
  <c r="E19"/>
  <c r="D19"/>
  <c r="E8"/>
  <c r="D8"/>
  <c r="E47" l="1"/>
  <c r="S47"/>
  <c r="D47"/>
  <c r="R19" l="1"/>
  <c r="R8"/>
  <c r="R47" l="1"/>
  <c r="I19" l="1"/>
  <c r="H19"/>
  <c r="J19" s="1"/>
  <c r="I8"/>
  <c r="H8"/>
  <c r="I43" i="8"/>
  <c r="J43" s="1"/>
  <c r="AB43" i="7"/>
  <c r="AB42"/>
  <c r="I39" i="8"/>
  <c r="J39" s="1"/>
  <c r="AB40" i="7"/>
  <c r="AB38"/>
  <c r="I35" i="8"/>
  <c r="J35" s="1"/>
  <c r="I34"/>
  <c r="J34" s="1"/>
  <c r="AB34" i="7"/>
  <c r="I31" i="8"/>
  <c r="J31" s="1"/>
  <c r="I30"/>
  <c r="J30" s="1"/>
  <c r="AB31" i="7"/>
  <c r="AB30"/>
  <c r="I27" i="8"/>
  <c r="J27" s="1"/>
  <c r="I26"/>
  <c r="J26" s="1"/>
  <c r="AB27" i="7"/>
  <c r="AB26"/>
  <c r="I23" i="8"/>
  <c r="J23" s="1"/>
  <c r="AB23" i="7"/>
  <c r="AB22"/>
  <c r="AB21"/>
  <c r="I18" i="8"/>
  <c r="J18" s="1"/>
  <c r="AB10" i="7"/>
  <c r="I9" i="8"/>
  <c r="J9" s="1"/>
  <c r="AB12" i="7"/>
  <c r="AB13"/>
  <c r="I13" i="8"/>
  <c r="J13" s="1"/>
  <c r="AB17" i="7"/>
  <c r="I7" i="8"/>
  <c r="J7" s="1"/>
  <c r="I38"/>
  <c r="J38" s="1"/>
  <c r="I22"/>
  <c r="J22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7"/>
  <c r="D7" s="1"/>
  <c r="I44"/>
  <c r="J44" s="1"/>
  <c r="F44"/>
  <c r="G44" s="1"/>
  <c r="I42"/>
  <c r="J42" s="1"/>
  <c r="I41"/>
  <c r="J41" s="1"/>
  <c r="F41"/>
  <c r="G41" s="1"/>
  <c r="I40"/>
  <c r="J40" s="1"/>
  <c r="I37"/>
  <c r="J37" s="1"/>
  <c r="F37"/>
  <c r="G37" s="1"/>
  <c r="I36"/>
  <c r="J36" s="1"/>
  <c r="F36"/>
  <c r="G36" s="1"/>
  <c r="F34"/>
  <c r="G34" s="1"/>
  <c r="I33"/>
  <c r="J33" s="1"/>
  <c r="I32"/>
  <c r="J32" s="1"/>
  <c r="I29"/>
  <c r="J29" s="1"/>
  <c r="I28"/>
  <c r="J28" s="1"/>
  <c r="I25"/>
  <c r="J25" s="1"/>
  <c r="F25"/>
  <c r="G25" s="1"/>
  <c r="I24"/>
  <c r="J24" s="1"/>
  <c r="F24"/>
  <c r="G24" s="1"/>
  <c r="I21"/>
  <c r="J21" s="1"/>
  <c r="I20"/>
  <c r="J20" s="1"/>
  <c r="I19"/>
  <c r="J19" s="1"/>
  <c r="I16"/>
  <c r="J16" s="1"/>
  <c r="I15"/>
  <c r="J15" s="1"/>
  <c r="F15"/>
  <c r="G15" s="1"/>
  <c r="I14"/>
  <c r="J14" s="1"/>
  <c r="I12"/>
  <c r="J12" s="1"/>
  <c r="I11"/>
  <c r="J11" s="1"/>
  <c r="F11"/>
  <c r="G11" s="1"/>
  <c r="I10"/>
  <c r="J10" s="1"/>
  <c r="I8"/>
  <c r="J8" s="1"/>
  <c r="F8"/>
  <c r="G8" s="1"/>
  <c r="AB16" i="7" l="1"/>
  <c r="AB28"/>
  <c r="AB29"/>
  <c r="AB15"/>
  <c r="H47"/>
  <c r="F27" i="8"/>
  <c r="G27" s="1"/>
  <c r="L27" s="1"/>
  <c r="F26"/>
  <c r="G26" s="1"/>
  <c r="F40"/>
  <c r="G40" s="1"/>
  <c r="F38"/>
  <c r="G38" s="1"/>
  <c r="L38" s="1"/>
  <c r="F32"/>
  <c r="G32" s="1"/>
  <c r="L32" s="1"/>
  <c r="F29"/>
  <c r="G29" s="1"/>
  <c r="L29" s="1"/>
  <c r="F28"/>
  <c r="G28" s="1"/>
  <c r="F21"/>
  <c r="G21" s="1"/>
  <c r="L21" s="1"/>
  <c r="F20"/>
  <c r="G20" s="1"/>
  <c r="L20" s="1"/>
  <c r="F14"/>
  <c r="G14" s="1"/>
  <c r="F13"/>
  <c r="G13" s="1"/>
  <c r="F10"/>
  <c r="G10" s="1"/>
  <c r="L10" s="1"/>
  <c r="F7"/>
  <c r="G7" s="1"/>
  <c r="F8" i="7"/>
  <c r="F33" i="8"/>
  <c r="G33" s="1"/>
  <c r="L33" s="1"/>
  <c r="AB35" i="7"/>
  <c r="F19" i="8"/>
  <c r="G19" s="1"/>
  <c r="L19" s="1"/>
  <c r="F22"/>
  <c r="G22" s="1"/>
  <c r="L22" s="1"/>
  <c r="AB24" i="7"/>
  <c r="F18" i="8"/>
  <c r="G18" s="1"/>
  <c r="L18" s="1"/>
  <c r="F19" i="7"/>
  <c r="F23" i="8"/>
  <c r="G23" s="1"/>
  <c r="L23" s="1"/>
  <c r="AB25" i="7"/>
  <c r="F31" i="8"/>
  <c r="G31" s="1"/>
  <c r="L31" s="1"/>
  <c r="F35"/>
  <c r="G35" s="1"/>
  <c r="L35" s="1"/>
  <c r="AB37" i="7"/>
  <c r="F39" i="8"/>
  <c r="G39" s="1"/>
  <c r="L39" s="1"/>
  <c r="F43"/>
  <c r="G43" s="1"/>
  <c r="F30"/>
  <c r="G30" s="1"/>
  <c r="L30" s="1"/>
  <c r="AB32" i="7"/>
  <c r="F42" i="8"/>
  <c r="G42" s="1"/>
  <c r="AB44" i="7"/>
  <c r="F16" i="8"/>
  <c r="G16" s="1"/>
  <c r="L16" s="1"/>
  <c r="AB18" i="7"/>
  <c r="F12" i="8"/>
  <c r="G12" s="1"/>
  <c r="L12" s="1"/>
  <c r="AB14" i="7"/>
  <c r="F9" i="8"/>
  <c r="G9" s="1"/>
  <c r="AB11" i="7"/>
  <c r="I47"/>
  <c r="J47" s="1"/>
  <c r="J8"/>
  <c r="L8" i="8"/>
  <c r="L25"/>
  <c r="L41"/>
  <c r="L24"/>
  <c r="L26"/>
  <c r="L28"/>
  <c r="L34"/>
  <c r="L36"/>
  <c r="L40"/>
  <c r="L42"/>
  <c r="L44"/>
  <c r="L37"/>
  <c r="L43"/>
  <c r="L14"/>
  <c r="L11"/>
  <c r="L13"/>
  <c r="L15"/>
  <c r="AB20" i="7" l="1"/>
  <c r="AB33"/>
  <c r="AB36"/>
  <c r="F47"/>
  <c r="AB39"/>
  <c r="AB46"/>
  <c r="AB45"/>
  <c r="Q19"/>
  <c r="Q8"/>
  <c r="P19" l="1"/>
  <c r="P8"/>
  <c r="AB41"/>
  <c r="Q47"/>
  <c r="M8"/>
  <c r="M19"/>
  <c r="Z19" l="1"/>
  <c r="Z8"/>
  <c r="AA19"/>
  <c r="AA8"/>
  <c r="B7" i="8"/>
  <c r="M47" i="7"/>
  <c r="N19"/>
  <c r="N8"/>
  <c r="Z47" l="1"/>
  <c r="AA47"/>
  <c r="K7" i="8"/>
  <c r="N47" i="7"/>
  <c r="B13" i="8"/>
  <c r="B9"/>
  <c r="B20"/>
  <c r="B24"/>
  <c r="B28"/>
  <c r="B32"/>
  <c r="B36"/>
  <c r="B40"/>
  <c r="B44"/>
  <c r="H32" l="1"/>
  <c r="E32"/>
  <c r="K32"/>
  <c r="E36"/>
  <c r="H36"/>
  <c r="K36"/>
  <c r="E20"/>
  <c r="K20"/>
  <c r="H20"/>
  <c r="K40"/>
  <c r="H40"/>
  <c r="E40"/>
  <c r="E24"/>
  <c r="K24"/>
  <c r="H24"/>
  <c r="E44"/>
  <c r="K44"/>
  <c r="H44"/>
  <c r="K28"/>
  <c r="E28"/>
  <c r="H28"/>
  <c r="K13"/>
  <c r="E13"/>
  <c r="H13"/>
  <c r="E9"/>
  <c r="H9"/>
  <c r="K9"/>
  <c r="B38"/>
  <c r="B29"/>
  <c r="B26"/>
  <c r="B34"/>
  <c r="B23"/>
  <c r="B37"/>
  <c r="B31"/>
  <c r="B39"/>
  <c r="B12"/>
  <c r="B15"/>
  <c r="B35"/>
  <c r="B41"/>
  <c r="B18"/>
  <c r="O19" i="7"/>
  <c r="O8"/>
  <c r="B43" i="8"/>
  <c r="B27"/>
  <c r="B10"/>
  <c r="B42"/>
  <c r="B30"/>
  <c r="B19"/>
  <c r="B11"/>
  <c r="B22"/>
  <c r="B33"/>
  <c r="B8"/>
  <c r="B14"/>
  <c r="B21"/>
  <c r="B16"/>
  <c r="B25"/>
  <c r="H22" l="1"/>
  <c r="E22"/>
  <c r="K22"/>
  <c r="K35"/>
  <c r="E35"/>
  <c r="H35"/>
  <c r="E33"/>
  <c r="H33"/>
  <c r="K33"/>
  <c r="H30"/>
  <c r="E30"/>
  <c r="K30"/>
  <c r="E43"/>
  <c r="H43"/>
  <c r="K43"/>
  <c r="K41"/>
  <c r="E41"/>
  <c r="H41"/>
  <c r="E39"/>
  <c r="H39"/>
  <c r="K39"/>
  <c r="H34"/>
  <c r="E34"/>
  <c r="K34"/>
  <c r="V19" i="7"/>
  <c r="E25" i="8"/>
  <c r="H25"/>
  <c r="K25"/>
  <c r="E19"/>
  <c r="H19"/>
  <c r="K19"/>
  <c r="K27"/>
  <c r="E27"/>
  <c r="H27"/>
  <c r="H18"/>
  <c r="K18"/>
  <c r="E18"/>
  <c r="K23"/>
  <c r="H23"/>
  <c r="E23"/>
  <c r="E38"/>
  <c r="H38"/>
  <c r="K38"/>
  <c r="H21"/>
  <c r="E21"/>
  <c r="K21"/>
  <c r="E42"/>
  <c r="H42"/>
  <c r="K42"/>
  <c r="E31"/>
  <c r="K31"/>
  <c r="H31"/>
  <c r="E26"/>
  <c r="K26"/>
  <c r="H26"/>
  <c r="H37"/>
  <c r="E37"/>
  <c r="K37"/>
  <c r="H29"/>
  <c r="E29"/>
  <c r="K29"/>
  <c r="K8"/>
  <c r="H8"/>
  <c r="E8"/>
  <c r="H12"/>
  <c r="K12"/>
  <c r="E12"/>
  <c r="H16"/>
  <c r="K16"/>
  <c r="E16"/>
  <c r="E14"/>
  <c r="H14"/>
  <c r="K14"/>
  <c r="H11"/>
  <c r="E11"/>
  <c r="K11"/>
  <c r="E10"/>
  <c r="K10"/>
  <c r="H10"/>
  <c r="K15"/>
  <c r="H15"/>
  <c r="E15"/>
  <c r="AB8" i="7"/>
  <c r="V8"/>
  <c r="V47" s="1"/>
  <c r="AB19"/>
  <c r="O47"/>
  <c r="L47" s="1"/>
  <c r="H17" i="8" l="1"/>
  <c r="H6"/>
  <c r="P47" i="7"/>
  <c r="AB47"/>
  <c r="H45" i="8" l="1"/>
  <c r="K6"/>
  <c r="B17"/>
  <c r="K17"/>
  <c r="B6"/>
  <c r="E6"/>
  <c r="E17"/>
  <c r="B45" l="1"/>
  <c r="E45"/>
  <c r="K45"/>
</calcChain>
</file>

<file path=xl/sharedStrings.xml><?xml version="1.0" encoding="utf-8"?>
<sst xmlns="http://schemas.openxmlformats.org/spreadsheetml/2006/main" count="144" uniqueCount="95">
  <si>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</si>
  <si>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</si>
  <si>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</si>
  <si>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</si>
  <si>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</si>
  <si>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</si>
  <si>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</si>
  <si>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</si>
  <si>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</si>
  <si>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</si>
  <si>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</si>
  <si>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</si>
  <si>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</si>
  <si>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</si>
  <si>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</si>
  <si>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</si>
  <si>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</si>
  <si>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</si>
  <si>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</si>
  <si>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</si>
  <si>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</si>
  <si>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</si>
  <si>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</si>
  <si>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</si>
  <si>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</si>
  <si>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</si>
  <si>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</si>
  <si>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</si>
  <si>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</si>
  <si>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</si>
  <si>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</si>
  <si>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</si>
  <si>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</si>
  <si>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</si>
  <si>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</si>
  <si>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</si>
  <si>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</si>
  <si>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</si>
  <si>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</si>
  <si>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</si>
  <si>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</si>
  <si>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</si>
  <si>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</si>
  <si>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</si>
  <si>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</si>
  <si>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</si>
  <si>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</si>
  <si>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</si>
  <si>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</si>
  <si>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</si>
  <si>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</si>
  <si>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</si>
  <si>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</si>
  <si>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</si>
  <si>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</si>
  <si>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</si>
  <si>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</si>
  <si>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</si>
  <si>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</si>
  <si>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6=5/4</t>
  </si>
  <si>
    <t>Объем алкогольной продукции, зафиксированный в единой государственной автоматизированной информационной системе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</si>
  <si>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</si>
  <si>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за январь</t>
  </si>
  <si>
    <t>за февраль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</si>
  <si>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</si>
  <si>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</si>
  <si>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</si>
  <si>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</si>
  <si>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Ранее предоставленные дотации в 2022 году, тыс. рублей</t>
  </si>
  <si>
    <t>МО у которых доля дотаций на выравнивание бюджетной обеспеченности в доходах бюджета (без учета субвенций) за 2021 год &gt; 15 %</t>
  </si>
  <si>
    <t>Размер ежемесячного удержания дотаций в связи с исполнением показателей за 2021 год, тыс. рублей</t>
  </si>
  <si>
    <t>за март</t>
  </si>
  <si>
    <t>Удержано дотаций в 2022 году в связи с исполнением показателей за 2021 год, тыс. рублей</t>
  </si>
  <si>
    <t>Соблюдение условий предоставления дотаций*:</t>
  </si>
  <si>
    <t>За 5 месяцев 2022 года</t>
  </si>
  <si>
    <t>Факторный анализ влияния отдельных показателей на итоговое распределение за 5 месяцев 2022 года</t>
  </si>
  <si>
    <t>за апрель</t>
  </si>
  <si>
    <t>10=8/9</t>
  </si>
  <si>
    <t>14=13/11мес.*5</t>
  </si>
  <si>
    <t>15=12*14</t>
  </si>
  <si>
    <t>16=15-14</t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</si>
  <si>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01.04.2022)</t>
    </r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</si>
  <si>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01.04.2022)</t>
    </r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</si>
  <si>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
</t>
    </r>
    <r>
      <rPr>
        <i/>
        <sz val="9"/>
        <rFont val="Arial Narrow"/>
        <family val="2"/>
        <charset val="204"/>
      </rPr>
      <t>(по состоянию на 01.06.2022)</t>
    </r>
  </si>
  <si>
    <t>Распределение дотаций за май за вычетом предоставлен-ных дотаций за январь-апрель, тыс. рублей</t>
  </si>
  <si>
    <t>22=15-(17+…+21)</t>
  </si>
  <si>
    <t>непривлечение кредитов кредитных организаций в мае 2022 года</t>
  </si>
  <si>
    <t>МО, муниципальный долг которых на 01.06.2022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</si>
  <si>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мае 2022 года (не применяется если объем долга на 01.06.2022 не превышает его объем по состоянию на начало 2022 года)</t>
  </si>
  <si>
    <t>Распределение дотаций за май с учетом выполнения условий предоставления дотаций, тыс. рублей</t>
  </si>
  <si>
    <t>Распределение дотаций за май с учетом удержания и выполнения условий предоставления дотаций, тыс. рублей</t>
  </si>
  <si>
    <t>28=26-27</t>
  </si>
  <si>
    <t xml:space="preserve"> + / -
(5)=(2)*(4)/(12)</t>
  </si>
  <si>
    <t xml:space="preserve"> + / -
(8)=(2)*(7)/(12)</t>
  </si>
  <si>
    <t xml:space="preserve"> + / -
(11)=(2)*(10)/(12)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</si>
</sst>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</numFmts>
  <fonts count="23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88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4" fontId="15" fillId="12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5" fontId="15" fillId="13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FF9999"/>
      <color rgb="FFFFFFCC"/>
      <color rgb="FF6699FF"/>
      <color rgb="FFCCCCFF"/>
      <color rgb="FF99CCFF"/>
      <color rgb="FFCCECFF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I52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35.42578125" style="1" customWidth="1"/>
    <col min="2" max="2" width="13.7109375" style="1" customWidth="1"/>
    <col min="3" max="3" width="10.140625" style="1" customWidth="1"/>
    <col min="4" max="5" width="11.85546875" style="1" customWidth="1"/>
    <col min="6" max="6" width="13.42578125" style="1" customWidth="1"/>
    <col min="7" max="7" width="6.42578125" style="1" customWidth="1"/>
    <col min="8" max="9" width="10.140625" style="1" customWidth="1"/>
    <col min="10" max="10" width="13.5703125" style="1" customWidth="1"/>
    <col min="11" max="11" width="6.28515625" style="1" customWidth="1"/>
    <col min="12" max="12" width="13" style="1" customWidth="1"/>
    <col min="13" max="13" width="11.42578125" style="1" customWidth="1"/>
    <col min="14" max="14" width="15.85546875" style="1" customWidth="1"/>
    <col min="15" max="15" width="13.5703125" style="1" customWidth="1"/>
    <col min="16" max="16" width="14.28515625" style="1" customWidth="1"/>
    <col min="17" max="20" width="12.28515625" style="1" customWidth="1"/>
    <col min="21" max="21" width="11.5703125" style="1" customWidth="1"/>
    <col min="22" max="22" width="16.5703125" style="1" customWidth="1"/>
    <col min="23" max="23" width="18.42578125" style="1" customWidth="1"/>
    <col min="24" max="24" width="18.85546875" style="1" customWidth="1"/>
    <col min="25" max="25" width="19.7109375" style="1" customWidth="1"/>
    <col min="26" max="26" width="13.5703125" style="1" customWidth="1"/>
    <col min="27" max="27" width="13" style="1" customWidth="1"/>
    <col min="28" max="28" width="13.42578125" style="1" customWidth="1"/>
    <col min="29" max="29" width="36.28515625" style="1" bestFit="1" customWidth="1"/>
    <col min="30" max="30" width="13.7109375" style="1" bestFit="1" customWidth="1"/>
    <col min="31" max="31" width="12.5703125" style="1" bestFit="1" customWidth="1"/>
    <col min="32" max="32" width="10.5703125" style="1" bestFit="1" customWidth="1"/>
    <col min="33" max="16384" width="9.140625" style="1"/>
  </cols>
  <sheetData>
    <row r="1" spans="1:35" ht="21.75" customHeight="1">
      <c r="B1" s="66" t="s">
        <v>53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35" ht="15.75">
      <c r="A2" s="35" t="s">
        <v>74</v>
      </c>
    </row>
    <row r="3" spans="1:35" ht="25.5" customHeight="1">
      <c r="A3" s="60" t="s">
        <v>15</v>
      </c>
      <c r="B3" s="64" t="s">
        <v>83</v>
      </c>
      <c r="C3" s="64"/>
      <c r="D3" s="65" t="s">
        <v>82</v>
      </c>
      <c r="E3" s="65"/>
      <c r="F3" s="65"/>
      <c r="G3" s="65"/>
      <c r="H3" s="65" t="s">
        <v>81</v>
      </c>
      <c r="I3" s="65"/>
      <c r="J3" s="65"/>
      <c r="K3" s="65"/>
      <c r="L3" s="62" t="s">
        <v>47</v>
      </c>
      <c r="M3" s="61" t="s">
        <v>64</v>
      </c>
      <c r="N3" s="60" t="s">
        <v>65</v>
      </c>
      <c r="O3" s="60" t="s">
        <v>66</v>
      </c>
      <c r="P3" s="60" t="s">
        <v>67</v>
      </c>
      <c r="Q3" s="74" t="s">
        <v>68</v>
      </c>
      <c r="R3" s="75"/>
      <c r="S3" s="75"/>
      <c r="T3" s="76"/>
      <c r="U3" s="71" t="s">
        <v>72</v>
      </c>
      <c r="V3" s="60" t="s">
        <v>84</v>
      </c>
      <c r="W3" s="69" t="s">
        <v>73</v>
      </c>
      <c r="X3" s="69"/>
      <c r="Y3" s="70"/>
      <c r="Z3" s="60" t="s">
        <v>89</v>
      </c>
      <c r="AA3" s="60" t="s">
        <v>70</v>
      </c>
      <c r="AB3" s="60" t="s">
        <v>90</v>
      </c>
    </row>
    <row r="4" spans="1:35" ht="36" customHeight="1">
      <c r="A4" s="60"/>
      <c r="B4" s="64"/>
      <c r="C4" s="64"/>
      <c r="D4" s="65"/>
      <c r="E4" s="65"/>
      <c r="F4" s="65"/>
      <c r="G4" s="65"/>
      <c r="H4" s="65"/>
      <c r="I4" s="65"/>
      <c r="J4" s="65"/>
      <c r="K4" s="65"/>
      <c r="L4" s="62"/>
      <c r="M4" s="61"/>
      <c r="N4" s="60"/>
      <c r="O4" s="60"/>
      <c r="P4" s="60"/>
      <c r="Q4" s="77"/>
      <c r="R4" s="78"/>
      <c r="S4" s="78"/>
      <c r="T4" s="79"/>
      <c r="U4" s="72"/>
      <c r="V4" s="60"/>
      <c r="W4" s="63" t="s">
        <v>86</v>
      </c>
      <c r="X4" s="63"/>
      <c r="Y4" s="63" t="s">
        <v>88</v>
      </c>
      <c r="Z4" s="60"/>
      <c r="AA4" s="60"/>
      <c r="AB4" s="60"/>
    </row>
    <row r="5" spans="1:35" ht="99" customHeight="1">
      <c r="A5" s="60"/>
      <c r="B5" s="64"/>
      <c r="C5" s="64"/>
      <c r="D5" s="65"/>
      <c r="E5" s="65"/>
      <c r="F5" s="65"/>
      <c r="G5" s="65"/>
      <c r="H5" s="65"/>
      <c r="I5" s="65"/>
      <c r="J5" s="65"/>
      <c r="K5" s="65"/>
      <c r="L5" s="62"/>
      <c r="M5" s="61"/>
      <c r="N5" s="60"/>
      <c r="O5" s="60"/>
      <c r="P5" s="60"/>
      <c r="Q5" s="60" t="s">
        <v>62</v>
      </c>
      <c r="R5" s="60" t="s">
        <v>63</v>
      </c>
      <c r="S5" s="60" t="s">
        <v>71</v>
      </c>
      <c r="T5" s="60" t="s">
        <v>76</v>
      </c>
      <c r="U5" s="72"/>
      <c r="V5" s="60"/>
      <c r="W5" s="63" t="s">
        <v>69</v>
      </c>
      <c r="X5" s="63" t="s">
        <v>87</v>
      </c>
      <c r="Y5" s="63"/>
      <c r="Z5" s="60"/>
      <c r="AA5" s="60"/>
      <c r="AB5" s="60"/>
    </row>
    <row r="6" spans="1:35" ht="45.75" customHeight="1">
      <c r="A6" s="60"/>
      <c r="B6" s="45" t="s">
        <v>48</v>
      </c>
      <c r="C6" s="45" t="s">
        <v>16</v>
      </c>
      <c r="D6" s="50" t="s">
        <v>56</v>
      </c>
      <c r="E6" s="50" t="s">
        <v>57</v>
      </c>
      <c r="F6" s="50" t="s">
        <v>58</v>
      </c>
      <c r="G6" s="50" t="s">
        <v>16</v>
      </c>
      <c r="H6" s="50" t="s">
        <v>56</v>
      </c>
      <c r="I6" s="50" t="s">
        <v>57</v>
      </c>
      <c r="J6" s="50" t="s">
        <v>58</v>
      </c>
      <c r="K6" s="50" t="s">
        <v>16</v>
      </c>
      <c r="L6" s="62"/>
      <c r="M6" s="61"/>
      <c r="N6" s="60"/>
      <c r="O6" s="60"/>
      <c r="P6" s="60"/>
      <c r="Q6" s="60"/>
      <c r="R6" s="60"/>
      <c r="S6" s="60"/>
      <c r="T6" s="60"/>
      <c r="U6" s="73"/>
      <c r="V6" s="60"/>
      <c r="W6" s="63"/>
      <c r="X6" s="63"/>
      <c r="Y6" s="63"/>
      <c r="Z6" s="60"/>
      <c r="AA6" s="60"/>
      <c r="AB6" s="60"/>
    </row>
    <row r="7" spans="1:35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59</v>
      </c>
      <c r="G7" s="13">
        <v>7</v>
      </c>
      <c r="H7" s="13">
        <v>8</v>
      </c>
      <c r="I7" s="13">
        <v>9</v>
      </c>
      <c r="J7" s="13" t="s">
        <v>77</v>
      </c>
      <c r="K7" s="13">
        <v>11</v>
      </c>
      <c r="L7" s="13">
        <v>12</v>
      </c>
      <c r="M7" s="13">
        <v>13</v>
      </c>
      <c r="N7" s="13" t="s">
        <v>78</v>
      </c>
      <c r="O7" s="13" t="s">
        <v>79</v>
      </c>
      <c r="P7" s="13" t="s">
        <v>80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56" t="s">
        <v>85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 t="s">
        <v>91</v>
      </c>
      <c r="AC7" s="1"/>
      <c r="AD7" s="1"/>
      <c r="AE7" s="1"/>
      <c r="AF7" s="1"/>
      <c r="AG7" s="1"/>
      <c r="AH7" s="1"/>
      <c r="AI7" s="1"/>
    </row>
    <row r="8" spans="1:35" s="3" customFormat="1" ht="32.85" customHeight="1">
      <c r="A8" s="20" t="s">
        <v>49</v>
      </c>
      <c r="B8" s="9"/>
      <c r="C8" s="9"/>
      <c r="D8" s="18">
        <f>SUM(D9:D18)</f>
        <v>395249</v>
      </c>
      <c r="E8" s="18">
        <f>SUM(E9:E18)</f>
        <v>427761.19999999995</v>
      </c>
      <c r="F8" s="51">
        <f>IF(E8/D8&gt;1.2,IF((E8/D8-1.2)*0.1+1.2&gt;1.3,1.3,(E8/D8-1.2)*0.1+1.2),E8/D8)</f>
        <v>1.0822575136179977</v>
      </c>
      <c r="G8" s="9"/>
      <c r="H8" s="18">
        <f>SUM(H9:H18)</f>
        <v>1821.3999999999999</v>
      </c>
      <c r="I8" s="18">
        <f>SUM(I9:I18)</f>
        <v>1225.8999999999999</v>
      </c>
      <c r="J8" s="51">
        <f>IF(H8/I8&gt;1.2,IF((H8/I8-1.2)*0.1+1.2&gt;1.3,1.3,(H8/I8-1.2)*0.1+1.2),H8/I8)</f>
        <v>1.2285765559996737</v>
      </c>
      <c r="K8" s="9"/>
      <c r="L8" s="10"/>
      <c r="M8" s="47">
        <f>SUM(M9:M18)</f>
        <v>2127375</v>
      </c>
      <c r="N8" s="18">
        <f>SUM(N9:N18)</f>
        <v>966988.79999999993</v>
      </c>
      <c r="O8" s="18">
        <f>SUM(O9:O18)</f>
        <v>1007856.7000000001</v>
      </c>
      <c r="P8" s="18">
        <f>SUM(P9:P18)</f>
        <v>40867.899999999994</v>
      </c>
      <c r="Q8" s="18">
        <f t="shared" ref="Q8" si="0">SUM(Q9:Q18)</f>
        <v>175259.5</v>
      </c>
      <c r="R8" s="18">
        <f>SUM(R9:R18)</f>
        <v>175259.7</v>
      </c>
      <c r="S8" s="18">
        <f>SUM(S9:S18)</f>
        <v>219413.6</v>
      </c>
      <c r="T8" s="18">
        <f>SUM(T9:T18)</f>
        <v>192693.90000000002</v>
      </c>
      <c r="U8" s="18">
        <f>SUM(U9:U18)</f>
        <v>43658.6</v>
      </c>
      <c r="V8" s="18">
        <f>SUM(V9:V18)</f>
        <v>201571.40000000002</v>
      </c>
      <c r="W8" s="18"/>
      <c r="X8" s="18"/>
      <c r="Y8" s="18"/>
      <c r="Z8" s="18">
        <f>SUM(Z9:Z18)</f>
        <v>201571.40000000002</v>
      </c>
      <c r="AA8" s="18">
        <f>SUM(AA9:AA18)</f>
        <v>19829.3</v>
      </c>
      <c r="AB8" s="18">
        <f>SUM(AB9:AB18)</f>
        <v>181742.10000000003</v>
      </c>
      <c r="AC8" s="1"/>
      <c r="AD8" s="1"/>
      <c r="AE8" s="1"/>
      <c r="AF8" s="1"/>
      <c r="AG8" s="1"/>
      <c r="AH8" s="1"/>
      <c r="AI8" s="1"/>
    </row>
    <row r="9" spans="1:35" s="2" customFormat="1" ht="16.5" customHeight="1">
      <c r="A9" s="5" t="s">
        <v>5</v>
      </c>
      <c r="B9" s="4">
        <v>1</v>
      </c>
      <c r="C9" s="4">
        <v>15</v>
      </c>
      <c r="D9" s="52">
        <v>211985</v>
      </c>
      <c r="E9" s="52">
        <v>225803.9</v>
      </c>
      <c r="F9" s="53">
        <f>IF(G9=0,0,IF(D9=0,1,IF(E9&lt;0,0,IF(E9/D9&gt;1.2,IF((E9/D9-1.2)*0.1+1.2&gt;1.3,1.3,(E9/D9-1.2)*0.1+1.2),E9/D9))))</f>
        <v>1.0651881029318111</v>
      </c>
      <c r="G9" s="4">
        <v>15</v>
      </c>
      <c r="H9" s="52">
        <v>602.79999999999995</v>
      </c>
      <c r="I9" s="52">
        <v>200.3</v>
      </c>
      <c r="J9" s="53">
        <f>IF(K9=0,0,IF(I9=0,1.3,IF(I9&lt;0,0,IF(H9/I9&gt;1.2,IF((H9/I9-1.2)*0.1+1.2&gt;1.3,1.3,(H9/I9-1.2)*0.1+1.2),H9/I9))))</f>
        <v>1.3</v>
      </c>
      <c r="K9" s="4">
        <v>15</v>
      </c>
      <c r="L9" s="24">
        <f>(B9*C9+F9*G9+J9*K9)/(C9+G9+K9)</f>
        <v>1.121729367643937</v>
      </c>
      <c r="M9" s="48">
        <v>370251</v>
      </c>
      <c r="N9" s="19">
        <f>ROUND(M9/11*5,1)</f>
        <v>168295.9</v>
      </c>
      <c r="O9" s="19">
        <f>ROUND(L9*N9,1)</f>
        <v>188782.5</v>
      </c>
      <c r="P9" s="19">
        <f>O9-N9</f>
        <v>20486.600000000006</v>
      </c>
      <c r="Q9" s="19">
        <v>33659.199999999997</v>
      </c>
      <c r="R9" s="19">
        <v>33659.199999999997</v>
      </c>
      <c r="S9" s="19">
        <v>45951</v>
      </c>
      <c r="T9" s="19">
        <v>37756.5</v>
      </c>
      <c r="U9" s="19"/>
      <c r="V9" s="19">
        <f>ROUND(O9-SUM(Q9:U9),1)</f>
        <v>37756.6</v>
      </c>
      <c r="W9" s="43"/>
      <c r="X9" s="43"/>
      <c r="Y9" s="44"/>
      <c r="Z9" s="19">
        <f>IF(OR(W9="+",X9="+",Y9="+"),0,V9)</f>
        <v>37756.6</v>
      </c>
      <c r="AA9" s="43"/>
      <c r="AB9" s="19">
        <f>ROUND(Z9-AA9,1)</f>
        <v>37756.6</v>
      </c>
      <c r="AC9" s="1"/>
      <c r="AD9" s="1"/>
      <c r="AE9" s="1"/>
      <c r="AF9" s="1"/>
      <c r="AG9" s="36"/>
      <c r="AH9" s="1"/>
      <c r="AI9" s="1"/>
    </row>
    <row r="10" spans="1:35" s="2" customFormat="1" ht="17.100000000000001" customHeight="1">
      <c r="A10" s="5" t="s">
        <v>6</v>
      </c>
      <c r="B10" s="4">
        <v>1</v>
      </c>
      <c r="C10" s="4">
        <v>15</v>
      </c>
      <c r="D10" s="52">
        <v>93942</v>
      </c>
      <c r="E10" s="52">
        <v>105404.7</v>
      </c>
      <c r="F10" s="53">
        <f t="shared" ref="F10:F45" si="1">IF(G10=0,0,IF(D10=0,1,IF(E10&lt;0,0,IF(E10/D10&gt;1.2,IF((E10/D10-1.2)*0.1+1.2&gt;1.3,1.3,(E10/D10-1.2)*0.1+1.2),E10/D10))))</f>
        <v>1.1220189052819824</v>
      </c>
      <c r="G10" s="4">
        <v>15</v>
      </c>
      <c r="H10" s="52">
        <v>184.7</v>
      </c>
      <c r="I10" s="52">
        <v>212.3</v>
      </c>
      <c r="J10" s="53">
        <f t="shared" ref="J10:J46" si="2">IF(K10=0,0,IF(I10=0,1.3,IF(I10&lt;0,0,IF(H10/I10&gt;1.2,IF((H10/I10-1.2)*0.1+1.2&gt;1.3,1.3,(H10/I10-1.2)*0.1+1.2),H10/I10))))</f>
        <v>0.86999528968440876</v>
      </c>
      <c r="K10" s="4">
        <v>15</v>
      </c>
      <c r="L10" s="24">
        <f t="shared" ref="L10:L46" si="3">(B10*C10+F10*G10+J10*K10)/(C10+G10+K10)</f>
        <v>0.99733806498879696</v>
      </c>
      <c r="M10" s="48">
        <v>872487</v>
      </c>
      <c r="N10" s="19">
        <f t="shared" ref="N10:N46" si="4">ROUND(M10/11*5,1)</f>
        <v>396585</v>
      </c>
      <c r="O10" s="19">
        <f>ROUND(L10*N10,1)</f>
        <v>395529.3</v>
      </c>
      <c r="P10" s="19">
        <f t="shared" ref="P10:P46" si="5">O10-N10</f>
        <v>-1055.7000000000116</v>
      </c>
      <c r="Q10" s="19">
        <v>71421</v>
      </c>
      <c r="R10" s="19">
        <v>71421</v>
      </c>
      <c r="S10" s="19">
        <v>74646.3</v>
      </c>
      <c r="T10" s="19">
        <v>59276.6</v>
      </c>
      <c r="U10" s="19">
        <v>39658.6</v>
      </c>
      <c r="V10" s="19">
        <f t="shared" ref="V10:V46" si="6">ROUND(O10-SUM(Q10:U10),1)</f>
        <v>79105.8</v>
      </c>
      <c r="W10" s="43"/>
      <c r="X10" s="43"/>
      <c r="Y10" s="44"/>
      <c r="Z10" s="19">
        <f t="shared" ref="Z10:Z45" si="7">IF(OR(W10="+",X10="+",Y10="+"),0,V10)</f>
        <v>79105.8</v>
      </c>
      <c r="AA10" s="43">
        <f>MIN(Z10,19829.3)</f>
        <v>19829.3</v>
      </c>
      <c r="AB10" s="19">
        <f t="shared" ref="AB10:AB46" si="8">ROUND(Z10-AA10,1)</f>
        <v>59276.5</v>
      </c>
      <c r="AC10" s="1"/>
      <c r="AD10" s="1"/>
      <c r="AE10" s="1"/>
      <c r="AF10" s="1"/>
      <c r="AG10" s="36"/>
      <c r="AH10" s="1"/>
      <c r="AI10" s="1"/>
    </row>
    <row r="11" spans="1:35" s="2" customFormat="1" ht="17.100000000000001" customHeight="1">
      <c r="A11" s="5" t="s">
        <v>7</v>
      </c>
      <c r="B11" s="4">
        <v>1</v>
      </c>
      <c r="C11" s="4">
        <v>15</v>
      </c>
      <c r="D11" s="52">
        <v>28666</v>
      </c>
      <c r="E11" s="52">
        <v>30611.3</v>
      </c>
      <c r="F11" s="53">
        <f t="shared" si="1"/>
        <v>1.0678608804855927</v>
      </c>
      <c r="G11" s="4">
        <v>15</v>
      </c>
      <c r="H11" s="52">
        <v>199.7</v>
      </c>
      <c r="I11" s="52">
        <v>223.4</v>
      </c>
      <c r="J11" s="53">
        <f t="shared" si="2"/>
        <v>0.89391226499552368</v>
      </c>
      <c r="K11" s="4">
        <v>15</v>
      </c>
      <c r="L11" s="24">
        <f t="shared" si="3"/>
        <v>0.98725771516037208</v>
      </c>
      <c r="M11" s="48">
        <v>250292</v>
      </c>
      <c r="N11" s="19">
        <f t="shared" si="4"/>
        <v>113769.1</v>
      </c>
      <c r="O11" s="19">
        <f t="shared" ref="O11:O46" si="9">ROUND(L11*N11,1)</f>
        <v>112319.4</v>
      </c>
      <c r="P11" s="19">
        <f t="shared" si="5"/>
        <v>-1449.7000000000116</v>
      </c>
      <c r="Q11" s="19">
        <v>20718</v>
      </c>
      <c r="R11" s="19">
        <v>20718</v>
      </c>
      <c r="S11" s="19">
        <v>25955.7</v>
      </c>
      <c r="T11" s="19">
        <v>22463.9</v>
      </c>
      <c r="U11" s="19"/>
      <c r="V11" s="19">
        <f t="shared" si="6"/>
        <v>22463.8</v>
      </c>
      <c r="W11" s="43"/>
      <c r="X11" s="43"/>
      <c r="Y11" s="44"/>
      <c r="Z11" s="19">
        <f t="shared" si="7"/>
        <v>22463.8</v>
      </c>
      <c r="AA11" s="43"/>
      <c r="AB11" s="19">
        <f t="shared" si="8"/>
        <v>22463.8</v>
      </c>
      <c r="AC11" s="1"/>
      <c r="AD11" s="1"/>
      <c r="AE11" s="1"/>
      <c r="AF11" s="1"/>
      <c r="AG11" s="36"/>
      <c r="AH11" s="1"/>
      <c r="AI11" s="1"/>
    </row>
    <row r="12" spans="1:35" s="2" customFormat="1" ht="17.100000000000001" customHeight="1">
      <c r="A12" s="5" t="s">
        <v>8</v>
      </c>
      <c r="B12" s="4">
        <v>1</v>
      </c>
      <c r="C12" s="4">
        <v>15</v>
      </c>
      <c r="D12" s="52">
        <v>18099</v>
      </c>
      <c r="E12" s="52">
        <v>18751.5</v>
      </c>
      <c r="F12" s="53">
        <f t="shared" si="1"/>
        <v>1.0360517155643958</v>
      </c>
      <c r="G12" s="4">
        <v>15</v>
      </c>
      <c r="H12" s="52">
        <v>185.5</v>
      </c>
      <c r="I12" s="52">
        <v>181</v>
      </c>
      <c r="J12" s="53">
        <f t="shared" si="2"/>
        <v>1.0248618784530388</v>
      </c>
      <c r="K12" s="4">
        <v>15</v>
      </c>
      <c r="L12" s="24">
        <f t="shared" si="3"/>
        <v>1.0203045313391448</v>
      </c>
      <c r="M12" s="48">
        <v>118130</v>
      </c>
      <c r="N12" s="19">
        <f t="shared" si="4"/>
        <v>53695.5</v>
      </c>
      <c r="O12" s="19">
        <f t="shared" si="9"/>
        <v>54785.8</v>
      </c>
      <c r="P12" s="19">
        <f t="shared" si="5"/>
        <v>1090.3000000000029</v>
      </c>
      <c r="Q12" s="19">
        <v>8732.6</v>
      </c>
      <c r="R12" s="19">
        <v>8732.7000000000007</v>
      </c>
      <c r="S12" s="19">
        <v>12721.4</v>
      </c>
      <c r="T12" s="19">
        <v>10333.200000000001</v>
      </c>
      <c r="U12" s="19">
        <v>3308.7000000000003</v>
      </c>
      <c r="V12" s="19">
        <f t="shared" si="6"/>
        <v>10957.2</v>
      </c>
      <c r="W12" s="43"/>
      <c r="X12" s="43"/>
      <c r="Y12" s="44"/>
      <c r="Z12" s="19">
        <f t="shared" si="7"/>
        <v>10957.2</v>
      </c>
      <c r="AA12" s="43"/>
      <c r="AB12" s="19">
        <f t="shared" si="8"/>
        <v>10957.2</v>
      </c>
      <c r="AC12" s="1"/>
      <c r="AD12" s="1"/>
      <c r="AE12" s="1"/>
      <c r="AF12" s="1"/>
      <c r="AG12" s="36"/>
      <c r="AH12" s="1"/>
      <c r="AI12" s="1"/>
    </row>
    <row r="13" spans="1:35" s="2" customFormat="1" ht="17.100000000000001" customHeight="1">
      <c r="A13" s="5" t="s">
        <v>9</v>
      </c>
      <c r="B13" s="4">
        <v>1</v>
      </c>
      <c r="C13" s="4">
        <v>15</v>
      </c>
      <c r="D13" s="52">
        <v>9186</v>
      </c>
      <c r="E13" s="52">
        <v>9992.2999999999993</v>
      </c>
      <c r="F13" s="53">
        <f t="shared" si="1"/>
        <v>1.0877748748094926</v>
      </c>
      <c r="G13" s="4">
        <v>15</v>
      </c>
      <c r="H13" s="52">
        <v>50.1</v>
      </c>
      <c r="I13" s="52">
        <v>50</v>
      </c>
      <c r="J13" s="53">
        <f t="shared" si="2"/>
        <v>1.002</v>
      </c>
      <c r="K13" s="4">
        <v>15</v>
      </c>
      <c r="L13" s="24">
        <f t="shared" si="3"/>
        <v>1.0299249582698309</v>
      </c>
      <c r="M13" s="48">
        <v>109453</v>
      </c>
      <c r="N13" s="19">
        <f t="shared" si="4"/>
        <v>49751.4</v>
      </c>
      <c r="O13" s="19">
        <f t="shared" si="9"/>
        <v>51240.2</v>
      </c>
      <c r="P13" s="19">
        <f t="shared" si="5"/>
        <v>1488.7999999999956</v>
      </c>
      <c r="Q13" s="19">
        <v>9169.5</v>
      </c>
      <c r="R13" s="19">
        <v>9169.6</v>
      </c>
      <c r="S13" s="19">
        <v>12405</v>
      </c>
      <c r="T13" s="19">
        <v>10248</v>
      </c>
      <c r="U13" s="19"/>
      <c r="V13" s="19">
        <f t="shared" si="6"/>
        <v>10248.1</v>
      </c>
      <c r="W13" s="44"/>
      <c r="X13" s="43"/>
      <c r="Y13" s="44"/>
      <c r="Z13" s="19">
        <f t="shared" si="7"/>
        <v>10248.1</v>
      </c>
      <c r="AA13" s="43"/>
      <c r="AB13" s="19">
        <f t="shared" si="8"/>
        <v>10248.1</v>
      </c>
      <c r="AC13" s="1"/>
      <c r="AD13" s="1"/>
      <c r="AE13" s="1"/>
      <c r="AF13" s="1"/>
      <c r="AG13" s="36"/>
      <c r="AH13" s="1"/>
      <c r="AI13" s="1"/>
    </row>
    <row r="14" spans="1:35" s="2" customFormat="1" ht="17.100000000000001" customHeight="1">
      <c r="A14" s="5" t="s">
        <v>10</v>
      </c>
      <c r="B14" s="4">
        <v>1</v>
      </c>
      <c r="C14" s="4">
        <v>15</v>
      </c>
      <c r="D14" s="52">
        <v>8771</v>
      </c>
      <c r="E14" s="52">
        <v>9451.7999999999993</v>
      </c>
      <c r="F14" s="53">
        <f t="shared" si="1"/>
        <v>1.0776194276593318</v>
      </c>
      <c r="G14" s="4">
        <v>15</v>
      </c>
      <c r="H14" s="52">
        <v>45.9</v>
      </c>
      <c r="I14" s="52">
        <v>45.8</v>
      </c>
      <c r="J14" s="53">
        <f t="shared" si="2"/>
        <v>1.0021834061135371</v>
      </c>
      <c r="K14" s="4">
        <v>15</v>
      </c>
      <c r="L14" s="24">
        <f t="shared" si="3"/>
        <v>1.0266009445909563</v>
      </c>
      <c r="M14" s="48">
        <v>57581</v>
      </c>
      <c r="N14" s="19">
        <f t="shared" si="4"/>
        <v>26173.200000000001</v>
      </c>
      <c r="O14" s="19">
        <f t="shared" si="9"/>
        <v>26869.4</v>
      </c>
      <c r="P14" s="19">
        <f t="shared" si="5"/>
        <v>696.20000000000073</v>
      </c>
      <c r="Q14" s="19">
        <v>5234.6000000000004</v>
      </c>
      <c r="R14" s="19">
        <v>5234.7</v>
      </c>
      <c r="S14" s="19">
        <v>5180.5</v>
      </c>
      <c r="T14" s="19">
        <v>5373.9</v>
      </c>
      <c r="U14" s="19">
        <v>471.8</v>
      </c>
      <c r="V14" s="19">
        <f t="shared" si="6"/>
        <v>5373.9</v>
      </c>
      <c r="W14" s="43"/>
      <c r="X14" s="43"/>
      <c r="Y14" s="44"/>
      <c r="Z14" s="19">
        <f t="shared" si="7"/>
        <v>5373.9</v>
      </c>
      <c r="AA14" s="43"/>
      <c r="AB14" s="19">
        <f t="shared" si="8"/>
        <v>5373.9</v>
      </c>
      <c r="AC14" s="1"/>
      <c r="AD14" s="1"/>
      <c r="AE14" s="1"/>
      <c r="AF14" s="1"/>
      <c r="AG14" s="36"/>
      <c r="AH14" s="1"/>
    </row>
    <row r="15" spans="1:35" s="2" customFormat="1" ht="16.5" customHeight="1">
      <c r="A15" s="5" t="s">
        <v>11</v>
      </c>
      <c r="B15" s="4">
        <v>1</v>
      </c>
      <c r="C15" s="4">
        <v>15</v>
      </c>
      <c r="D15" s="52">
        <v>7732</v>
      </c>
      <c r="E15" s="52">
        <v>9463.2000000000007</v>
      </c>
      <c r="F15" s="53">
        <f t="shared" si="1"/>
        <v>1.2023900672529746</v>
      </c>
      <c r="G15" s="4">
        <v>15</v>
      </c>
      <c r="H15" s="52">
        <v>414.4</v>
      </c>
      <c r="I15" s="52">
        <v>221.5</v>
      </c>
      <c r="J15" s="53">
        <f t="shared" si="2"/>
        <v>1.2670880361173815</v>
      </c>
      <c r="K15" s="4">
        <v>15</v>
      </c>
      <c r="L15" s="24">
        <f t="shared" si="3"/>
        <v>1.156492701123452</v>
      </c>
      <c r="M15" s="48">
        <v>95592</v>
      </c>
      <c r="N15" s="19">
        <f t="shared" si="4"/>
        <v>43450.9</v>
      </c>
      <c r="O15" s="19">
        <f t="shared" si="9"/>
        <v>50250.6</v>
      </c>
      <c r="P15" s="19">
        <f t="shared" si="5"/>
        <v>6799.6999999999971</v>
      </c>
      <c r="Q15" s="19">
        <v>7924.2</v>
      </c>
      <c r="R15" s="19">
        <v>7924.2</v>
      </c>
      <c r="S15" s="19">
        <v>14301.9</v>
      </c>
      <c r="T15" s="19">
        <v>10050.200000000001</v>
      </c>
      <c r="U15" s="19"/>
      <c r="V15" s="19">
        <f t="shared" si="6"/>
        <v>10050.1</v>
      </c>
      <c r="W15" s="43"/>
      <c r="X15" s="43"/>
      <c r="Y15" s="44"/>
      <c r="Z15" s="19">
        <f t="shared" si="7"/>
        <v>10050.1</v>
      </c>
      <c r="AA15" s="43"/>
      <c r="AB15" s="19">
        <f t="shared" si="8"/>
        <v>10050.1</v>
      </c>
      <c r="AC15" s="1"/>
      <c r="AD15" s="1"/>
      <c r="AE15" s="1"/>
      <c r="AF15" s="1"/>
      <c r="AG15" s="36"/>
      <c r="AH15" s="1"/>
    </row>
    <row r="16" spans="1:35" s="2" customFormat="1" ht="17.100000000000001" customHeight="1">
      <c r="A16" s="34" t="s">
        <v>12</v>
      </c>
      <c r="B16" s="4">
        <v>1</v>
      </c>
      <c r="C16" s="4">
        <v>15</v>
      </c>
      <c r="D16" s="52">
        <v>2890</v>
      </c>
      <c r="E16" s="52">
        <v>3235.9</v>
      </c>
      <c r="F16" s="53">
        <f t="shared" si="1"/>
        <v>1.1196885813148789</v>
      </c>
      <c r="G16" s="4">
        <v>15</v>
      </c>
      <c r="H16" s="52">
        <v>71.7</v>
      </c>
      <c r="I16" s="52">
        <v>57.7</v>
      </c>
      <c r="J16" s="53">
        <f t="shared" si="2"/>
        <v>1.204263431542461</v>
      </c>
      <c r="K16" s="4">
        <v>15</v>
      </c>
      <c r="L16" s="24">
        <f t="shared" si="3"/>
        <v>1.10798400428578</v>
      </c>
      <c r="M16" s="48">
        <v>102582</v>
      </c>
      <c r="N16" s="19">
        <f t="shared" si="4"/>
        <v>46628.2</v>
      </c>
      <c r="O16" s="19">
        <f t="shared" si="9"/>
        <v>51663.3</v>
      </c>
      <c r="P16" s="19">
        <f t="shared" si="5"/>
        <v>5035.1000000000058</v>
      </c>
      <c r="Q16" s="19">
        <v>5843.1</v>
      </c>
      <c r="R16" s="19">
        <v>5843.1</v>
      </c>
      <c r="S16" s="19">
        <v>7736</v>
      </c>
      <c r="T16" s="19">
        <v>21908.400000000001</v>
      </c>
      <c r="U16" s="19"/>
      <c r="V16" s="19">
        <f t="shared" si="6"/>
        <v>10332.700000000001</v>
      </c>
      <c r="W16" s="43"/>
      <c r="X16" s="43"/>
      <c r="Y16" s="44"/>
      <c r="Z16" s="19">
        <f t="shared" si="7"/>
        <v>10332.700000000001</v>
      </c>
      <c r="AA16" s="43"/>
      <c r="AB16" s="19">
        <f t="shared" si="8"/>
        <v>10332.700000000001</v>
      </c>
      <c r="AC16" s="1"/>
      <c r="AD16" s="1"/>
      <c r="AE16" s="1"/>
      <c r="AF16" s="1"/>
      <c r="AG16" s="36"/>
      <c r="AH16" s="1"/>
    </row>
    <row r="17" spans="1:35" s="2" customFormat="1" ht="17.100000000000001" customHeight="1">
      <c r="A17" s="5" t="s">
        <v>13</v>
      </c>
      <c r="B17" s="4">
        <v>1</v>
      </c>
      <c r="C17" s="4">
        <v>15</v>
      </c>
      <c r="D17" s="52">
        <v>9634</v>
      </c>
      <c r="E17" s="52">
        <v>10557.5</v>
      </c>
      <c r="F17" s="53">
        <f t="shared" si="1"/>
        <v>1.0958584181025535</v>
      </c>
      <c r="G17" s="4">
        <v>15</v>
      </c>
      <c r="H17" s="52">
        <v>56.3</v>
      </c>
      <c r="I17" s="52">
        <v>33.6</v>
      </c>
      <c r="J17" s="53">
        <f t="shared" si="2"/>
        <v>1.2475595238095238</v>
      </c>
      <c r="K17" s="4">
        <v>15</v>
      </c>
      <c r="L17" s="24">
        <f t="shared" si="3"/>
        <v>1.1144726473040256</v>
      </c>
      <c r="M17" s="48">
        <v>97813</v>
      </c>
      <c r="N17" s="19">
        <f t="shared" si="4"/>
        <v>44460.5</v>
      </c>
      <c r="O17" s="19">
        <f t="shared" si="9"/>
        <v>49550</v>
      </c>
      <c r="P17" s="19">
        <f t="shared" si="5"/>
        <v>5089.5</v>
      </c>
      <c r="Q17" s="19">
        <v>8204.9</v>
      </c>
      <c r="R17" s="19">
        <v>8204.9</v>
      </c>
      <c r="S17" s="19">
        <v>13320.2</v>
      </c>
      <c r="T17" s="19">
        <v>9910</v>
      </c>
      <c r="U17" s="19"/>
      <c r="V17" s="19">
        <f t="shared" si="6"/>
        <v>9910</v>
      </c>
      <c r="W17" s="43"/>
      <c r="X17" s="43"/>
      <c r="Y17" s="44"/>
      <c r="Z17" s="19">
        <f t="shared" si="7"/>
        <v>9910</v>
      </c>
      <c r="AA17" s="43"/>
      <c r="AB17" s="19">
        <f t="shared" si="8"/>
        <v>9910</v>
      </c>
      <c r="AC17" s="1"/>
      <c r="AD17" s="1"/>
      <c r="AE17" s="1"/>
      <c r="AF17" s="1"/>
      <c r="AG17" s="36"/>
      <c r="AH17" s="1"/>
    </row>
    <row r="18" spans="1:35" s="2" customFormat="1" ht="17.100000000000001" customHeight="1">
      <c r="A18" s="5" t="s">
        <v>14</v>
      </c>
      <c r="B18" s="4">
        <v>1</v>
      </c>
      <c r="C18" s="4">
        <v>15</v>
      </c>
      <c r="D18" s="52">
        <v>4344</v>
      </c>
      <c r="E18" s="52">
        <v>4489.1000000000004</v>
      </c>
      <c r="F18" s="53">
        <f t="shared" si="1"/>
        <v>1.033402394106814</v>
      </c>
      <c r="G18" s="4">
        <v>15</v>
      </c>
      <c r="H18" s="52">
        <v>10.3</v>
      </c>
      <c r="I18" s="52">
        <v>0.3</v>
      </c>
      <c r="J18" s="53">
        <f t="shared" si="2"/>
        <v>1.3</v>
      </c>
      <c r="K18" s="4">
        <v>15</v>
      </c>
      <c r="L18" s="24">
        <f t="shared" si="3"/>
        <v>1.111134131368938</v>
      </c>
      <c r="M18" s="48">
        <v>53194</v>
      </c>
      <c r="N18" s="19">
        <f t="shared" si="4"/>
        <v>24179.1</v>
      </c>
      <c r="O18" s="19">
        <f t="shared" si="9"/>
        <v>26866.2</v>
      </c>
      <c r="P18" s="19">
        <f t="shared" si="5"/>
        <v>2687.1000000000022</v>
      </c>
      <c r="Q18" s="19">
        <v>4352.3999999999996</v>
      </c>
      <c r="R18" s="19">
        <v>4352.3</v>
      </c>
      <c r="S18" s="19">
        <v>7195.6</v>
      </c>
      <c r="T18" s="19">
        <v>5373.2</v>
      </c>
      <c r="U18" s="19">
        <v>219.5</v>
      </c>
      <c r="V18" s="19">
        <f t="shared" si="6"/>
        <v>5373.2</v>
      </c>
      <c r="W18" s="43"/>
      <c r="X18" s="43"/>
      <c r="Y18" s="44"/>
      <c r="Z18" s="19">
        <f t="shared" si="7"/>
        <v>5373.2</v>
      </c>
      <c r="AA18" s="43"/>
      <c r="AB18" s="19">
        <f t="shared" si="8"/>
        <v>5373.2</v>
      </c>
      <c r="AC18" s="1"/>
      <c r="AD18" s="1"/>
      <c r="AE18" s="1"/>
      <c r="AF18" s="1"/>
      <c r="AG18" s="36"/>
      <c r="AH18" s="1"/>
    </row>
    <row r="19" spans="1:35" s="2" customFormat="1" ht="17.100000000000001" customHeight="1">
      <c r="A19" s="7" t="s">
        <v>17</v>
      </c>
      <c r="B19" s="9"/>
      <c r="C19" s="9"/>
      <c r="D19" s="18">
        <f>SUM(D20:D46)</f>
        <v>74902</v>
      </c>
      <c r="E19" s="18">
        <f>SUM(E20:E46)</f>
        <v>82703.600000000006</v>
      </c>
      <c r="F19" s="51">
        <f>IF(E19/D19&gt;1.2,IF((E19/D19-1.2)*0.1+1.2&gt;1.3,1.3,(E19/D19-1.2)*0.1+1.2),E19/D19)</f>
        <v>1.1041574323783077</v>
      </c>
      <c r="G19" s="9"/>
      <c r="H19" s="18">
        <f>SUM(H20:H46)</f>
        <v>832.00000000000011</v>
      </c>
      <c r="I19" s="18">
        <f>SUM(I20:I46)</f>
        <v>852</v>
      </c>
      <c r="J19" s="51">
        <f>IF(H19/I19&gt;1.2,IF((H19/I19-1.2)*0.1+1.2&gt;1.3,1.3,(H19/I19-1.2)*0.1+1.2),H19/I19)</f>
        <v>0.97652582159624424</v>
      </c>
      <c r="K19" s="9"/>
      <c r="L19" s="10"/>
      <c r="M19" s="47">
        <f>SUM(M20:M46)</f>
        <v>1670076</v>
      </c>
      <c r="N19" s="18">
        <f>SUM(N20:N46)</f>
        <v>759125.4</v>
      </c>
      <c r="O19" s="18">
        <f>SUM(O20:O46)</f>
        <v>793824.99999999988</v>
      </c>
      <c r="P19" s="18">
        <f>SUM(P20:P46)</f>
        <v>34699.600000000006</v>
      </c>
      <c r="Q19" s="18">
        <f t="shared" ref="Q19" si="10">SUM(Q20:Q46)</f>
        <v>150686.99999999994</v>
      </c>
      <c r="R19" s="18">
        <f>SUM(R20:R46)</f>
        <v>150687</v>
      </c>
      <c r="S19" s="18">
        <f>SUM(S20:S46)</f>
        <v>161003.90000000002</v>
      </c>
      <c r="T19" s="18">
        <f>SUM(T20:T46)</f>
        <v>145828.70000000001</v>
      </c>
      <c r="U19" s="18">
        <f>SUM(U20:U46)</f>
        <v>26853.8</v>
      </c>
      <c r="V19" s="18">
        <f>SUM(V20:V46)</f>
        <v>158764.6</v>
      </c>
      <c r="W19" s="18"/>
      <c r="X19" s="18"/>
      <c r="Y19" s="18"/>
      <c r="Z19" s="18">
        <f>SUM(Z20:Z46)</f>
        <v>158764.6</v>
      </c>
      <c r="AA19" s="18">
        <f>SUM(AA20:AA46)</f>
        <v>9096.6999999999989</v>
      </c>
      <c r="AB19" s="18">
        <f>SUM(AB20:AB46)</f>
        <v>149667.9</v>
      </c>
      <c r="AC19" s="1"/>
      <c r="AD19" s="1"/>
      <c r="AE19" s="1"/>
      <c r="AF19" s="1"/>
      <c r="AG19" s="36"/>
      <c r="AH19" s="1"/>
      <c r="AI19" s="1"/>
    </row>
    <row r="20" spans="1:35" s="2" customFormat="1" ht="17.100000000000001" customHeight="1">
      <c r="A20" s="6" t="s">
        <v>0</v>
      </c>
      <c r="B20" s="4">
        <v>1</v>
      </c>
      <c r="C20" s="4">
        <v>10</v>
      </c>
      <c r="D20" s="19">
        <v>590</v>
      </c>
      <c r="E20" s="19">
        <v>687.4</v>
      </c>
      <c r="F20" s="53">
        <f t="shared" si="1"/>
        <v>1.1650847457627118</v>
      </c>
      <c r="G20" s="4">
        <v>10</v>
      </c>
      <c r="H20" s="52">
        <v>4.5</v>
      </c>
      <c r="I20" s="52">
        <v>5.3</v>
      </c>
      <c r="J20" s="53">
        <f t="shared" si="2"/>
        <v>0.84905660377358494</v>
      </c>
      <c r="K20" s="4">
        <v>15</v>
      </c>
      <c r="L20" s="24">
        <f t="shared" si="3"/>
        <v>0.98247704326373975</v>
      </c>
      <c r="M20" s="48">
        <v>39115</v>
      </c>
      <c r="N20" s="19">
        <f t="shared" si="4"/>
        <v>17779.5</v>
      </c>
      <c r="O20" s="19">
        <f t="shared" si="9"/>
        <v>17468</v>
      </c>
      <c r="P20" s="19">
        <f t="shared" si="5"/>
        <v>-311.5</v>
      </c>
      <c r="Q20" s="19">
        <v>3555.9</v>
      </c>
      <c r="R20" s="19">
        <v>3555.9</v>
      </c>
      <c r="S20" s="19">
        <v>2480</v>
      </c>
      <c r="T20" s="19">
        <v>2604.6</v>
      </c>
      <c r="U20" s="19">
        <v>1778</v>
      </c>
      <c r="V20" s="19">
        <f t="shared" si="6"/>
        <v>3493.6</v>
      </c>
      <c r="W20" s="43"/>
      <c r="X20" s="43"/>
      <c r="Y20" s="44"/>
      <c r="Z20" s="19">
        <f t="shared" si="7"/>
        <v>3493.6</v>
      </c>
      <c r="AA20" s="43">
        <f>MIN(Z20,889)</f>
        <v>889</v>
      </c>
      <c r="AB20" s="19">
        <f t="shared" si="8"/>
        <v>2604.6</v>
      </c>
      <c r="AC20" s="1"/>
      <c r="AD20" s="1"/>
      <c r="AE20" s="1"/>
      <c r="AF20" s="1"/>
      <c r="AG20" s="36"/>
      <c r="AH20" s="1"/>
      <c r="AI20" s="1"/>
    </row>
    <row r="21" spans="1:35" s="2" customFormat="1" ht="17.100000000000001" customHeight="1">
      <c r="A21" s="6" t="s">
        <v>18</v>
      </c>
      <c r="B21" s="4">
        <v>1</v>
      </c>
      <c r="C21" s="4">
        <v>10</v>
      </c>
      <c r="D21" s="19">
        <v>5016</v>
      </c>
      <c r="E21" s="19">
        <v>5307.4</v>
      </c>
      <c r="F21" s="53">
        <f t="shared" si="1"/>
        <v>1.0580940988835725</v>
      </c>
      <c r="G21" s="4">
        <v>10</v>
      </c>
      <c r="H21" s="52">
        <v>4.9000000000000004</v>
      </c>
      <c r="I21" s="52">
        <v>0.8</v>
      </c>
      <c r="J21" s="53">
        <f t="shared" si="2"/>
        <v>1.3</v>
      </c>
      <c r="K21" s="4">
        <v>15</v>
      </c>
      <c r="L21" s="24">
        <f t="shared" si="3"/>
        <v>1.1451697425381635</v>
      </c>
      <c r="M21" s="48">
        <v>68580</v>
      </c>
      <c r="N21" s="19">
        <f t="shared" si="4"/>
        <v>31172.7</v>
      </c>
      <c r="O21" s="19">
        <f t="shared" si="9"/>
        <v>35698</v>
      </c>
      <c r="P21" s="19">
        <f t="shared" si="5"/>
        <v>4525.2999999999993</v>
      </c>
      <c r="Q21" s="19">
        <v>6234.5</v>
      </c>
      <c r="R21" s="19">
        <v>6234.6</v>
      </c>
      <c r="S21" s="19">
        <v>8949.7000000000007</v>
      </c>
      <c r="T21" s="19">
        <v>7139.7</v>
      </c>
      <c r="U21" s="19"/>
      <c r="V21" s="19">
        <f t="shared" si="6"/>
        <v>7139.5</v>
      </c>
      <c r="W21" s="43"/>
      <c r="X21" s="43"/>
      <c r="Y21" s="44"/>
      <c r="Z21" s="19">
        <f t="shared" si="7"/>
        <v>7139.5</v>
      </c>
      <c r="AA21" s="43"/>
      <c r="AB21" s="19">
        <f t="shared" si="8"/>
        <v>7139.5</v>
      </c>
      <c r="AC21" s="1"/>
      <c r="AD21" s="1"/>
      <c r="AE21" s="1"/>
      <c r="AF21" s="1"/>
      <c r="AG21" s="36"/>
      <c r="AH21" s="1"/>
      <c r="AI21" s="1"/>
    </row>
    <row r="22" spans="1:35" s="2" customFormat="1" ht="17.100000000000001" customHeight="1">
      <c r="A22" s="6" t="s">
        <v>19</v>
      </c>
      <c r="B22" s="4">
        <v>1</v>
      </c>
      <c r="C22" s="4">
        <v>10</v>
      </c>
      <c r="D22" s="19">
        <v>1327</v>
      </c>
      <c r="E22" s="19">
        <v>1454.2</v>
      </c>
      <c r="F22" s="53">
        <f t="shared" si="1"/>
        <v>1.0958553127354935</v>
      </c>
      <c r="G22" s="4">
        <v>10</v>
      </c>
      <c r="H22" s="52">
        <v>12</v>
      </c>
      <c r="I22" s="52">
        <v>9.5</v>
      </c>
      <c r="J22" s="53">
        <f t="shared" si="2"/>
        <v>1.2063157894736842</v>
      </c>
      <c r="K22" s="4">
        <v>15</v>
      </c>
      <c r="L22" s="24">
        <f t="shared" si="3"/>
        <v>1.1158082848417199</v>
      </c>
      <c r="M22" s="48">
        <v>45233</v>
      </c>
      <c r="N22" s="19">
        <f t="shared" si="4"/>
        <v>20560.5</v>
      </c>
      <c r="O22" s="19">
        <f t="shared" si="9"/>
        <v>22941.599999999999</v>
      </c>
      <c r="P22" s="19">
        <f t="shared" si="5"/>
        <v>2381.0999999999985</v>
      </c>
      <c r="Q22" s="19">
        <v>4112.1000000000004</v>
      </c>
      <c r="R22" s="19">
        <v>4112.1000000000004</v>
      </c>
      <c r="S22" s="19">
        <v>5540.7</v>
      </c>
      <c r="T22" s="19">
        <v>4588.3999999999996</v>
      </c>
      <c r="U22" s="19"/>
      <c r="V22" s="19">
        <f t="shared" si="6"/>
        <v>4588.3</v>
      </c>
      <c r="W22" s="43"/>
      <c r="X22" s="43"/>
      <c r="Y22" s="44"/>
      <c r="Z22" s="19">
        <f t="shared" si="7"/>
        <v>4588.3</v>
      </c>
      <c r="AA22" s="43"/>
      <c r="AB22" s="19">
        <f t="shared" si="8"/>
        <v>4588.3</v>
      </c>
      <c r="AC22" s="1"/>
      <c r="AD22" s="1"/>
      <c r="AE22" s="1"/>
      <c r="AF22" s="1"/>
      <c r="AG22" s="36"/>
      <c r="AH22" s="1"/>
      <c r="AI22" s="1"/>
    </row>
    <row r="23" spans="1:35" s="2" customFormat="1" ht="17.100000000000001" customHeight="1">
      <c r="A23" s="6" t="s">
        <v>20</v>
      </c>
      <c r="B23" s="4">
        <v>1</v>
      </c>
      <c r="C23" s="4">
        <v>10</v>
      </c>
      <c r="D23" s="19">
        <v>1373</v>
      </c>
      <c r="E23" s="19">
        <v>1577.8</v>
      </c>
      <c r="F23" s="53">
        <f t="shared" si="1"/>
        <v>1.1491624180626365</v>
      </c>
      <c r="G23" s="4">
        <v>10</v>
      </c>
      <c r="H23" s="52">
        <v>5.7</v>
      </c>
      <c r="I23" s="52">
        <v>3.5</v>
      </c>
      <c r="J23" s="53">
        <f t="shared" si="2"/>
        <v>1.2428571428571429</v>
      </c>
      <c r="K23" s="4">
        <v>15</v>
      </c>
      <c r="L23" s="24">
        <f t="shared" si="3"/>
        <v>1.1466994663852432</v>
      </c>
      <c r="M23" s="48">
        <v>50661</v>
      </c>
      <c r="N23" s="19">
        <f t="shared" si="4"/>
        <v>23027.7</v>
      </c>
      <c r="O23" s="19">
        <f t="shared" si="9"/>
        <v>26405.9</v>
      </c>
      <c r="P23" s="19">
        <f t="shared" si="5"/>
        <v>3378.2000000000007</v>
      </c>
      <c r="Q23" s="19">
        <v>4605.5</v>
      </c>
      <c r="R23" s="19">
        <v>4605.6000000000004</v>
      </c>
      <c r="S23" s="19">
        <v>5481</v>
      </c>
      <c r="T23" s="19">
        <v>5068.3</v>
      </c>
      <c r="U23" s="19">
        <v>1364.3000000000002</v>
      </c>
      <c r="V23" s="19">
        <f t="shared" si="6"/>
        <v>5281.2</v>
      </c>
      <c r="W23" s="43"/>
      <c r="X23" s="43"/>
      <c r="Y23" s="44"/>
      <c r="Z23" s="19">
        <f t="shared" si="7"/>
        <v>5281.2</v>
      </c>
      <c r="AA23" s="43"/>
      <c r="AB23" s="19">
        <f t="shared" si="8"/>
        <v>5281.2</v>
      </c>
      <c r="AC23" s="1"/>
      <c r="AD23" s="1"/>
      <c r="AE23" s="1"/>
      <c r="AF23" s="1"/>
      <c r="AG23" s="36"/>
      <c r="AH23" s="1"/>
      <c r="AI23" s="1"/>
    </row>
    <row r="24" spans="1:35" s="2" customFormat="1" ht="17.100000000000001" customHeight="1">
      <c r="A24" s="6" t="s">
        <v>21</v>
      </c>
      <c r="B24" s="4">
        <v>1</v>
      </c>
      <c r="C24" s="4">
        <v>10</v>
      </c>
      <c r="D24" s="19">
        <v>1108</v>
      </c>
      <c r="E24" s="19">
        <v>1126.8</v>
      </c>
      <c r="F24" s="53">
        <f t="shared" si="1"/>
        <v>1.0169675090252708</v>
      </c>
      <c r="G24" s="4">
        <v>10</v>
      </c>
      <c r="H24" s="52">
        <v>9.3000000000000007</v>
      </c>
      <c r="I24" s="52">
        <v>9.2999999999999989</v>
      </c>
      <c r="J24" s="53">
        <f t="shared" si="2"/>
        <v>1.0000000000000002</v>
      </c>
      <c r="K24" s="4">
        <v>15</v>
      </c>
      <c r="L24" s="24">
        <f t="shared" si="3"/>
        <v>1.004847859721506</v>
      </c>
      <c r="M24" s="48">
        <v>55514</v>
      </c>
      <c r="N24" s="19">
        <f t="shared" si="4"/>
        <v>25233.599999999999</v>
      </c>
      <c r="O24" s="19">
        <f t="shared" si="9"/>
        <v>25355.9</v>
      </c>
      <c r="P24" s="19">
        <f t="shared" si="5"/>
        <v>122.30000000000291</v>
      </c>
      <c r="Q24" s="19">
        <v>5046.7</v>
      </c>
      <c r="R24" s="19">
        <v>5046.8</v>
      </c>
      <c r="S24" s="19">
        <v>3858.4</v>
      </c>
      <c r="T24" s="19">
        <v>3851.2</v>
      </c>
      <c r="U24" s="19">
        <v>2481.6999999999998</v>
      </c>
      <c r="V24" s="19">
        <f t="shared" si="6"/>
        <v>5071.1000000000004</v>
      </c>
      <c r="W24" s="43"/>
      <c r="X24" s="43"/>
      <c r="Y24" s="44"/>
      <c r="Z24" s="19">
        <f t="shared" si="7"/>
        <v>5071.1000000000004</v>
      </c>
      <c r="AA24" s="43"/>
      <c r="AB24" s="19">
        <f t="shared" si="8"/>
        <v>5071.1000000000004</v>
      </c>
      <c r="AC24" s="1"/>
      <c r="AD24" s="1"/>
      <c r="AE24" s="1"/>
      <c r="AF24" s="1"/>
      <c r="AG24" s="36"/>
      <c r="AH24" s="1"/>
      <c r="AI24" s="1"/>
    </row>
    <row r="25" spans="1:35" s="2" customFormat="1" ht="17.100000000000001" customHeight="1">
      <c r="A25" s="6" t="s">
        <v>22</v>
      </c>
      <c r="B25" s="4">
        <v>1</v>
      </c>
      <c r="C25" s="4">
        <v>10</v>
      </c>
      <c r="D25" s="19">
        <v>1544</v>
      </c>
      <c r="E25" s="19">
        <v>1710</v>
      </c>
      <c r="F25" s="53">
        <f t="shared" si="1"/>
        <v>1.1075129533678756</v>
      </c>
      <c r="G25" s="4">
        <v>10</v>
      </c>
      <c r="H25" s="52">
        <v>7</v>
      </c>
      <c r="I25" s="52">
        <v>0</v>
      </c>
      <c r="J25" s="53">
        <f t="shared" si="2"/>
        <v>1.3</v>
      </c>
      <c r="K25" s="4">
        <v>15</v>
      </c>
      <c r="L25" s="24">
        <f t="shared" si="3"/>
        <v>1.1592894152479645</v>
      </c>
      <c r="M25" s="48">
        <v>62560</v>
      </c>
      <c r="N25" s="19">
        <f t="shared" si="4"/>
        <v>28436.400000000001</v>
      </c>
      <c r="O25" s="19">
        <f t="shared" si="9"/>
        <v>32966</v>
      </c>
      <c r="P25" s="19">
        <f t="shared" si="5"/>
        <v>4529.5999999999985</v>
      </c>
      <c r="Q25" s="19">
        <v>5687.3</v>
      </c>
      <c r="R25" s="19">
        <v>5687.2</v>
      </c>
      <c r="S25" s="19">
        <v>8405.1</v>
      </c>
      <c r="T25" s="19">
        <v>6593.2</v>
      </c>
      <c r="U25" s="19"/>
      <c r="V25" s="19">
        <f t="shared" si="6"/>
        <v>6593.2</v>
      </c>
      <c r="W25" s="44"/>
      <c r="X25" s="43"/>
      <c r="Y25" s="44"/>
      <c r="Z25" s="19">
        <f t="shared" si="7"/>
        <v>6593.2</v>
      </c>
      <c r="AA25" s="43"/>
      <c r="AB25" s="19">
        <f t="shared" si="8"/>
        <v>6593.2</v>
      </c>
      <c r="AC25" s="1"/>
      <c r="AD25" s="1"/>
      <c r="AE25" s="1"/>
      <c r="AF25" s="1"/>
      <c r="AG25" s="36"/>
      <c r="AH25" s="1"/>
      <c r="AI25" s="1"/>
    </row>
    <row r="26" spans="1:35" s="2" customFormat="1" ht="17.100000000000001" customHeight="1">
      <c r="A26" s="6" t="s">
        <v>23</v>
      </c>
      <c r="B26" s="4">
        <v>1</v>
      </c>
      <c r="C26" s="4">
        <v>10</v>
      </c>
      <c r="D26" s="19">
        <v>13383</v>
      </c>
      <c r="E26" s="19">
        <v>15040.6</v>
      </c>
      <c r="F26" s="53">
        <f t="shared" si="1"/>
        <v>1.1238586266158559</v>
      </c>
      <c r="G26" s="4">
        <v>10</v>
      </c>
      <c r="H26" s="52">
        <v>128.6</v>
      </c>
      <c r="I26" s="52">
        <v>121</v>
      </c>
      <c r="J26" s="53">
        <f t="shared" si="2"/>
        <v>1.0628099173553718</v>
      </c>
      <c r="K26" s="4">
        <v>15</v>
      </c>
      <c r="L26" s="24">
        <f t="shared" si="3"/>
        <v>1.0623067150425467</v>
      </c>
      <c r="M26" s="48">
        <v>147428</v>
      </c>
      <c r="N26" s="19">
        <f t="shared" si="4"/>
        <v>67012.7</v>
      </c>
      <c r="O26" s="19">
        <f t="shared" si="9"/>
        <v>71188</v>
      </c>
      <c r="P26" s="19">
        <f t="shared" si="5"/>
        <v>4175.3000000000029</v>
      </c>
      <c r="Q26" s="19">
        <v>13402.5</v>
      </c>
      <c r="R26" s="19">
        <v>13402.6</v>
      </c>
      <c r="S26" s="19">
        <v>15907.7</v>
      </c>
      <c r="T26" s="19">
        <v>14237.7</v>
      </c>
      <c r="U26" s="19"/>
      <c r="V26" s="19">
        <f t="shared" si="6"/>
        <v>14237.5</v>
      </c>
      <c r="W26" s="43"/>
      <c r="X26" s="43"/>
      <c r="Y26" s="44"/>
      <c r="Z26" s="19">
        <f t="shared" si="7"/>
        <v>14237.5</v>
      </c>
      <c r="AA26" s="43"/>
      <c r="AB26" s="19">
        <f t="shared" si="8"/>
        <v>14237.5</v>
      </c>
      <c r="AC26" s="1"/>
      <c r="AD26" s="1"/>
      <c r="AE26" s="1"/>
      <c r="AF26" s="1"/>
      <c r="AG26" s="36"/>
      <c r="AH26" s="1"/>
      <c r="AI26" s="1"/>
    </row>
    <row r="27" spans="1:35" s="2" customFormat="1" ht="16.5" customHeight="1">
      <c r="A27" s="6" t="s">
        <v>24</v>
      </c>
      <c r="B27" s="4">
        <v>1</v>
      </c>
      <c r="C27" s="4">
        <v>10</v>
      </c>
      <c r="D27" s="19">
        <v>550</v>
      </c>
      <c r="E27" s="19">
        <v>706.5</v>
      </c>
      <c r="F27" s="53">
        <f t="shared" si="1"/>
        <v>1.2084545454545454</v>
      </c>
      <c r="G27" s="4">
        <v>10</v>
      </c>
      <c r="H27" s="52">
        <v>12</v>
      </c>
      <c r="I27" s="52">
        <v>11.6</v>
      </c>
      <c r="J27" s="53">
        <f t="shared" si="2"/>
        <v>1.0344827586206897</v>
      </c>
      <c r="K27" s="4">
        <v>15</v>
      </c>
      <c r="L27" s="24">
        <f t="shared" si="3"/>
        <v>1.0743367666815942</v>
      </c>
      <c r="M27" s="48">
        <v>27974</v>
      </c>
      <c r="N27" s="19">
        <f t="shared" si="4"/>
        <v>12715.5</v>
      </c>
      <c r="O27" s="19">
        <f t="shared" si="9"/>
        <v>13660.7</v>
      </c>
      <c r="P27" s="19">
        <f t="shared" si="5"/>
        <v>945.20000000000073</v>
      </c>
      <c r="Q27" s="19">
        <v>2543.1</v>
      </c>
      <c r="R27" s="19">
        <v>2543.1</v>
      </c>
      <c r="S27" s="19">
        <v>3110.2</v>
      </c>
      <c r="T27" s="19">
        <v>2732.2</v>
      </c>
      <c r="U27" s="19"/>
      <c r="V27" s="19">
        <f t="shared" si="6"/>
        <v>2732.1</v>
      </c>
      <c r="W27" s="43"/>
      <c r="X27" s="43"/>
      <c r="Y27" s="44"/>
      <c r="Z27" s="19">
        <f t="shared" si="7"/>
        <v>2732.1</v>
      </c>
      <c r="AA27" s="43"/>
      <c r="AB27" s="19">
        <f t="shared" si="8"/>
        <v>2732.1</v>
      </c>
      <c r="AC27" s="1"/>
      <c r="AD27" s="1"/>
      <c r="AE27" s="1"/>
      <c r="AF27" s="1"/>
      <c r="AG27" s="36"/>
      <c r="AH27" s="1"/>
      <c r="AI27" s="1"/>
    </row>
    <row r="28" spans="1:35" s="2" customFormat="1" ht="17.100000000000001" customHeight="1">
      <c r="A28" s="6" t="s">
        <v>25</v>
      </c>
      <c r="B28" s="4">
        <v>1</v>
      </c>
      <c r="C28" s="4">
        <v>10</v>
      </c>
      <c r="D28" s="19">
        <v>729</v>
      </c>
      <c r="E28" s="19">
        <v>782.7</v>
      </c>
      <c r="F28" s="53">
        <f t="shared" si="1"/>
        <v>1.0736625514403293</v>
      </c>
      <c r="G28" s="4">
        <v>10</v>
      </c>
      <c r="H28" s="52">
        <v>3.5</v>
      </c>
      <c r="I28" s="52">
        <v>5.7</v>
      </c>
      <c r="J28" s="53">
        <f t="shared" si="2"/>
        <v>0.61403508771929827</v>
      </c>
      <c r="K28" s="4">
        <v>15</v>
      </c>
      <c r="L28" s="24">
        <f t="shared" si="3"/>
        <v>0.85563290943407899</v>
      </c>
      <c r="M28" s="48">
        <v>54634</v>
      </c>
      <c r="N28" s="19">
        <f t="shared" si="4"/>
        <v>24833.599999999999</v>
      </c>
      <c r="O28" s="19">
        <f t="shared" si="9"/>
        <v>21248.400000000001</v>
      </c>
      <c r="P28" s="19">
        <f t="shared" si="5"/>
        <v>-3585.1999999999971</v>
      </c>
      <c r="Q28" s="19">
        <v>4966.7</v>
      </c>
      <c r="R28" s="19">
        <v>4966.8</v>
      </c>
      <c r="S28" s="19">
        <v>2815.6</v>
      </c>
      <c r="T28" s="19">
        <v>4249.7</v>
      </c>
      <c r="U28" s="19"/>
      <c r="V28" s="19">
        <f t="shared" si="6"/>
        <v>4249.6000000000004</v>
      </c>
      <c r="W28" s="43"/>
      <c r="X28" s="43"/>
      <c r="Y28" s="44"/>
      <c r="Z28" s="19">
        <f t="shared" si="7"/>
        <v>4249.6000000000004</v>
      </c>
      <c r="AA28" s="43"/>
      <c r="AB28" s="19">
        <f t="shared" si="8"/>
        <v>4249.6000000000004</v>
      </c>
      <c r="AC28" s="1"/>
      <c r="AD28" s="1"/>
      <c r="AE28" s="1"/>
      <c r="AF28" s="1"/>
      <c r="AG28" s="36"/>
      <c r="AH28" s="1"/>
      <c r="AI28" s="1"/>
    </row>
    <row r="29" spans="1:35" s="2" customFormat="1" ht="17.100000000000001" customHeight="1">
      <c r="A29" s="6" t="s">
        <v>26</v>
      </c>
      <c r="B29" s="4">
        <v>1</v>
      </c>
      <c r="C29" s="4">
        <v>10</v>
      </c>
      <c r="D29" s="19">
        <v>677</v>
      </c>
      <c r="E29" s="19">
        <v>663.4</v>
      </c>
      <c r="F29" s="53">
        <f t="shared" si="1"/>
        <v>0.97991137370753323</v>
      </c>
      <c r="G29" s="4">
        <v>10</v>
      </c>
      <c r="H29" s="52">
        <v>4.3</v>
      </c>
      <c r="I29" s="52">
        <v>3.1</v>
      </c>
      <c r="J29" s="53">
        <f t="shared" si="2"/>
        <v>1.2187096774193549</v>
      </c>
      <c r="K29" s="4">
        <v>15</v>
      </c>
      <c r="L29" s="24">
        <f t="shared" si="3"/>
        <v>1.0879931113818759</v>
      </c>
      <c r="M29" s="48">
        <v>33018</v>
      </c>
      <c r="N29" s="19">
        <f t="shared" si="4"/>
        <v>15008.2</v>
      </c>
      <c r="O29" s="19">
        <f t="shared" si="9"/>
        <v>16328.8</v>
      </c>
      <c r="P29" s="19">
        <f t="shared" si="5"/>
        <v>1320.5999999999985</v>
      </c>
      <c r="Q29" s="19">
        <v>3001.6</v>
      </c>
      <c r="R29" s="19">
        <v>3001.7</v>
      </c>
      <c r="S29" s="19">
        <v>3794</v>
      </c>
      <c r="T29" s="19">
        <v>3265.7</v>
      </c>
      <c r="U29" s="19"/>
      <c r="V29" s="19">
        <f t="shared" si="6"/>
        <v>3265.8</v>
      </c>
      <c r="W29" s="44"/>
      <c r="X29" s="43"/>
      <c r="Y29" s="44"/>
      <c r="Z29" s="19">
        <f t="shared" si="7"/>
        <v>3265.8</v>
      </c>
      <c r="AA29" s="43"/>
      <c r="AB29" s="19">
        <f t="shared" si="8"/>
        <v>3265.8</v>
      </c>
      <c r="AC29" s="1"/>
      <c r="AD29" s="1"/>
      <c r="AE29" s="1"/>
      <c r="AF29" s="1"/>
      <c r="AG29" s="36"/>
      <c r="AH29" s="1"/>
      <c r="AI29" s="1"/>
    </row>
    <row r="30" spans="1:35" s="2" customFormat="1" ht="17.100000000000001" customHeight="1">
      <c r="A30" s="6" t="s">
        <v>27</v>
      </c>
      <c r="B30" s="4">
        <v>1</v>
      </c>
      <c r="C30" s="4">
        <v>10</v>
      </c>
      <c r="D30" s="19">
        <v>1650</v>
      </c>
      <c r="E30" s="19">
        <v>2152.6999999999998</v>
      </c>
      <c r="F30" s="53">
        <f t="shared" si="1"/>
        <v>1.2104666666666666</v>
      </c>
      <c r="G30" s="4">
        <v>10</v>
      </c>
      <c r="H30" s="52">
        <v>7</v>
      </c>
      <c r="I30" s="52">
        <v>7</v>
      </c>
      <c r="J30" s="53">
        <f t="shared" si="2"/>
        <v>1</v>
      </c>
      <c r="K30" s="4">
        <v>15</v>
      </c>
      <c r="L30" s="24">
        <f t="shared" si="3"/>
        <v>1.0601333333333334</v>
      </c>
      <c r="M30" s="48">
        <v>45400</v>
      </c>
      <c r="N30" s="19">
        <f t="shared" si="4"/>
        <v>20636.400000000001</v>
      </c>
      <c r="O30" s="19">
        <f t="shared" si="9"/>
        <v>21877.3</v>
      </c>
      <c r="P30" s="19">
        <f t="shared" si="5"/>
        <v>1240.8999999999978</v>
      </c>
      <c r="Q30" s="19">
        <v>4127.3</v>
      </c>
      <c r="R30" s="19">
        <v>4127.2</v>
      </c>
      <c r="S30" s="19">
        <v>4871.8999999999996</v>
      </c>
      <c r="T30" s="19">
        <v>4375.3999999999996</v>
      </c>
      <c r="U30" s="19"/>
      <c r="V30" s="19">
        <f t="shared" si="6"/>
        <v>4375.5</v>
      </c>
      <c r="W30" s="43"/>
      <c r="X30" s="43"/>
      <c r="Y30" s="44"/>
      <c r="Z30" s="19">
        <f t="shared" si="7"/>
        <v>4375.5</v>
      </c>
      <c r="AA30" s="43"/>
      <c r="AB30" s="19">
        <f t="shared" si="8"/>
        <v>4375.5</v>
      </c>
      <c r="AC30" s="1"/>
      <c r="AD30" s="1"/>
      <c r="AE30" s="1"/>
      <c r="AF30" s="1"/>
      <c r="AG30" s="36"/>
      <c r="AH30" s="1"/>
      <c r="AI30" s="1"/>
    </row>
    <row r="31" spans="1:35" s="2" customFormat="1" ht="16.5" customHeight="1">
      <c r="A31" s="6" t="s">
        <v>28</v>
      </c>
      <c r="B31" s="4">
        <v>1</v>
      </c>
      <c r="C31" s="4">
        <v>10</v>
      </c>
      <c r="D31" s="19">
        <v>3968</v>
      </c>
      <c r="E31" s="19">
        <v>4203.7</v>
      </c>
      <c r="F31" s="53">
        <f t="shared" si="1"/>
        <v>1.0594002016129032</v>
      </c>
      <c r="G31" s="4">
        <v>10</v>
      </c>
      <c r="H31" s="52">
        <v>11.600000000000001</v>
      </c>
      <c r="I31" s="52">
        <v>11.600000000000001</v>
      </c>
      <c r="J31" s="53">
        <f t="shared" si="2"/>
        <v>1</v>
      </c>
      <c r="K31" s="4">
        <v>15</v>
      </c>
      <c r="L31" s="24">
        <f t="shared" si="3"/>
        <v>1.0169714861751151</v>
      </c>
      <c r="M31" s="48">
        <v>90499</v>
      </c>
      <c r="N31" s="19">
        <f t="shared" si="4"/>
        <v>41135.9</v>
      </c>
      <c r="O31" s="19">
        <f t="shared" si="9"/>
        <v>41834</v>
      </c>
      <c r="P31" s="19">
        <f t="shared" si="5"/>
        <v>698.09999999999854</v>
      </c>
      <c r="Q31" s="19">
        <v>8227.2000000000007</v>
      </c>
      <c r="R31" s="19">
        <v>8227.2000000000007</v>
      </c>
      <c r="S31" s="19">
        <v>8646</v>
      </c>
      <c r="T31" s="19">
        <v>8366.7999999999993</v>
      </c>
      <c r="U31" s="19"/>
      <c r="V31" s="19">
        <f t="shared" si="6"/>
        <v>8366.7999999999993</v>
      </c>
      <c r="W31" s="43"/>
      <c r="X31" s="43"/>
      <c r="Y31" s="44"/>
      <c r="Z31" s="19">
        <f t="shared" si="7"/>
        <v>8366.7999999999993</v>
      </c>
      <c r="AA31" s="43"/>
      <c r="AB31" s="19">
        <f t="shared" si="8"/>
        <v>8366.7999999999993</v>
      </c>
      <c r="AC31" s="1"/>
      <c r="AD31" s="1"/>
      <c r="AE31" s="1"/>
      <c r="AF31" s="1"/>
      <c r="AG31" s="36"/>
      <c r="AH31" s="1"/>
      <c r="AI31" s="1"/>
    </row>
    <row r="32" spans="1:35" s="2" customFormat="1" ht="17.100000000000001" customHeight="1">
      <c r="A32" s="6" t="s">
        <v>29</v>
      </c>
      <c r="B32" s="4">
        <v>1</v>
      </c>
      <c r="C32" s="4">
        <v>10</v>
      </c>
      <c r="D32" s="19">
        <v>978</v>
      </c>
      <c r="E32" s="19">
        <v>928.8</v>
      </c>
      <c r="F32" s="53">
        <f t="shared" si="1"/>
        <v>0.94969325153374229</v>
      </c>
      <c r="G32" s="4">
        <v>10</v>
      </c>
      <c r="H32" s="52">
        <v>2.1</v>
      </c>
      <c r="I32" s="52">
        <v>2.1</v>
      </c>
      <c r="J32" s="53">
        <f t="shared" si="2"/>
        <v>1</v>
      </c>
      <c r="K32" s="4">
        <v>15</v>
      </c>
      <c r="L32" s="24">
        <f t="shared" si="3"/>
        <v>0.98562664329535488</v>
      </c>
      <c r="M32" s="48">
        <v>40605</v>
      </c>
      <c r="N32" s="19">
        <f t="shared" si="4"/>
        <v>18456.8</v>
      </c>
      <c r="O32" s="19">
        <f t="shared" si="9"/>
        <v>18191.5</v>
      </c>
      <c r="P32" s="19">
        <f t="shared" si="5"/>
        <v>-265.29999999999927</v>
      </c>
      <c r="Q32" s="19">
        <v>3691.4</v>
      </c>
      <c r="R32" s="19">
        <v>3691.3</v>
      </c>
      <c r="S32" s="19">
        <v>2609.4</v>
      </c>
      <c r="T32" s="19">
        <v>2715.6</v>
      </c>
      <c r="U32" s="19">
        <v>1845.6</v>
      </c>
      <c r="V32" s="19">
        <f t="shared" si="6"/>
        <v>3638.2</v>
      </c>
      <c r="W32" s="44"/>
      <c r="X32" s="43"/>
      <c r="Y32" s="44"/>
      <c r="Z32" s="19">
        <f t="shared" si="7"/>
        <v>3638.2</v>
      </c>
      <c r="AA32" s="43">
        <f>MIN(Z32,922.8)</f>
        <v>922.8</v>
      </c>
      <c r="AB32" s="19">
        <f t="shared" si="8"/>
        <v>2715.4</v>
      </c>
      <c r="AC32" s="1"/>
      <c r="AD32" s="1"/>
      <c r="AE32" s="1"/>
      <c r="AF32" s="1"/>
      <c r="AG32" s="36"/>
    </row>
    <row r="33" spans="1:35" s="2" customFormat="1" ht="17.100000000000001" customHeight="1">
      <c r="A33" s="6" t="s">
        <v>30</v>
      </c>
      <c r="B33" s="4">
        <v>1</v>
      </c>
      <c r="C33" s="4">
        <v>10</v>
      </c>
      <c r="D33" s="19">
        <v>3030</v>
      </c>
      <c r="E33" s="19">
        <v>3017.5</v>
      </c>
      <c r="F33" s="53">
        <f t="shared" si="1"/>
        <v>0.99587458745874591</v>
      </c>
      <c r="G33" s="4">
        <v>10</v>
      </c>
      <c r="H33" s="52">
        <v>5</v>
      </c>
      <c r="I33" s="52">
        <v>1.1000000000000001</v>
      </c>
      <c r="J33" s="53">
        <f t="shared" si="2"/>
        <v>1.3</v>
      </c>
      <c r="K33" s="4">
        <v>15</v>
      </c>
      <c r="L33" s="24">
        <f t="shared" si="3"/>
        <v>1.1273927392739274</v>
      </c>
      <c r="M33" s="48">
        <v>60054</v>
      </c>
      <c r="N33" s="19">
        <f t="shared" si="4"/>
        <v>27297.3</v>
      </c>
      <c r="O33" s="19">
        <f t="shared" si="9"/>
        <v>30774.799999999999</v>
      </c>
      <c r="P33" s="19">
        <f t="shared" si="5"/>
        <v>3477.5</v>
      </c>
      <c r="Q33" s="19">
        <v>5459.5</v>
      </c>
      <c r="R33" s="19">
        <v>5459.4</v>
      </c>
      <c r="S33" s="19">
        <v>6181.1</v>
      </c>
      <c r="T33" s="19">
        <v>4790</v>
      </c>
      <c r="U33" s="19">
        <v>2729.8</v>
      </c>
      <c r="V33" s="19">
        <f t="shared" si="6"/>
        <v>6155</v>
      </c>
      <c r="W33" s="43"/>
      <c r="X33" s="43"/>
      <c r="Y33" s="44"/>
      <c r="Z33" s="19">
        <f t="shared" si="7"/>
        <v>6155</v>
      </c>
      <c r="AA33" s="43">
        <f>MIN(Z33,1364.9)</f>
        <v>1364.9</v>
      </c>
      <c r="AB33" s="19">
        <f t="shared" si="8"/>
        <v>4790.1000000000004</v>
      </c>
      <c r="AC33" s="1"/>
      <c r="AD33" s="1"/>
      <c r="AE33" s="1"/>
      <c r="AF33" s="1"/>
      <c r="AG33" s="36"/>
      <c r="AH33" s="1"/>
      <c r="AI33" s="1"/>
    </row>
    <row r="34" spans="1:35" s="2" customFormat="1" ht="17.100000000000001" customHeight="1">
      <c r="A34" s="6" t="s">
        <v>31</v>
      </c>
      <c r="B34" s="4">
        <v>1</v>
      </c>
      <c r="C34" s="4">
        <v>10</v>
      </c>
      <c r="D34" s="19">
        <v>1200</v>
      </c>
      <c r="E34" s="19">
        <v>1218.0999999999999</v>
      </c>
      <c r="F34" s="53">
        <f t="shared" si="1"/>
        <v>1.0150833333333333</v>
      </c>
      <c r="G34" s="4">
        <v>10</v>
      </c>
      <c r="H34" s="52">
        <v>66.5</v>
      </c>
      <c r="I34" s="52">
        <v>68.099999999999994</v>
      </c>
      <c r="J34" s="53">
        <f t="shared" si="2"/>
        <v>0.97650513950073425</v>
      </c>
      <c r="K34" s="4">
        <v>15</v>
      </c>
      <c r="L34" s="24">
        <f t="shared" si="3"/>
        <v>0.994240297881267</v>
      </c>
      <c r="M34" s="48">
        <v>61604</v>
      </c>
      <c r="N34" s="19">
        <f t="shared" si="4"/>
        <v>28001.8</v>
      </c>
      <c r="O34" s="19">
        <f t="shared" si="9"/>
        <v>27840.5</v>
      </c>
      <c r="P34" s="19">
        <f t="shared" si="5"/>
        <v>-161.29999999999927</v>
      </c>
      <c r="Q34" s="19">
        <v>5022</v>
      </c>
      <c r="R34" s="19">
        <v>5022</v>
      </c>
      <c r="S34" s="19">
        <v>6660.3</v>
      </c>
      <c r="T34" s="19">
        <v>5568.2</v>
      </c>
      <c r="U34" s="19"/>
      <c r="V34" s="19">
        <f t="shared" si="6"/>
        <v>5568</v>
      </c>
      <c r="W34" s="43"/>
      <c r="X34" s="43"/>
      <c r="Y34" s="44"/>
      <c r="Z34" s="19">
        <f t="shared" si="7"/>
        <v>5568</v>
      </c>
      <c r="AA34" s="43"/>
      <c r="AB34" s="19">
        <f t="shared" si="8"/>
        <v>5568</v>
      </c>
      <c r="AC34" s="1"/>
      <c r="AD34" s="1"/>
      <c r="AE34" s="1"/>
      <c r="AF34" s="1"/>
      <c r="AG34" s="36"/>
    </row>
    <row r="35" spans="1:35" s="2" customFormat="1" ht="17.100000000000001" customHeight="1">
      <c r="A35" s="6" t="s">
        <v>1</v>
      </c>
      <c r="B35" s="4">
        <v>1</v>
      </c>
      <c r="C35" s="4">
        <v>10</v>
      </c>
      <c r="D35" s="19">
        <v>8533</v>
      </c>
      <c r="E35" s="19">
        <v>8255</v>
      </c>
      <c r="F35" s="53">
        <f t="shared" si="1"/>
        <v>0.96742060236728</v>
      </c>
      <c r="G35" s="4">
        <v>10</v>
      </c>
      <c r="H35" s="52">
        <v>62.8</v>
      </c>
      <c r="I35" s="52">
        <v>48.5</v>
      </c>
      <c r="J35" s="53">
        <f t="shared" si="2"/>
        <v>1.2094845360824742</v>
      </c>
      <c r="K35" s="4">
        <v>15</v>
      </c>
      <c r="L35" s="24">
        <f t="shared" si="3"/>
        <v>1.0804706875688546</v>
      </c>
      <c r="M35" s="48">
        <v>90750</v>
      </c>
      <c r="N35" s="19">
        <f t="shared" si="4"/>
        <v>41250</v>
      </c>
      <c r="O35" s="19">
        <f t="shared" si="9"/>
        <v>44569.4</v>
      </c>
      <c r="P35" s="19">
        <f t="shared" si="5"/>
        <v>3319.4000000000015</v>
      </c>
      <c r="Q35" s="19">
        <v>8250</v>
      </c>
      <c r="R35" s="19">
        <v>8250</v>
      </c>
      <c r="S35" s="19">
        <v>8179.1</v>
      </c>
      <c r="T35" s="19">
        <v>6851.4</v>
      </c>
      <c r="U35" s="19">
        <v>4125</v>
      </c>
      <c r="V35" s="19">
        <f t="shared" si="6"/>
        <v>8913.9</v>
      </c>
      <c r="W35" s="43"/>
      <c r="X35" s="43"/>
      <c r="Y35" s="44"/>
      <c r="Z35" s="19">
        <f t="shared" si="7"/>
        <v>8913.9</v>
      </c>
      <c r="AA35" s="43">
        <f>MIN(Z35,887)</f>
        <v>887</v>
      </c>
      <c r="AB35" s="19">
        <f t="shared" si="8"/>
        <v>8026.9</v>
      </c>
      <c r="AC35" s="1"/>
      <c r="AD35" s="1"/>
      <c r="AE35" s="1"/>
      <c r="AF35" s="1"/>
      <c r="AG35" s="36"/>
      <c r="AH35" s="1"/>
      <c r="AI35" s="1"/>
    </row>
    <row r="36" spans="1:35" s="2" customFormat="1" ht="17.100000000000001" customHeight="1">
      <c r="A36" s="6" t="s">
        <v>32</v>
      </c>
      <c r="B36" s="4">
        <v>1</v>
      </c>
      <c r="C36" s="4">
        <v>10</v>
      </c>
      <c r="D36" s="19">
        <v>3418</v>
      </c>
      <c r="E36" s="19">
        <v>4098.1000000000004</v>
      </c>
      <c r="F36" s="53">
        <f t="shared" si="1"/>
        <v>1.1989760093622002</v>
      </c>
      <c r="G36" s="4">
        <v>10</v>
      </c>
      <c r="H36" s="52">
        <v>177.3</v>
      </c>
      <c r="I36" s="52">
        <v>199.4</v>
      </c>
      <c r="J36" s="53">
        <f t="shared" si="2"/>
        <v>0.88916750250752263</v>
      </c>
      <c r="K36" s="4">
        <v>15</v>
      </c>
      <c r="L36" s="24">
        <f t="shared" si="3"/>
        <v>1.0093506466067097</v>
      </c>
      <c r="M36" s="48">
        <v>62785</v>
      </c>
      <c r="N36" s="19">
        <f t="shared" si="4"/>
        <v>28538.6</v>
      </c>
      <c r="O36" s="19">
        <f t="shared" si="9"/>
        <v>28805.5</v>
      </c>
      <c r="P36" s="19">
        <f t="shared" si="5"/>
        <v>266.90000000000146</v>
      </c>
      <c r="Q36" s="19">
        <v>5707.7</v>
      </c>
      <c r="R36" s="19">
        <v>5707.8</v>
      </c>
      <c r="S36" s="19">
        <v>5867.8</v>
      </c>
      <c r="T36" s="19">
        <v>5761.1</v>
      </c>
      <c r="U36" s="19"/>
      <c r="V36" s="19">
        <f t="shared" si="6"/>
        <v>5761.1</v>
      </c>
      <c r="W36" s="43"/>
      <c r="X36" s="43"/>
      <c r="Y36" s="44"/>
      <c r="Z36" s="19">
        <f t="shared" si="7"/>
        <v>5761.1</v>
      </c>
      <c r="AA36" s="43"/>
      <c r="AB36" s="19">
        <f t="shared" si="8"/>
        <v>5761.1</v>
      </c>
      <c r="AC36" s="1"/>
      <c r="AD36" s="1"/>
      <c r="AE36" s="1"/>
      <c r="AF36" s="1"/>
      <c r="AG36" s="36"/>
      <c r="AH36" s="1"/>
      <c r="AI36" s="1"/>
    </row>
    <row r="37" spans="1:35" s="2" customFormat="1" ht="17.100000000000001" customHeight="1">
      <c r="A37" s="6" t="s">
        <v>33</v>
      </c>
      <c r="B37" s="4">
        <v>1</v>
      </c>
      <c r="C37" s="4">
        <v>10</v>
      </c>
      <c r="D37" s="19">
        <v>1093</v>
      </c>
      <c r="E37" s="19">
        <v>1144.5</v>
      </c>
      <c r="F37" s="53">
        <f t="shared" si="1"/>
        <v>1.0471180237877402</v>
      </c>
      <c r="G37" s="4">
        <v>10</v>
      </c>
      <c r="H37" s="52">
        <v>10.1</v>
      </c>
      <c r="I37" s="52">
        <v>20.9</v>
      </c>
      <c r="J37" s="53">
        <f t="shared" si="2"/>
        <v>0.48325358851674644</v>
      </c>
      <c r="K37" s="4">
        <v>15</v>
      </c>
      <c r="L37" s="24">
        <f t="shared" si="3"/>
        <v>0.79199954473224565</v>
      </c>
      <c r="M37" s="48">
        <v>36975</v>
      </c>
      <c r="N37" s="19">
        <f t="shared" si="4"/>
        <v>16806.8</v>
      </c>
      <c r="O37" s="19">
        <f t="shared" si="9"/>
        <v>13311</v>
      </c>
      <c r="P37" s="19">
        <f t="shared" si="5"/>
        <v>-3495.7999999999993</v>
      </c>
      <c r="Q37" s="19">
        <v>3361.4</v>
      </c>
      <c r="R37" s="19">
        <v>3361.3</v>
      </c>
      <c r="S37" s="19">
        <v>1263.9000000000001</v>
      </c>
      <c r="T37" s="19">
        <v>2662.2</v>
      </c>
      <c r="U37" s="19"/>
      <c r="V37" s="19">
        <f t="shared" si="6"/>
        <v>2662.2</v>
      </c>
      <c r="W37" s="43"/>
      <c r="X37" s="43"/>
      <c r="Y37" s="44"/>
      <c r="Z37" s="19">
        <f t="shared" si="7"/>
        <v>2662.2</v>
      </c>
      <c r="AA37" s="43"/>
      <c r="AB37" s="19">
        <f t="shared" si="8"/>
        <v>2662.2</v>
      </c>
      <c r="AC37" s="1"/>
      <c r="AD37" s="1"/>
      <c r="AE37" s="1"/>
      <c r="AF37" s="1"/>
      <c r="AG37" s="36"/>
      <c r="AH37" s="1"/>
      <c r="AI37" s="1"/>
    </row>
    <row r="38" spans="1:35" s="2" customFormat="1" ht="17.100000000000001" customHeight="1">
      <c r="A38" s="6" t="s">
        <v>34</v>
      </c>
      <c r="B38" s="4">
        <v>1</v>
      </c>
      <c r="C38" s="4">
        <v>10</v>
      </c>
      <c r="D38" s="19">
        <v>1377</v>
      </c>
      <c r="E38" s="19">
        <v>1402.9</v>
      </c>
      <c r="F38" s="53">
        <f t="shared" si="1"/>
        <v>1.018809005083515</v>
      </c>
      <c r="G38" s="4">
        <v>10</v>
      </c>
      <c r="H38" s="52">
        <v>3.5</v>
      </c>
      <c r="I38" s="52">
        <v>3.5</v>
      </c>
      <c r="J38" s="53">
        <f t="shared" si="2"/>
        <v>1</v>
      </c>
      <c r="K38" s="4">
        <v>15</v>
      </c>
      <c r="L38" s="24">
        <f t="shared" si="3"/>
        <v>1.0053740014524328</v>
      </c>
      <c r="M38" s="48">
        <v>84816</v>
      </c>
      <c r="N38" s="19">
        <f t="shared" si="4"/>
        <v>38552.699999999997</v>
      </c>
      <c r="O38" s="19">
        <f t="shared" si="9"/>
        <v>38759.9</v>
      </c>
      <c r="P38" s="19">
        <f t="shared" si="5"/>
        <v>207.20000000000437</v>
      </c>
      <c r="Q38" s="19">
        <v>7710.5</v>
      </c>
      <c r="R38" s="19">
        <v>7710.6</v>
      </c>
      <c r="S38" s="19">
        <v>7834.8</v>
      </c>
      <c r="T38" s="19">
        <v>7752</v>
      </c>
      <c r="U38" s="19"/>
      <c r="V38" s="19">
        <f t="shared" si="6"/>
        <v>7752</v>
      </c>
      <c r="W38" s="44"/>
      <c r="X38" s="43"/>
      <c r="Y38" s="44"/>
      <c r="Z38" s="19">
        <f t="shared" si="7"/>
        <v>7752</v>
      </c>
      <c r="AA38" s="43"/>
      <c r="AB38" s="19">
        <f t="shared" si="8"/>
        <v>7752</v>
      </c>
      <c r="AC38" s="1"/>
      <c r="AD38" s="1"/>
      <c r="AE38" s="1"/>
      <c r="AF38" s="1"/>
      <c r="AG38" s="36"/>
      <c r="AH38" s="1"/>
      <c r="AI38" s="1"/>
    </row>
    <row r="39" spans="1:35" s="2" customFormat="1" ht="17.100000000000001" customHeight="1">
      <c r="A39" s="6" t="s">
        <v>35</v>
      </c>
      <c r="B39" s="4">
        <v>1</v>
      </c>
      <c r="C39" s="4">
        <v>10</v>
      </c>
      <c r="D39" s="19">
        <v>1543</v>
      </c>
      <c r="E39" s="19">
        <v>1686.4</v>
      </c>
      <c r="F39" s="53">
        <f t="shared" si="1"/>
        <v>1.0929358392741413</v>
      </c>
      <c r="G39" s="4">
        <v>10</v>
      </c>
      <c r="H39" s="52">
        <v>43.8</v>
      </c>
      <c r="I39" s="52">
        <v>59.3</v>
      </c>
      <c r="J39" s="53">
        <f t="shared" si="2"/>
        <v>0.73861720067453629</v>
      </c>
      <c r="K39" s="4">
        <v>15</v>
      </c>
      <c r="L39" s="24">
        <f t="shared" si="3"/>
        <v>0.91453189722455597</v>
      </c>
      <c r="M39" s="48">
        <v>65782</v>
      </c>
      <c r="N39" s="19">
        <f t="shared" si="4"/>
        <v>29900.9</v>
      </c>
      <c r="O39" s="19">
        <f t="shared" si="9"/>
        <v>27345.3</v>
      </c>
      <c r="P39" s="19">
        <f t="shared" si="5"/>
        <v>-2555.6000000000022</v>
      </c>
      <c r="Q39" s="19">
        <v>5980.2</v>
      </c>
      <c r="R39" s="19">
        <v>5980.2</v>
      </c>
      <c r="S39" s="19">
        <v>2951.8</v>
      </c>
      <c r="T39" s="19">
        <v>3974</v>
      </c>
      <c r="U39" s="19">
        <v>2990</v>
      </c>
      <c r="V39" s="19">
        <f t="shared" si="6"/>
        <v>5469.1</v>
      </c>
      <c r="W39" s="44"/>
      <c r="X39" s="43"/>
      <c r="Y39" s="44"/>
      <c r="Z39" s="19">
        <f t="shared" si="7"/>
        <v>5469.1</v>
      </c>
      <c r="AA39" s="43">
        <f>MIN(Z39,1495)</f>
        <v>1495</v>
      </c>
      <c r="AB39" s="19">
        <f t="shared" si="8"/>
        <v>3974.1</v>
      </c>
      <c r="AC39" s="1"/>
      <c r="AD39" s="1"/>
      <c r="AE39" s="1"/>
      <c r="AF39" s="1"/>
      <c r="AG39" s="36"/>
      <c r="AH39" s="1"/>
      <c r="AI39" s="1"/>
    </row>
    <row r="40" spans="1:35" s="2" customFormat="1" ht="17.100000000000001" customHeight="1">
      <c r="A40" s="6" t="s">
        <v>36</v>
      </c>
      <c r="B40" s="4">
        <v>1</v>
      </c>
      <c r="C40" s="4">
        <v>10</v>
      </c>
      <c r="D40" s="19">
        <v>4337</v>
      </c>
      <c r="E40" s="19">
        <v>4922.3</v>
      </c>
      <c r="F40" s="53">
        <f t="shared" si="1"/>
        <v>1.1349550380447315</v>
      </c>
      <c r="G40" s="4">
        <v>10</v>
      </c>
      <c r="H40" s="52">
        <v>39.200000000000003</v>
      </c>
      <c r="I40" s="52">
        <v>37.700000000000003</v>
      </c>
      <c r="J40" s="53">
        <f t="shared" si="2"/>
        <v>1.039787798408488</v>
      </c>
      <c r="K40" s="4">
        <v>15</v>
      </c>
      <c r="L40" s="24">
        <f t="shared" si="3"/>
        <v>1.0556104959021324</v>
      </c>
      <c r="M40" s="48">
        <v>83183</v>
      </c>
      <c r="N40" s="19">
        <f t="shared" si="4"/>
        <v>37810.5</v>
      </c>
      <c r="O40" s="19">
        <f t="shared" si="9"/>
        <v>39913.199999999997</v>
      </c>
      <c r="P40" s="19">
        <f t="shared" si="5"/>
        <v>2102.6999999999971</v>
      </c>
      <c r="Q40" s="19">
        <v>7002.4</v>
      </c>
      <c r="R40" s="19">
        <v>7002.3</v>
      </c>
      <c r="S40" s="19">
        <v>9943.2000000000007</v>
      </c>
      <c r="T40" s="19">
        <v>7982.6</v>
      </c>
      <c r="U40" s="19"/>
      <c r="V40" s="19">
        <f t="shared" si="6"/>
        <v>7982.7</v>
      </c>
      <c r="W40" s="43"/>
      <c r="X40" s="43"/>
      <c r="Y40" s="44"/>
      <c r="Z40" s="19">
        <f t="shared" si="7"/>
        <v>7982.7</v>
      </c>
      <c r="AA40" s="43"/>
      <c r="AB40" s="19">
        <f t="shared" si="8"/>
        <v>7982.7</v>
      </c>
      <c r="AC40" s="1"/>
      <c r="AD40" s="1"/>
      <c r="AE40" s="1"/>
      <c r="AF40" s="1"/>
      <c r="AG40" s="36"/>
      <c r="AH40" s="1"/>
      <c r="AI40" s="1"/>
    </row>
    <row r="41" spans="1:35" s="2" customFormat="1" ht="17.100000000000001" customHeight="1">
      <c r="A41" s="6" t="s">
        <v>37</v>
      </c>
      <c r="B41" s="4">
        <v>1</v>
      </c>
      <c r="C41" s="4">
        <v>10</v>
      </c>
      <c r="D41" s="19">
        <v>9345</v>
      </c>
      <c r="E41" s="19">
        <v>12303.6</v>
      </c>
      <c r="F41" s="53">
        <f t="shared" si="1"/>
        <v>1.2116597110754415</v>
      </c>
      <c r="G41" s="4">
        <v>10</v>
      </c>
      <c r="H41" s="52">
        <v>158</v>
      </c>
      <c r="I41" s="52">
        <v>190</v>
      </c>
      <c r="J41" s="53">
        <f t="shared" si="2"/>
        <v>0.83157894736842108</v>
      </c>
      <c r="K41" s="4">
        <v>15</v>
      </c>
      <c r="L41" s="24">
        <f t="shared" si="3"/>
        <v>0.9882937520365922</v>
      </c>
      <c r="M41" s="48">
        <v>101060</v>
      </c>
      <c r="N41" s="19">
        <f t="shared" si="4"/>
        <v>45936.4</v>
      </c>
      <c r="O41" s="19">
        <f t="shared" si="9"/>
        <v>45398.7</v>
      </c>
      <c r="P41" s="19">
        <f t="shared" si="5"/>
        <v>-537.70000000000437</v>
      </c>
      <c r="Q41" s="19">
        <v>9187.2999999999993</v>
      </c>
      <c r="R41" s="19">
        <v>9187.2000000000007</v>
      </c>
      <c r="S41" s="19">
        <v>6567.9</v>
      </c>
      <c r="T41" s="19">
        <v>6782.9</v>
      </c>
      <c r="U41" s="19">
        <v>4593.6000000000004</v>
      </c>
      <c r="V41" s="19">
        <f t="shared" si="6"/>
        <v>9079.7999999999993</v>
      </c>
      <c r="W41" s="43"/>
      <c r="X41" s="43"/>
      <c r="Y41" s="44"/>
      <c r="Z41" s="19">
        <f t="shared" si="7"/>
        <v>9079.7999999999993</v>
      </c>
      <c r="AA41" s="43">
        <f>MIN(Z41,1065.1)</f>
        <v>1065.0999999999999</v>
      </c>
      <c r="AB41" s="19">
        <f t="shared" si="8"/>
        <v>8014.7</v>
      </c>
      <c r="AC41" s="1"/>
      <c r="AD41" s="1"/>
      <c r="AE41" s="1"/>
      <c r="AF41" s="1"/>
      <c r="AG41" s="36"/>
      <c r="AH41" s="1"/>
      <c r="AI41" s="1"/>
    </row>
    <row r="42" spans="1:35" s="2" customFormat="1" ht="17.100000000000001" customHeight="1">
      <c r="A42" s="6" t="s">
        <v>38</v>
      </c>
      <c r="B42" s="4">
        <v>1</v>
      </c>
      <c r="C42" s="4">
        <v>10</v>
      </c>
      <c r="D42" s="19">
        <v>2372</v>
      </c>
      <c r="E42" s="19">
        <v>2284.4</v>
      </c>
      <c r="F42" s="53">
        <f t="shared" si="1"/>
        <v>0.96306913996627319</v>
      </c>
      <c r="G42" s="4">
        <v>10</v>
      </c>
      <c r="H42" s="52">
        <v>8.5</v>
      </c>
      <c r="I42" s="52">
        <v>7.1</v>
      </c>
      <c r="J42" s="53">
        <f t="shared" si="2"/>
        <v>1.1971830985915493</v>
      </c>
      <c r="K42" s="4">
        <v>15</v>
      </c>
      <c r="L42" s="24">
        <f t="shared" si="3"/>
        <v>1.0739553679581706</v>
      </c>
      <c r="M42" s="48">
        <v>56690</v>
      </c>
      <c r="N42" s="19">
        <f t="shared" si="4"/>
        <v>25768.2</v>
      </c>
      <c r="O42" s="19">
        <f t="shared" si="9"/>
        <v>27673.9</v>
      </c>
      <c r="P42" s="19">
        <f t="shared" si="5"/>
        <v>1905.7000000000007</v>
      </c>
      <c r="Q42" s="19">
        <v>5153.6000000000004</v>
      </c>
      <c r="R42" s="19">
        <v>5153.7</v>
      </c>
      <c r="S42" s="19">
        <v>6297</v>
      </c>
      <c r="T42" s="19">
        <v>5534.8</v>
      </c>
      <c r="U42" s="19"/>
      <c r="V42" s="19">
        <f t="shared" si="6"/>
        <v>5534.8</v>
      </c>
      <c r="W42" s="44"/>
      <c r="X42" s="43"/>
      <c r="Y42" s="44"/>
      <c r="Z42" s="19">
        <f t="shared" si="7"/>
        <v>5534.8</v>
      </c>
      <c r="AA42" s="43"/>
      <c r="AB42" s="19">
        <f t="shared" si="8"/>
        <v>5534.8</v>
      </c>
      <c r="AC42" s="1"/>
      <c r="AD42" s="1"/>
      <c r="AE42" s="1"/>
      <c r="AF42" s="1"/>
      <c r="AG42" s="36"/>
      <c r="AH42" s="1"/>
      <c r="AI42" s="1"/>
    </row>
    <row r="43" spans="1:35" s="2" customFormat="1" ht="17.100000000000001" customHeight="1">
      <c r="A43" s="6" t="s">
        <v>2</v>
      </c>
      <c r="B43" s="4">
        <v>1</v>
      </c>
      <c r="C43" s="4">
        <v>10</v>
      </c>
      <c r="D43" s="19">
        <v>1056</v>
      </c>
      <c r="E43" s="19">
        <v>1067.3</v>
      </c>
      <c r="F43" s="53">
        <f t="shared" si="1"/>
        <v>1.0107007575757576</v>
      </c>
      <c r="G43" s="4">
        <v>10</v>
      </c>
      <c r="H43" s="52">
        <v>15.2</v>
      </c>
      <c r="I43" s="52">
        <v>10.6</v>
      </c>
      <c r="J43" s="53">
        <f t="shared" si="2"/>
        <v>1.2233962264150944</v>
      </c>
      <c r="K43" s="4">
        <v>15</v>
      </c>
      <c r="L43" s="24">
        <f t="shared" si="3"/>
        <v>1.0987985991995426</v>
      </c>
      <c r="M43" s="48">
        <v>50318</v>
      </c>
      <c r="N43" s="19">
        <f t="shared" si="4"/>
        <v>22871.8</v>
      </c>
      <c r="O43" s="19">
        <f t="shared" si="9"/>
        <v>25131.5</v>
      </c>
      <c r="P43" s="19">
        <f t="shared" si="5"/>
        <v>2259.7000000000007</v>
      </c>
      <c r="Q43" s="19">
        <v>4574.3999999999996</v>
      </c>
      <c r="R43" s="19">
        <v>4574.3</v>
      </c>
      <c r="S43" s="19">
        <v>5930.2</v>
      </c>
      <c r="T43" s="19">
        <v>5026.3999999999996</v>
      </c>
      <c r="U43" s="19"/>
      <c r="V43" s="19">
        <f t="shared" si="6"/>
        <v>5026.2</v>
      </c>
      <c r="W43" s="44"/>
      <c r="X43" s="43"/>
      <c r="Y43" s="44"/>
      <c r="Z43" s="19">
        <f t="shared" si="7"/>
        <v>5026.2</v>
      </c>
      <c r="AA43" s="43"/>
      <c r="AB43" s="19">
        <f t="shared" si="8"/>
        <v>5026.2</v>
      </c>
      <c r="AC43" s="1"/>
      <c r="AD43" s="1"/>
      <c r="AE43" s="1"/>
      <c r="AF43" s="1"/>
      <c r="AG43" s="36"/>
      <c r="AH43" s="1"/>
      <c r="AI43" s="1"/>
    </row>
    <row r="44" spans="1:35" s="2" customFormat="1" ht="17.100000000000001" customHeight="1">
      <c r="A44" s="6" t="s">
        <v>39</v>
      </c>
      <c r="B44" s="4">
        <v>1</v>
      </c>
      <c r="C44" s="4">
        <v>10</v>
      </c>
      <c r="D44" s="19">
        <v>998</v>
      </c>
      <c r="E44" s="19">
        <v>1039.3</v>
      </c>
      <c r="F44" s="53">
        <f t="shared" si="1"/>
        <v>1.0413827655310621</v>
      </c>
      <c r="G44" s="4">
        <v>10</v>
      </c>
      <c r="H44" s="52">
        <v>11.7</v>
      </c>
      <c r="I44" s="52">
        <v>6.7</v>
      </c>
      <c r="J44" s="53">
        <f t="shared" si="2"/>
        <v>1.2546268656716417</v>
      </c>
      <c r="K44" s="4">
        <v>15</v>
      </c>
      <c r="L44" s="24">
        <f t="shared" si="3"/>
        <v>1.1209494468681498</v>
      </c>
      <c r="M44" s="48">
        <v>46028</v>
      </c>
      <c r="N44" s="19">
        <f t="shared" si="4"/>
        <v>20921.8</v>
      </c>
      <c r="O44" s="19">
        <f t="shared" si="9"/>
        <v>23452.3</v>
      </c>
      <c r="P44" s="19">
        <f t="shared" si="5"/>
        <v>2530.5</v>
      </c>
      <c r="Q44" s="19">
        <v>4184.3999999999996</v>
      </c>
      <c r="R44" s="19">
        <v>4184.3</v>
      </c>
      <c r="S44" s="19">
        <v>5702.7</v>
      </c>
      <c r="T44" s="19">
        <v>4690.5</v>
      </c>
      <c r="U44" s="19"/>
      <c r="V44" s="19">
        <f t="shared" si="6"/>
        <v>4690.3999999999996</v>
      </c>
      <c r="W44" s="44"/>
      <c r="X44" s="43"/>
      <c r="Y44" s="44"/>
      <c r="Z44" s="19">
        <f t="shared" si="7"/>
        <v>4690.3999999999996</v>
      </c>
      <c r="AA44" s="43"/>
      <c r="AB44" s="19">
        <f t="shared" si="8"/>
        <v>4690.3999999999996</v>
      </c>
      <c r="AC44" s="1"/>
      <c r="AD44" s="1"/>
      <c r="AE44" s="1"/>
      <c r="AF44" s="1"/>
      <c r="AG44" s="36"/>
      <c r="AH44" s="1"/>
      <c r="AI44" s="1"/>
    </row>
    <row r="45" spans="1:35" s="2" customFormat="1" ht="17.100000000000001" customHeight="1">
      <c r="A45" s="6" t="s">
        <v>3</v>
      </c>
      <c r="B45" s="4">
        <v>1</v>
      </c>
      <c r="C45" s="4">
        <v>10</v>
      </c>
      <c r="D45" s="19">
        <v>1420</v>
      </c>
      <c r="E45" s="19">
        <v>1615.2</v>
      </c>
      <c r="F45" s="53">
        <f t="shared" si="1"/>
        <v>1.1374647887323943</v>
      </c>
      <c r="G45" s="4">
        <v>10</v>
      </c>
      <c r="H45" s="52">
        <v>10.6</v>
      </c>
      <c r="I45" s="52">
        <v>3.2</v>
      </c>
      <c r="J45" s="53">
        <f t="shared" si="2"/>
        <v>1.3</v>
      </c>
      <c r="K45" s="4">
        <v>15</v>
      </c>
      <c r="L45" s="24">
        <f t="shared" si="3"/>
        <v>1.1678470824949698</v>
      </c>
      <c r="M45" s="48">
        <v>46360</v>
      </c>
      <c r="N45" s="19">
        <f t="shared" si="4"/>
        <v>21072.7</v>
      </c>
      <c r="O45" s="19">
        <f t="shared" si="9"/>
        <v>24609.7</v>
      </c>
      <c r="P45" s="19">
        <f t="shared" si="5"/>
        <v>3537</v>
      </c>
      <c r="Q45" s="19">
        <v>4214.5</v>
      </c>
      <c r="R45" s="19">
        <v>4214.6000000000004</v>
      </c>
      <c r="S45" s="19">
        <v>5283.1</v>
      </c>
      <c r="T45" s="19">
        <v>3868.4</v>
      </c>
      <c r="U45" s="19">
        <v>2107.1999999999998</v>
      </c>
      <c r="V45" s="19">
        <f t="shared" si="6"/>
        <v>4921.8999999999996</v>
      </c>
      <c r="W45" s="44"/>
      <c r="X45" s="43"/>
      <c r="Y45" s="44"/>
      <c r="Z45" s="19">
        <f t="shared" si="7"/>
        <v>4921.8999999999996</v>
      </c>
      <c r="AA45" s="43">
        <f>MIN(Z45,1053.6)</f>
        <v>1053.5999999999999</v>
      </c>
      <c r="AB45" s="19">
        <f t="shared" si="8"/>
        <v>3868.3</v>
      </c>
      <c r="AC45" s="1"/>
      <c r="AD45" s="1"/>
      <c r="AE45" s="1"/>
      <c r="AF45" s="1"/>
      <c r="AG45" s="36"/>
      <c r="AH45" s="1"/>
      <c r="AI45" s="1"/>
    </row>
    <row r="46" spans="1:35" s="2" customFormat="1" ht="17.100000000000001" customHeight="1">
      <c r="A46" s="6" t="s">
        <v>40</v>
      </c>
      <c r="B46" s="4">
        <v>1</v>
      </c>
      <c r="C46" s="4">
        <v>10</v>
      </c>
      <c r="D46" s="19">
        <v>2287</v>
      </c>
      <c r="E46" s="19">
        <v>2307</v>
      </c>
      <c r="F46" s="53">
        <f>IF(G46=0,0,IF(D46=0,1,IF(E46&lt;0,0,IF(E46/D46&gt;1.2,IF((E46/D46-1.2)*0.1+1.2&gt;1.3,1.3,(E46/D46-1.2)*0.1+1.2),E46/D46))))</f>
        <v>1.0087450808919982</v>
      </c>
      <c r="G46" s="4">
        <v>10</v>
      </c>
      <c r="H46" s="52">
        <v>7.3</v>
      </c>
      <c r="I46" s="52">
        <v>5.4</v>
      </c>
      <c r="J46" s="53">
        <f t="shared" si="2"/>
        <v>1.2151851851851851</v>
      </c>
      <c r="K46" s="4">
        <v>15</v>
      </c>
      <c r="L46" s="24">
        <f t="shared" si="3"/>
        <v>1.0947208167627931</v>
      </c>
      <c r="M46" s="48">
        <v>62450</v>
      </c>
      <c r="N46" s="19">
        <f t="shared" si="4"/>
        <v>28386.400000000001</v>
      </c>
      <c r="O46" s="19">
        <f t="shared" si="9"/>
        <v>31075.200000000001</v>
      </c>
      <c r="P46" s="19">
        <f t="shared" si="5"/>
        <v>2688.7999999999993</v>
      </c>
      <c r="Q46" s="19">
        <v>5677.3</v>
      </c>
      <c r="R46" s="19">
        <v>5677.2</v>
      </c>
      <c r="S46" s="19">
        <v>5871.3</v>
      </c>
      <c r="T46" s="19">
        <v>4795.7</v>
      </c>
      <c r="U46" s="19">
        <v>2838.6</v>
      </c>
      <c r="V46" s="19">
        <f t="shared" si="6"/>
        <v>6215.1</v>
      </c>
      <c r="W46" s="43"/>
      <c r="X46" s="43"/>
      <c r="Y46" s="44"/>
      <c r="Z46" s="19">
        <f>IF(OR(W46="+",X46="+",Y46="+"),0,V46)</f>
        <v>6215.1</v>
      </c>
      <c r="AA46" s="43">
        <f>MIN(Z46,1419.3)</f>
        <v>1419.3</v>
      </c>
      <c r="AB46" s="19">
        <f t="shared" si="8"/>
        <v>4795.8</v>
      </c>
      <c r="AC46" s="1"/>
      <c r="AD46" s="1"/>
      <c r="AE46" s="1"/>
      <c r="AF46" s="1"/>
      <c r="AG46" s="36"/>
      <c r="AH46" s="1"/>
      <c r="AI46" s="1"/>
    </row>
    <row r="47" spans="1:35" s="22" customFormat="1" ht="17.100000000000001" customHeight="1">
      <c r="A47" s="21" t="s">
        <v>45</v>
      </c>
      <c r="B47" s="21"/>
      <c r="C47" s="21"/>
      <c r="D47" s="23">
        <f>D8+D19</f>
        <v>470151</v>
      </c>
      <c r="E47" s="23">
        <f>E8+E19</f>
        <v>510464.79999999993</v>
      </c>
      <c r="F47" s="54">
        <f>IF(E47/D47&gt;1.2,IF((E47/D47-1.2)*0.1+1.2&gt;1.3,1.3,(E47/D47-1.2)*0.1+1.2),E47/D47)</f>
        <v>1.0857464942114341</v>
      </c>
      <c r="G47" s="21"/>
      <c r="H47" s="23">
        <f>H8+H19</f>
        <v>2653.4</v>
      </c>
      <c r="I47" s="23">
        <f>I8+I19</f>
        <v>2077.8999999999996</v>
      </c>
      <c r="J47" s="54">
        <f>IF(H47/I47&gt;1.2,IF((H47/I47-1.2)*0.1+1.2&gt;1.3,1.3,(H47/I47-1.2)*0.1+1.2),H47/I47)</f>
        <v>1.2076962317724627</v>
      </c>
      <c r="K47" s="21"/>
      <c r="L47" s="58">
        <f>O47/N47</f>
        <v>1.0437789689697241</v>
      </c>
      <c r="M47" s="49">
        <f>M8+M19</f>
        <v>3797451</v>
      </c>
      <c r="N47" s="23">
        <f t="shared" ref="N47" si="11">N8+N19</f>
        <v>1726114.2</v>
      </c>
      <c r="O47" s="23">
        <f>O8+O19</f>
        <v>1801681.7</v>
      </c>
      <c r="P47" s="23">
        <f>P8+P19</f>
        <v>75567.5</v>
      </c>
      <c r="Q47" s="23">
        <f t="shared" ref="Q47" si="12">Q8+Q19</f>
        <v>325946.49999999994</v>
      </c>
      <c r="R47" s="23">
        <f>R8+R19</f>
        <v>325946.7</v>
      </c>
      <c r="S47" s="23">
        <f>S8+S19</f>
        <v>380417.5</v>
      </c>
      <c r="T47" s="23">
        <f>T8+T19</f>
        <v>338522.60000000003</v>
      </c>
      <c r="U47" s="23">
        <f>U8+U19</f>
        <v>70512.399999999994</v>
      </c>
      <c r="V47" s="23">
        <f>V8+V19</f>
        <v>360336</v>
      </c>
      <c r="W47" s="38">
        <f>COUNTIF(W9:W46,"+")</f>
        <v>0</v>
      </c>
      <c r="X47" s="38">
        <f t="shared" ref="X47" si="13">COUNTIF(X9:X46,"+")</f>
        <v>0</v>
      </c>
      <c r="Y47" s="38">
        <f>COUNTIF(Y9:Y46,"+")</f>
        <v>0</v>
      </c>
      <c r="Z47" s="23">
        <f>Z8+Z19</f>
        <v>360336</v>
      </c>
      <c r="AA47" s="23">
        <f>AA8+AA19</f>
        <v>28926</v>
      </c>
      <c r="AB47" s="23">
        <f>AB8+AB19</f>
        <v>331410</v>
      </c>
      <c r="AC47" s="1"/>
      <c r="AD47" s="1"/>
      <c r="AE47" s="1"/>
      <c r="AF47" s="1"/>
      <c r="AG47" s="1"/>
      <c r="AH47" s="1"/>
      <c r="AI47" s="1"/>
    </row>
    <row r="48" spans="1:35" ht="10.5" customHeight="1"/>
    <row r="49" spans="2:28" ht="17.25" customHeight="1">
      <c r="B49" s="41" t="s">
        <v>50</v>
      </c>
      <c r="C49" s="40"/>
      <c r="D49" s="67" t="s">
        <v>52</v>
      </c>
      <c r="E49" s="68"/>
      <c r="F49" s="68"/>
      <c r="G49" s="68"/>
      <c r="H49" s="68"/>
      <c r="I49" s="68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2:28" ht="17.25" customHeight="1">
      <c r="C50" s="42" t="s">
        <v>51</v>
      </c>
      <c r="D50" s="67" t="s">
        <v>55</v>
      </c>
      <c r="E50" s="68"/>
      <c r="F50" s="68"/>
      <c r="G50" s="6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2" spans="2:28" ht="15" customHeight="1"/>
  </sheetData>
  <mergeCells count="27">
    <mergeCell ref="B1:M1"/>
    <mergeCell ref="D50:G50"/>
    <mergeCell ref="Z3:Z6"/>
    <mergeCell ref="AA3:AA6"/>
    <mergeCell ref="V3:V6"/>
    <mergeCell ref="W5:W6"/>
    <mergeCell ref="X5:X6"/>
    <mergeCell ref="Q5:Q6"/>
    <mergeCell ref="R5:R6"/>
    <mergeCell ref="W3:Y3"/>
    <mergeCell ref="D49:I49"/>
    <mergeCell ref="U3:U6"/>
    <mergeCell ref="Q3:T4"/>
    <mergeCell ref="AB3:AB6"/>
    <mergeCell ref="A3:A6"/>
    <mergeCell ref="M3:M6"/>
    <mergeCell ref="P3:P6"/>
    <mergeCell ref="O3:O6"/>
    <mergeCell ref="L3:L6"/>
    <mergeCell ref="N3:N6"/>
    <mergeCell ref="W4:X4"/>
    <mergeCell ref="Y4:Y6"/>
    <mergeCell ref="B3:C5"/>
    <mergeCell ref="D3:G5"/>
    <mergeCell ref="H3:K5"/>
    <mergeCell ref="S5:S6"/>
    <mergeCell ref="T5:T6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r:id="rId1"/>
  <headerFooter differentFirst="1" alignWithMargins="0">
    <oddHeader>&amp;C&amp;P</oddHeader>
  </headerFooter>
  <colBreaks count="1" manualBreakCount="1">
    <brk id="16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L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1" width="15.28515625" style="11" customWidth="1"/>
    <col min="12" max="12" width="12.140625" style="11" customWidth="1"/>
    <col min="13" max="13" width="63.7109375" style="11" customWidth="1"/>
    <col min="14" max="16384" width="9.140625" style="11"/>
  </cols>
  <sheetData>
    <row r="1" spans="1:12" ht="15.75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9" t="s">
        <v>46</v>
      </c>
    </row>
    <row r="3" spans="1:12" ht="192" customHeight="1">
      <c r="A3" s="81" t="s">
        <v>15</v>
      </c>
      <c r="B3" s="82" t="s">
        <v>41</v>
      </c>
      <c r="C3" s="84" t="s">
        <v>54</v>
      </c>
      <c r="D3" s="84"/>
      <c r="E3" s="84"/>
      <c r="F3" s="85" t="s">
        <v>60</v>
      </c>
      <c r="G3" s="86"/>
      <c r="H3" s="86"/>
      <c r="I3" s="85" t="s">
        <v>61</v>
      </c>
      <c r="J3" s="86"/>
      <c r="K3" s="87"/>
      <c r="L3" s="83" t="s">
        <v>44</v>
      </c>
    </row>
    <row r="4" spans="1:12" ht="32.1" customHeight="1">
      <c r="A4" s="81"/>
      <c r="B4" s="82"/>
      <c r="C4" s="12" t="s">
        <v>42</v>
      </c>
      <c r="D4" s="12" t="s">
        <v>43</v>
      </c>
      <c r="E4" s="59" t="s">
        <v>92</v>
      </c>
      <c r="F4" s="12" t="s">
        <v>42</v>
      </c>
      <c r="G4" s="12" t="s">
        <v>43</v>
      </c>
      <c r="H4" s="55" t="s">
        <v>93</v>
      </c>
      <c r="I4" s="12" t="s">
        <v>42</v>
      </c>
      <c r="J4" s="12" t="s">
        <v>43</v>
      </c>
      <c r="K4" s="55" t="s">
        <v>94</v>
      </c>
      <c r="L4" s="83"/>
    </row>
    <row r="5" spans="1:12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</row>
    <row r="6" spans="1:12" ht="15" customHeight="1">
      <c r="A6" s="14" t="s">
        <v>4</v>
      </c>
      <c r="B6" s="28">
        <f>SUM(B7:B16)</f>
        <v>40867.899999999994</v>
      </c>
      <c r="C6" s="28"/>
      <c r="D6" s="28"/>
      <c r="E6" s="28">
        <f>SUM(E7:E16)</f>
        <v>0</v>
      </c>
      <c r="F6" s="28"/>
      <c r="G6" s="28"/>
      <c r="H6" s="28">
        <f>SUM(H7:H16)</f>
        <v>31620.576718713459</v>
      </c>
      <c r="I6" s="28"/>
      <c r="J6" s="28"/>
      <c r="K6" s="28">
        <f>SUM(K7:K16)</f>
        <v>9247.3232812865281</v>
      </c>
      <c r="L6" s="28"/>
    </row>
    <row r="7" spans="1:12" ht="15" customHeight="1">
      <c r="A7" s="15" t="s">
        <v>5</v>
      </c>
      <c r="B7" s="29">
        <f>'Расчет дотаций'!P9</f>
        <v>20486.600000000006</v>
      </c>
      <c r="C7" s="33">
        <f>'Расчет дотаций'!B9-1</f>
        <v>0</v>
      </c>
      <c r="D7" s="33">
        <f>C7*'Расчет дотаций'!C9</f>
        <v>0</v>
      </c>
      <c r="E7" s="32">
        <f t="shared" ref="E7:E16" si="0">$B7*D7/$L7</f>
        <v>0</v>
      </c>
      <c r="F7" s="33">
        <f>'Расчет дотаций'!F9-1</f>
        <v>6.5188102931811098E-2</v>
      </c>
      <c r="G7" s="33">
        <f>F7*'Расчет дотаций'!G9</f>
        <v>0.97782154397716647</v>
      </c>
      <c r="H7" s="32">
        <f t="shared" ref="H7:H16" si="1">$B7*G7/L7</f>
        <v>3656.9717874193898</v>
      </c>
      <c r="I7" s="33">
        <f>'Расчет дотаций'!J9-1</f>
        <v>0.30000000000000004</v>
      </c>
      <c r="J7" s="33">
        <f>I7*'Расчет дотаций'!K9</f>
        <v>4.5000000000000009</v>
      </c>
      <c r="K7" s="32">
        <f>$B7*J7/L7</f>
        <v>16829.628212580614</v>
      </c>
      <c r="L7" s="31">
        <f t="shared" ref="L7:L16" si="2">D7+G7+J7</f>
        <v>5.4778215439771678</v>
      </c>
    </row>
    <row r="8" spans="1:12" ht="15" customHeight="1">
      <c r="A8" s="15" t="s">
        <v>6</v>
      </c>
      <c r="B8" s="29">
        <f>'Расчет дотаций'!P10</f>
        <v>-1055.7000000000116</v>
      </c>
      <c r="C8" s="33">
        <f>'Расчет дотаций'!B10-1</f>
        <v>0</v>
      </c>
      <c r="D8" s="33">
        <f>C8*'Расчет дотаций'!C10</f>
        <v>0</v>
      </c>
      <c r="E8" s="32">
        <f t="shared" si="0"/>
        <v>0</v>
      </c>
      <c r="F8" s="33">
        <f>'Расчет дотаций'!F10-1</f>
        <v>0.12201890528198245</v>
      </c>
      <c r="G8" s="33">
        <f>F8*'Расчет дотаций'!G10</f>
        <v>1.8302835792297367</v>
      </c>
      <c r="H8" s="32">
        <f t="shared" si="1"/>
        <v>16130.541349815358</v>
      </c>
      <c r="I8" s="33">
        <f>'Расчет дотаций'!J10-1</f>
        <v>-0.13000471031559124</v>
      </c>
      <c r="J8" s="33">
        <f>I8*'Расчет дотаций'!K10</f>
        <v>-1.9500706547338686</v>
      </c>
      <c r="K8" s="32">
        <f t="shared" ref="K8:K43" si="3">$B8*J8/L8</f>
        <v>-17186.241349815369</v>
      </c>
      <c r="L8" s="31">
        <f t="shared" si="2"/>
        <v>-0.11978707550413192</v>
      </c>
    </row>
    <row r="9" spans="1:12" ht="15" customHeight="1">
      <c r="A9" s="15" t="s">
        <v>7</v>
      </c>
      <c r="B9" s="29">
        <f>'Расчет дотаций'!P11</f>
        <v>-1449.7000000000116</v>
      </c>
      <c r="C9" s="33">
        <f>'Расчет дотаций'!B11-1</f>
        <v>0</v>
      </c>
      <c r="D9" s="33">
        <f>C9*'Расчет дотаций'!C11</f>
        <v>0</v>
      </c>
      <c r="E9" s="32">
        <f t="shared" si="0"/>
        <v>0</v>
      </c>
      <c r="F9" s="33">
        <f>'Расчет дотаций'!F11-1</f>
        <v>6.7860880485592689E-2</v>
      </c>
      <c r="G9" s="33">
        <f>F9*'Расчет дотаций'!G11</f>
        <v>1.0179132072838903</v>
      </c>
      <c r="H9" s="32">
        <f t="shared" si="1"/>
        <v>2573.528993638934</v>
      </c>
      <c r="I9" s="33">
        <f>'Расчет дотаций'!J11-1</f>
        <v>-0.10608773500447632</v>
      </c>
      <c r="J9" s="33">
        <f>I9*'Расчет дотаций'!K11</f>
        <v>-1.5913160250671448</v>
      </c>
      <c r="K9" s="32">
        <f t="shared" si="3"/>
        <v>-4023.2289936389452</v>
      </c>
      <c r="L9" s="31">
        <f t="shared" si="2"/>
        <v>-0.57340281778325441</v>
      </c>
    </row>
    <row r="10" spans="1:12" ht="15" customHeight="1">
      <c r="A10" s="15" t="s">
        <v>8</v>
      </c>
      <c r="B10" s="29">
        <f>'Расчет дотаций'!P12</f>
        <v>1090.3000000000029</v>
      </c>
      <c r="C10" s="33">
        <f>'Расчет дотаций'!B12-1</f>
        <v>0</v>
      </c>
      <c r="D10" s="33">
        <f>C10*'Расчет дотаций'!C12</f>
        <v>0</v>
      </c>
      <c r="E10" s="32">
        <f t="shared" si="0"/>
        <v>0</v>
      </c>
      <c r="F10" s="33">
        <f>'Расчет дотаций'!F12-1</f>
        <v>3.6051715564395792E-2</v>
      </c>
      <c r="G10" s="33">
        <f>F10*'Расчет дотаций'!G12</f>
        <v>0.54077573346593688</v>
      </c>
      <c r="H10" s="32">
        <f t="shared" si="1"/>
        <v>645.29414351434286</v>
      </c>
      <c r="I10" s="33">
        <f>'Расчет дотаций'!J12-1</f>
        <v>2.4861878453038777E-2</v>
      </c>
      <c r="J10" s="33">
        <f>I10*'Расчет дотаций'!K12</f>
        <v>0.37292817679558166</v>
      </c>
      <c r="K10" s="32">
        <f t="shared" si="3"/>
        <v>445.00585648566005</v>
      </c>
      <c r="L10" s="31">
        <f t="shared" si="2"/>
        <v>0.91370391026151854</v>
      </c>
    </row>
    <row r="11" spans="1:12" ht="15" customHeight="1">
      <c r="A11" s="15" t="s">
        <v>9</v>
      </c>
      <c r="B11" s="29">
        <f>'Расчет дотаций'!P13</f>
        <v>1488.7999999999956</v>
      </c>
      <c r="C11" s="33">
        <f>'Расчет дотаций'!B13-1</f>
        <v>0</v>
      </c>
      <c r="D11" s="33">
        <f>C11*'Расчет дотаций'!C13</f>
        <v>0</v>
      </c>
      <c r="E11" s="32">
        <f t="shared" si="0"/>
        <v>0</v>
      </c>
      <c r="F11" s="33">
        <f>'Расчет дотаций'!F13-1</f>
        <v>8.7774874809492642E-2</v>
      </c>
      <c r="G11" s="33">
        <f>F11*'Расчет дотаций'!G13</f>
        <v>1.3166231221423896</v>
      </c>
      <c r="H11" s="32">
        <f t="shared" si="1"/>
        <v>1455.6325908967401</v>
      </c>
      <c r="I11" s="33">
        <f>'Расчет дотаций'!J13-1</f>
        <v>2.0000000000000018E-3</v>
      </c>
      <c r="J11" s="33">
        <f>I11*'Расчет дотаций'!K13</f>
        <v>3.0000000000000027E-2</v>
      </c>
      <c r="K11" s="32">
        <f t="shared" si="3"/>
        <v>33.167409103255551</v>
      </c>
      <c r="L11" s="31">
        <f t="shared" si="2"/>
        <v>1.3466231221423897</v>
      </c>
    </row>
    <row r="12" spans="1:12" ht="15" customHeight="1">
      <c r="A12" s="15" t="s">
        <v>10</v>
      </c>
      <c r="B12" s="29">
        <f>'Расчет дотаций'!P14</f>
        <v>696.20000000000073</v>
      </c>
      <c r="C12" s="33">
        <f>'Расчет дотаций'!B14-1</f>
        <v>0</v>
      </c>
      <c r="D12" s="33">
        <f>C12*'Расчет дотаций'!C14</f>
        <v>0</v>
      </c>
      <c r="E12" s="32">
        <f t="shared" si="0"/>
        <v>0</v>
      </c>
      <c r="F12" s="33">
        <f>'Расчет дотаций'!F14-1</f>
        <v>7.761942765933183E-2</v>
      </c>
      <c r="G12" s="33">
        <f>F12*'Расчет дотаций'!G14</f>
        <v>1.1642914148899774</v>
      </c>
      <c r="H12" s="32">
        <f t="shared" si="1"/>
        <v>677.15196292689495</v>
      </c>
      <c r="I12" s="33">
        <f>'Расчет дотаций'!J14-1</f>
        <v>2.1834061135370675E-3</v>
      </c>
      <c r="J12" s="33">
        <f>I12*'Расчет дотаций'!K14</f>
        <v>3.2751091703056012E-2</v>
      </c>
      <c r="K12" s="32">
        <f t="shared" si="3"/>
        <v>19.048037073105821</v>
      </c>
      <c r="L12" s="31">
        <f t="shared" si="2"/>
        <v>1.1970425065930335</v>
      </c>
    </row>
    <row r="13" spans="1:12" ht="15" customHeight="1">
      <c r="A13" s="15" t="s">
        <v>11</v>
      </c>
      <c r="B13" s="29">
        <f>'Расчет дотаций'!P15</f>
        <v>6799.6999999999971</v>
      </c>
      <c r="C13" s="33">
        <f>'Расчет дотаций'!B15-1</f>
        <v>0</v>
      </c>
      <c r="D13" s="33">
        <f>C13*'Расчет дотаций'!C15</f>
        <v>0</v>
      </c>
      <c r="E13" s="32">
        <f t="shared" si="0"/>
        <v>0</v>
      </c>
      <c r="F13" s="33">
        <f>'Расчет дотаций'!F15-1</f>
        <v>0.20239006725297459</v>
      </c>
      <c r="G13" s="33">
        <f>F13*'Расчет дотаций'!G15</f>
        <v>3.0358510087946189</v>
      </c>
      <c r="H13" s="32">
        <f t="shared" si="1"/>
        <v>2931.322526909029</v>
      </c>
      <c r="I13" s="33">
        <f>'Расчет дотаций'!J15-1</f>
        <v>0.26708803611738152</v>
      </c>
      <c r="J13" s="33">
        <f>I13*'Расчет дотаций'!K15</f>
        <v>4.0063205417607231</v>
      </c>
      <c r="K13" s="32">
        <f t="shared" si="3"/>
        <v>3868.3774730909681</v>
      </c>
      <c r="L13" s="31">
        <f t="shared" si="2"/>
        <v>7.0421715505553415</v>
      </c>
    </row>
    <row r="14" spans="1:12" ht="15" customHeight="1">
      <c r="A14" s="15" t="s">
        <v>12</v>
      </c>
      <c r="B14" s="29">
        <f>'Расчет дотаций'!P16</f>
        <v>5035.1000000000058</v>
      </c>
      <c r="C14" s="33">
        <f>'Расчет дотаций'!B16-1</f>
        <v>0</v>
      </c>
      <c r="D14" s="33">
        <f>C14*'Расчет дотаций'!C16</f>
        <v>0</v>
      </c>
      <c r="E14" s="32">
        <f t="shared" si="0"/>
        <v>0</v>
      </c>
      <c r="F14" s="33">
        <f>'Расчет дотаций'!F16-1</f>
        <v>0.11968858131487892</v>
      </c>
      <c r="G14" s="33">
        <f>F14*'Расчет дотаций'!G16</f>
        <v>1.7953287197231838</v>
      </c>
      <c r="H14" s="32">
        <f t="shared" si="1"/>
        <v>1860.2877952912625</v>
      </c>
      <c r="I14" s="33">
        <f>'Расчет дотаций'!J16-1</f>
        <v>0.20426343154246096</v>
      </c>
      <c r="J14" s="33">
        <f>I14*'Расчет дотаций'!K16</f>
        <v>3.0639514731369144</v>
      </c>
      <c r="K14" s="32">
        <f t="shared" si="3"/>
        <v>3174.8122047087436</v>
      </c>
      <c r="L14" s="31">
        <f t="shared" si="2"/>
        <v>4.8592801928600977</v>
      </c>
    </row>
    <row r="15" spans="1:12" ht="15" customHeight="1">
      <c r="A15" s="15" t="s">
        <v>13</v>
      </c>
      <c r="B15" s="29">
        <f>'Расчет дотаций'!P17</f>
        <v>5089.5</v>
      </c>
      <c r="C15" s="33">
        <f>'Расчет дотаций'!B17-1</f>
        <v>0</v>
      </c>
      <c r="D15" s="33">
        <f>C15*'Расчет дотаций'!C17</f>
        <v>0</v>
      </c>
      <c r="E15" s="32">
        <f t="shared" si="0"/>
        <v>0</v>
      </c>
      <c r="F15" s="33">
        <f>'Расчет дотаций'!F17-1</f>
        <v>9.5858418102553467E-2</v>
      </c>
      <c r="G15" s="33">
        <f>F15*'Расчет дотаций'!G17</f>
        <v>1.437876271538302</v>
      </c>
      <c r="H15" s="32">
        <f t="shared" si="1"/>
        <v>1420.6346244362849</v>
      </c>
      <c r="I15" s="33">
        <f>'Расчет дотаций'!J17-1</f>
        <v>0.24755952380952384</v>
      </c>
      <c r="J15" s="33">
        <f>I15*'Расчет дотаций'!K17</f>
        <v>3.7133928571428578</v>
      </c>
      <c r="K15" s="32">
        <f t="shared" si="3"/>
        <v>3668.8653755637147</v>
      </c>
      <c r="L15" s="31">
        <f t="shared" si="2"/>
        <v>5.15126912868116</v>
      </c>
    </row>
    <row r="16" spans="1:12" ht="15" customHeight="1">
      <c r="A16" s="15" t="s">
        <v>14</v>
      </c>
      <c r="B16" s="29">
        <f>'Расчет дотаций'!P18</f>
        <v>2687.1000000000022</v>
      </c>
      <c r="C16" s="33">
        <f>'Расчет дотаций'!B18-1</f>
        <v>0</v>
      </c>
      <c r="D16" s="33">
        <f>C16*'Расчет дотаций'!C18</f>
        <v>0</v>
      </c>
      <c r="E16" s="32">
        <f t="shared" si="0"/>
        <v>0</v>
      </c>
      <c r="F16" s="33">
        <f>'Расчет дотаций'!F18-1</f>
        <v>3.3402394106814004E-2</v>
      </c>
      <c r="G16" s="33">
        <f>F16*'Расчет дотаций'!G18</f>
        <v>0.50103591160221006</v>
      </c>
      <c r="H16" s="32">
        <f t="shared" si="1"/>
        <v>269.21094386522157</v>
      </c>
      <c r="I16" s="33">
        <f>'Расчет дотаций'!J18-1</f>
        <v>0.30000000000000004</v>
      </c>
      <c r="J16" s="33">
        <f>I16*'Расчет дотаций'!K18</f>
        <v>4.5000000000000009</v>
      </c>
      <c r="K16" s="32">
        <f t="shared" si="3"/>
        <v>2417.8890561347807</v>
      </c>
      <c r="L16" s="31">
        <f t="shared" si="2"/>
        <v>5.0010359116022105</v>
      </c>
    </row>
    <row r="17" spans="1:12" ht="15" customHeight="1">
      <c r="A17" s="16" t="s">
        <v>17</v>
      </c>
      <c r="B17" s="28">
        <f>SUM(B18:B44)</f>
        <v>34699.600000000006</v>
      </c>
      <c r="C17" s="28"/>
      <c r="D17" s="28"/>
      <c r="E17" s="28">
        <f>SUM(E18:E44)</f>
        <v>0</v>
      </c>
      <c r="F17" s="28"/>
      <c r="G17" s="28"/>
      <c r="H17" s="28">
        <f>SUM(H18:H44)</f>
        <v>16869.489738424058</v>
      </c>
      <c r="I17" s="28"/>
      <c r="J17" s="28"/>
      <c r="K17" s="28">
        <f>SUM(K18:K44)</f>
        <v>17830.110261575941</v>
      </c>
      <c r="L17" s="28"/>
    </row>
    <row r="18" spans="1:12" ht="15" customHeight="1">
      <c r="A18" s="17" t="s">
        <v>0</v>
      </c>
      <c r="B18" s="29">
        <f>'Расчет дотаций'!P20</f>
        <v>-311.5</v>
      </c>
      <c r="C18" s="33">
        <f>'Расчет дотаций'!B20-1</f>
        <v>0</v>
      </c>
      <c r="D18" s="33">
        <f>C18*'Расчет дотаций'!C20</f>
        <v>0</v>
      </c>
      <c r="E18" s="32">
        <f t="shared" ref="E18:E44" si="4">$B18*D18/$L18</f>
        <v>0</v>
      </c>
      <c r="F18" s="33">
        <f>'Расчет дотаций'!F20-1</f>
        <v>0.16508474576271182</v>
      </c>
      <c r="G18" s="33">
        <f>F18*'Расчет дотаций'!G20</f>
        <v>1.6508474576271182</v>
      </c>
      <c r="H18" s="32">
        <f t="shared" ref="H18:H44" si="5">$B18*G18/L18</f>
        <v>838.47392845969318</v>
      </c>
      <c r="I18" s="33">
        <f>'Расчет дотаций'!J20-1</f>
        <v>-0.15094339622641506</v>
      </c>
      <c r="J18" s="33">
        <f>I18*'Расчет дотаций'!K20</f>
        <v>-2.2641509433962259</v>
      </c>
      <c r="K18" s="32">
        <f t="shared" si="3"/>
        <v>-1149.9739284596933</v>
      </c>
      <c r="L18" s="31">
        <f t="shared" ref="L18:L44" si="6">D18+G18+J18</f>
        <v>-0.61330348576910776</v>
      </c>
    </row>
    <row r="19" spans="1:12" ht="15" customHeight="1">
      <c r="A19" s="17" t="s">
        <v>18</v>
      </c>
      <c r="B19" s="29">
        <f>'Расчет дотаций'!P21</f>
        <v>4525.2999999999993</v>
      </c>
      <c r="C19" s="33">
        <f>'Расчет дотаций'!B21-1</f>
        <v>0</v>
      </c>
      <c r="D19" s="33">
        <f>C19*'Расчет дотаций'!C21</f>
        <v>0</v>
      </c>
      <c r="E19" s="32">
        <f t="shared" si="4"/>
        <v>0</v>
      </c>
      <c r="F19" s="33">
        <f>'Расчет дотаций'!F21-1</f>
        <v>5.8094098883572531E-2</v>
      </c>
      <c r="G19" s="33">
        <f>F19*'Расчет дотаций'!G21</f>
        <v>0.58094098883572531</v>
      </c>
      <c r="H19" s="32">
        <f t="shared" si="5"/>
        <v>517.41050772973358</v>
      </c>
      <c r="I19" s="33">
        <f>'Расчет дотаций'!J21-1</f>
        <v>0.30000000000000004</v>
      </c>
      <c r="J19" s="33">
        <f>I19*'Расчет дотаций'!K21</f>
        <v>4.5000000000000009</v>
      </c>
      <c r="K19" s="32">
        <f t="shared" si="3"/>
        <v>4007.8894922702661</v>
      </c>
      <c r="L19" s="31">
        <f t="shared" si="6"/>
        <v>5.0809409888357262</v>
      </c>
    </row>
    <row r="20" spans="1:12" ht="15" customHeight="1">
      <c r="A20" s="17" t="s">
        <v>19</v>
      </c>
      <c r="B20" s="29">
        <f>'Расчет дотаций'!P22</f>
        <v>2381.0999999999985</v>
      </c>
      <c r="C20" s="33">
        <f>'Расчет дотаций'!B22-1</f>
        <v>0</v>
      </c>
      <c r="D20" s="33">
        <f>C20*'Расчет дотаций'!C22</f>
        <v>0</v>
      </c>
      <c r="E20" s="32">
        <f t="shared" si="4"/>
        <v>0</v>
      </c>
      <c r="F20" s="33">
        <f>'Расчет дотаций'!F22-1</f>
        <v>9.5855312735493525E-2</v>
      </c>
      <c r="G20" s="33">
        <f>F20*'Расчет дотаций'!G22</f>
        <v>0.95855312735493525</v>
      </c>
      <c r="H20" s="32">
        <f t="shared" si="5"/>
        <v>563.10080668834985</v>
      </c>
      <c r="I20" s="33">
        <f>'Расчет дотаций'!J22-1</f>
        <v>0.20631578947368423</v>
      </c>
      <c r="J20" s="33">
        <f>I20*'Расчет дотаций'!K22</f>
        <v>3.0947368421052635</v>
      </c>
      <c r="K20" s="32">
        <f t="shared" si="3"/>
        <v>1817.9991933116487</v>
      </c>
      <c r="L20" s="31">
        <f t="shared" si="6"/>
        <v>4.0532899694601987</v>
      </c>
    </row>
    <row r="21" spans="1:12" ht="15" customHeight="1">
      <c r="A21" s="17" t="s">
        <v>20</v>
      </c>
      <c r="B21" s="29">
        <f>'Расчет дотаций'!P23</f>
        <v>3378.2000000000007</v>
      </c>
      <c r="C21" s="33">
        <f>'Расчет дотаций'!B23-1</f>
        <v>0</v>
      </c>
      <c r="D21" s="33">
        <f>C21*'Расчет дотаций'!C23</f>
        <v>0</v>
      </c>
      <c r="E21" s="32">
        <f t="shared" si="4"/>
        <v>0</v>
      </c>
      <c r="F21" s="33">
        <f>'Расчет дотаций'!F23-1</f>
        <v>0.14916241806263653</v>
      </c>
      <c r="G21" s="33">
        <f>F21*'Расчет дотаций'!G23</f>
        <v>1.4916241806263653</v>
      </c>
      <c r="H21" s="32">
        <f t="shared" si="5"/>
        <v>981.4048371244744</v>
      </c>
      <c r="I21" s="33">
        <f>'Расчет дотаций'!J23-1</f>
        <v>0.24285714285714288</v>
      </c>
      <c r="J21" s="33">
        <f>I21*'Расчет дотаций'!K23</f>
        <v>3.6428571428571432</v>
      </c>
      <c r="K21" s="32">
        <f t="shared" si="3"/>
        <v>2396.7951628755263</v>
      </c>
      <c r="L21" s="31">
        <f t="shared" si="6"/>
        <v>5.1344813234835085</v>
      </c>
    </row>
    <row r="22" spans="1:12" ht="15" customHeight="1">
      <c r="A22" s="17" t="s">
        <v>21</v>
      </c>
      <c r="B22" s="29">
        <f>'Расчет дотаций'!P24</f>
        <v>122.30000000000291</v>
      </c>
      <c r="C22" s="33">
        <f>'Расчет дотаций'!B24-1</f>
        <v>0</v>
      </c>
      <c r="D22" s="33">
        <f>C22*'Расчет дотаций'!C24</f>
        <v>0</v>
      </c>
      <c r="E22" s="32">
        <f t="shared" si="4"/>
        <v>0</v>
      </c>
      <c r="F22" s="33">
        <f>'Расчет дотаций'!F24-1</f>
        <v>1.6967509025270777E-2</v>
      </c>
      <c r="G22" s="33">
        <f>F22*'Расчет дотаций'!G24</f>
        <v>0.16967509025270777</v>
      </c>
      <c r="H22" s="32">
        <f t="shared" si="5"/>
        <v>122.30000000000292</v>
      </c>
      <c r="I22" s="33">
        <f>'Расчет дотаций'!J24-1</f>
        <v>0</v>
      </c>
      <c r="J22" s="33">
        <f>I22*'Расчет дотаций'!K24</f>
        <v>0</v>
      </c>
      <c r="K22" s="32">
        <f t="shared" si="3"/>
        <v>0</v>
      </c>
      <c r="L22" s="31">
        <f t="shared" si="6"/>
        <v>0.16967509025270777</v>
      </c>
    </row>
    <row r="23" spans="1:12" ht="15" customHeight="1">
      <c r="A23" s="17" t="s">
        <v>22</v>
      </c>
      <c r="B23" s="29">
        <f>'Расчет дотаций'!P25</f>
        <v>4529.5999999999985</v>
      </c>
      <c r="C23" s="33">
        <f>'Расчет дотаций'!B25-1</f>
        <v>0</v>
      </c>
      <c r="D23" s="33">
        <f>C23*'Расчет дотаций'!C25</f>
        <v>0</v>
      </c>
      <c r="E23" s="32">
        <f t="shared" si="4"/>
        <v>0</v>
      </c>
      <c r="F23" s="33">
        <f>'Расчет дотаций'!F25-1</f>
        <v>0.10751295336787559</v>
      </c>
      <c r="G23" s="33">
        <f>F23*'Расчет дотаций'!G25</f>
        <v>1.0751295336787559</v>
      </c>
      <c r="H23" s="32">
        <f t="shared" si="5"/>
        <v>873.50557620817767</v>
      </c>
      <c r="I23" s="33">
        <f>'Расчет дотаций'!J25-1</f>
        <v>0.30000000000000004</v>
      </c>
      <c r="J23" s="33">
        <f>I23*'Расчет дотаций'!K25</f>
        <v>4.5000000000000009</v>
      </c>
      <c r="K23" s="32">
        <f t="shared" si="3"/>
        <v>3656.0944237918206</v>
      </c>
      <c r="L23" s="31">
        <f t="shared" si="6"/>
        <v>5.5751295336787567</v>
      </c>
    </row>
    <row r="24" spans="1:12" ht="15" customHeight="1">
      <c r="A24" s="17" t="s">
        <v>23</v>
      </c>
      <c r="B24" s="29">
        <f>'Расчет дотаций'!P26</f>
        <v>4175.3000000000029</v>
      </c>
      <c r="C24" s="33">
        <f>'Расчет дотаций'!B26-1</f>
        <v>0</v>
      </c>
      <c r="D24" s="33">
        <f>C24*'Расчет дотаций'!C26</f>
        <v>0</v>
      </c>
      <c r="E24" s="32">
        <f t="shared" si="4"/>
        <v>0</v>
      </c>
      <c r="F24" s="33">
        <f>'Расчет дотаций'!F26-1</f>
        <v>0.12385862661585589</v>
      </c>
      <c r="G24" s="33">
        <f>F24*'Расчет дотаций'!G26</f>
        <v>1.2385862661585589</v>
      </c>
      <c r="H24" s="32">
        <f t="shared" si="5"/>
        <v>2371.4340230585544</v>
      </c>
      <c r="I24" s="33">
        <f>'Расчет дотаций'!J26-1</f>
        <v>6.280991735537178E-2</v>
      </c>
      <c r="J24" s="33">
        <f>I24*'Расчет дотаций'!K26</f>
        <v>0.94214876033057671</v>
      </c>
      <c r="K24" s="32">
        <f t="shared" si="3"/>
        <v>1803.8659769414483</v>
      </c>
      <c r="L24" s="31">
        <f t="shared" si="6"/>
        <v>2.1807350264891356</v>
      </c>
    </row>
    <row r="25" spans="1:12" ht="15" customHeight="1">
      <c r="A25" s="17" t="s">
        <v>24</v>
      </c>
      <c r="B25" s="29">
        <f>'Расчет дотаций'!P27</f>
        <v>945.20000000000073</v>
      </c>
      <c r="C25" s="33">
        <f>'Расчет дотаций'!B27-1</f>
        <v>0</v>
      </c>
      <c r="D25" s="33">
        <f>C25*'Расчет дотаций'!C27</f>
        <v>0</v>
      </c>
      <c r="E25" s="32">
        <f t="shared" si="4"/>
        <v>0</v>
      </c>
      <c r="F25" s="33">
        <f>'Расчет дотаций'!F27-1</f>
        <v>0.20845454545454545</v>
      </c>
      <c r="G25" s="33">
        <f>F25*'Расчет дотаций'!G27</f>
        <v>2.0845454545454545</v>
      </c>
      <c r="H25" s="32">
        <f t="shared" si="5"/>
        <v>757.29200332542177</v>
      </c>
      <c r="I25" s="33">
        <f>'Расчет дотаций'!J27-1</f>
        <v>3.4482758620689724E-2</v>
      </c>
      <c r="J25" s="33">
        <f>I25*'Расчет дотаций'!K27</f>
        <v>0.51724137931034586</v>
      </c>
      <c r="K25" s="32">
        <f t="shared" si="3"/>
        <v>187.90799667457907</v>
      </c>
      <c r="L25" s="31">
        <f t="shared" si="6"/>
        <v>2.6017868338558001</v>
      </c>
    </row>
    <row r="26" spans="1:12" ht="15" customHeight="1">
      <c r="A26" s="17" t="s">
        <v>25</v>
      </c>
      <c r="B26" s="29">
        <f>'Расчет дотаций'!P28</f>
        <v>-3585.1999999999971</v>
      </c>
      <c r="C26" s="33">
        <f>'Расчет дотаций'!B28-1</f>
        <v>0</v>
      </c>
      <c r="D26" s="33">
        <f>C26*'Расчет дотаций'!C28</f>
        <v>0</v>
      </c>
      <c r="E26" s="32">
        <f t="shared" si="4"/>
        <v>0</v>
      </c>
      <c r="F26" s="33">
        <f>'Расчет дотаций'!F28-1</f>
        <v>7.3662551440329294E-2</v>
      </c>
      <c r="G26" s="33">
        <f>F26*'Расчет дотаций'!G28</f>
        <v>0.73662551440329294</v>
      </c>
      <c r="H26" s="32">
        <f t="shared" si="5"/>
        <v>522.66557503536399</v>
      </c>
      <c r="I26" s="33">
        <f>'Расчет дотаций'!J28-1</f>
        <v>-0.38596491228070173</v>
      </c>
      <c r="J26" s="33">
        <f>I26*'Расчет дотаций'!K28</f>
        <v>-5.7894736842105257</v>
      </c>
      <c r="K26" s="32">
        <f t="shared" si="3"/>
        <v>-4107.865575035361</v>
      </c>
      <c r="L26" s="31">
        <f t="shared" si="6"/>
        <v>-5.0528481698072323</v>
      </c>
    </row>
    <row r="27" spans="1:12" ht="15" customHeight="1">
      <c r="A27" s="17" t="s">
        <v>26</v>
      </c>
      <c r="B27" s="29">
        <f>'Расчет дотаций'!P29</f>
        <v>1320.5999999999985</v>
      </c>
      <c r="C27" s="33">
        <f>'Расчет дотаций'!B29-1</f>
        <v>0</v>
      </c>
      <c r="D27" s="33">
        <f>C27*'Расчет дотаций'!C29</f>
        <v>0</v>
      </c>
      <c r="E27" s="32">
        <f t="shared" si="4"/>
        <v>0</v>
      </c>
      <c r="F27" s="33">
        <f>'Расчет дотаций'!F29-1</f>
        <v>-2.0088626292466771E-2</v>
      </c>
      <c r="G27" s="33">
        <f>F27*'Расчет дотаций'!G29</f>
        <v>-0.20088626292466771</v>
      </c>
      <c r="H27" s="32">
        <f t="shared" si="5"/>
        <v>-86.139989386538772</v>
      </c>
      <c r="I27" s="33">
        <f>'Расчет дотаций'!J29-1</f>
        <v>0.21870967741935488</v>
      </c>
      <c r="J27" s="33">
        <f>I27*'Расчет дотаций'!K29</f>
        <v>3.2806451612903231</v>
      </c>
      <c r="K27" s="32">
        <f t="shared" si="3"/>
        <v>1406.739989386537</v>
      </c>
      <c r="L27" s="31">
        <f t="shared" si="6"/>
        <v>3.0797588983656556</v>
      </c>
    </row>
    <row r="28" spans="1:12" ht="15" customHeight="1">
      <c r="A28" s="17" t="s">
        <v>27</v>
      </c>
      <c r="B28" s="29">
        <f>'Расчет дотаций'!P30</f>
        <v>1240.8999999999978</v>
      </c>
      <c r="C28" s="33">
        <f>'Расчет дотаций'!B30-1</f>
        <v>0</v>
      </c>
      <c r="D28" s="33">
        <f>C28*'Расчет дотаций'!C30</f>
        <v>0</v>
      </c>
      <c r="E28" s="32">
        <f t="shared" si="4"/>
        <v>0</v>
      </c>
      <c r="F28" s="33">
        <f>'Расчет дотаций'!F30-1</f>
        <v>0.21046666666666658</v>
      </c>
      <c r="G28" s="33">
        <f>F28*'Расчет дотаций'!G30</f>
        <v>2.1046666666666658</v>
      </c>
      <c r="H28" s="32">
        <f t="shared" si="5"/>
        <v>1240.8999999999978</v>
      </c>
      <c r="I28" s="33">
        <f>'Расчет дотаций'!J30-1</f>
        <v>0</v>
      </c>
      <c r="J28" s="33">
        <f>I28*'Расчет дотаций'!K30</f>
        <v>0</v>
      </c>
      <c r="K28" s="32">
        <f t="shared" si="3"/>
        <v>0</v>
      </c>
      <c r="L28" s="31">
        <f t="shared" si="6"/>
        <v>2.1046666666666658</v>
      </c>
    </row>
    <row r="29" spans="1:12" ht="15" customHeight="1">
      <c r="A29" s="17" t="s">
        <v>28</v>
      </c>
      <c r="B29" s="29">
        <f>'Расчет дотаций'!P31</f>
        <v>698.09999999999854</v>
      </c>
      <c r="C29" s="33">
        <f>'Расчет дотаций'!B31-1</f>
        <v>0</v>
      </c>
      <c r="D29" s="33">
        <f>C29*'Расчет дотаций'!C31</f>
        <v>0</v>
      </c>
      <c r="E29" s="32">
        <f t="shared" si="4"/>
        <v>0</v>
      </c>
      <c r="F29" s="33">
        <f>'Расчет дотаций'!F31-1</f>
        <v>5.9400201612903158E-2</v>
      </c>
      <c r="G29" s="33">
        <f>F29*'Расчет дотаций'!G31</f>
        <v>0.59400201612903158</v>
      </c>
      <c r="H29" s="32">
        <f t="shared" si="5"/>
        <v>698.09999999999854</v>
      </c>
      <c r="I29" s="33">
        <f>'Расчет дотаций'!J31-1</f>
        <v>0</v>
      </c>
      <c r="J29" s="33">
        <f>I29*'Расчет дотаций'!K31</f>
        <v>0</v>
      </c>
      <c r="K29" s="32">
        <f t="shared" si="3"/>
        <v>0</v>
      </c>
      <c r="L29" s="31">
        <f t="shared" si="6"/>
        <v>0.59400201612903158</v>
      </c>
    </row>
    <row r="30" spans="1:12" ht="15" customHeight="1">
      <c r="A30" s="17" t="s">
        <v>29</v>
      </c>
      <c r="B30" s="29">
        <f>'Расчет дотаций'!P32</f>
        <v>-265.29999999999927</v>
      </c>
      <c r="C30" s="33">
        <f>'Расчет дотаций'!B32-1</f>
        <v>0</v>
      </c>
      <c r="D30" s="33">
        <f>C30*'Расчет дотаций'!C32</f>
        <v>0</v>
      </c>
      <c r="E30" s="32">
        <f t="shared" si="4"/>
        <v>0</v>
      </c>
      <c r="F30" s="33">
        <f>'Расчет дотаций'!F32-1</f>
        <v>-5.0306748466257711E-2</v>
      </c>
      <c r="G30" s="33">
        <f>F30*'Расчет дотаций'!G32</f>
        <v>-0.50306748466257711</v>
      </c>
      <c r="H30" s="32">
        <f t="shared" si="5"/>
        <v>-265.29999999999927</v>
      </c>
      <c r="I30" s="33">
        <f>'Расчет дотаций'!J32-1</f>
        <v>0</v>
      </c>
      <c r="J30" s="33">
        <f>I30*'Расчет дотаций'!K32</f>
        <v>0</v>
      </c>
      <c r="K30" s="32">
        <f t="shared" si="3"/>
        <v>0</v>
      </c>
      <c r="L30" s="31">
        <f t="shared" si="6"/>
        <v>-0.50306748466257711</v>
      </c>
    </row>
    <row r="31" spans="1:12" ht="15" customHeight="1">
      <c r="A31" s="17" t="s">
        <v>30</v>
      </c>
      <c r="B31" s="29">
        <f>'Расчет дотаций'!P33</f>
        <v>3477.5</v>
      </c>
      <c r="C31" s="33">
        <f>'Расчет дотаций'!B33-1</f>
        <v>0</v>
      </c>
      <c r="D31" s="33">
        <f>C31*'Расчет дотаций'!C33</f>
        <v>0</v>
      </c>
      <c r="E31" s="32">
        <f t="shared" si="4"/>
        <v>0</v>
      </c>
      <c r="F31" s="33">
        <f>'Расчет дотаций'!F33-1</f>
        <v>-4.1254125412540921E-3</v>
      </c>
      <c r="G31" s="33">
        <f>F31*'Расчет дотаций'!G33</f>
        <v>-4.1254125412540921E-2</v>
      </c>
      <c r="H31" s="32">
        <f t="shared" si="5"/>
        <v>-32.175240562545994</v>
      </c>
      <c r="I31" s="33">
        <f>'Расчет дотаций'!J33-1</f>
        <v>0.30000000000000004</v>
      </c>
      <c r="J31" s="33">
        <f>I31*'Расчет дотаций'!K33</f>
        <v>4.5000000000000009</v>
      </c>
      <c r="K31" s="32">
        <f t="shared" si="3"/>
        <v>3509.6752405625462</v>
      </c>
      <c r="L31" s="31">
        <f t="shared" si="6"/>
        <v>4.4587458745874597</v>
      </c>
    </row>
    <row r="32" spans="1:12" ht="15" customHeight="1">
      <c r="A32" s="17" t="s">
        <v>31</v>
      </c>
      <c r="B32" s="29">
        <f>'Расчет дотаций'!P34</f>
        <v>-161.29999999999927</v>
      </c>
      <c r="C32" s="33">
        <f>'Расчет дотаций'!B34-1</f>
        <v>0</v>
      </c>
      <c r="D32" s="33">
        <f>C32*'Расчет дотаций'!C34</f>
        <v>0</v>
      </c>
      <c r="E32" s="32">
        <f t="shared" si="4"/>
        <v>0</v>
      </c>
      <c r="F32" s="33">
        <f>'Расчет дотаций'!F34-1</f>
        <v>1.5083333333333337E-2</v>
      </c>
      <c r="G32" s="33">
        <f>F32*'Расчет дотаций'!G34</f>
        <v>0.15083333333333337</v>
      </c>
      <c r="H32" s="32">
        <f t="shared" si="5"/>
        <v>120.68787172436386</v>
      </c>
      <c r="I32" s="33">
        <f>'Расчет дотаций'!J34-1</f>
        <v>-2.3494860499265746E-2</v>
      </c>
      <c r="J32" s="33">
        <f>I32*'Расчет дотаций'!K34</f>
        <v>-0.35242290748898619</v>
      </c>
      <c r="K32" s="32">
        <f t="shared" si="3"/>
        <v>-281.98787172436317</v>
      </c>
      <c r="L32" s="31">
        <f t="shared" si="6"/>
        <v>-0.20158957415565282</v>
      </c>
    </row>
    <row r="33" spans="1:13" ht="15" customHeight="1">
      <c r="A33" s="17" t="s">
        <v>1</v>
      </c>
      <c r="B33" s="29">
        <f>'Расчет дотаций'!P35</f>
        <v>3319.4000000000015</v>
      </c>
      <c r="C33" s="33">
        <f>'Расчет дотаций'!B35-1</f>
        <v>0</v>
      </c>
      <c r="D33" s="33">
        <f>C33*'Расчет дотаций'!C35</f>
        <v>0</v>
      </c>
      <c r="E33" s="32">
        <f t="shared" si="4"/>
        <v>0</v>
      </c>
      <c r="F33" s="33">
        <f>'Расчет дотаций'!F35-1</f>
        <v>-3.2579397632719997E-2</v>
      </c>
      <c r="G33" s="33">
        <f>F33*'Расчет дотаций'!G35</f>
        <v>-0.32579397632719997</v>
      </c>
      <c r="H33" s="32">
        <f t="shared" si="5"/>
        <v>-383.96963724752027</v>
      </c>
      <c r="I33" s="33">
        <f>'Расчет дотаций'!J35-1</f>
        <v>0.20948453608247419</v>
      </c>
      <c r="J33" s="33">
        <f>I33*'Расчет дотаций'!K35</f>
        <v>3.1422680412371129</v>
      </c>
      <c r="K33" s="32">
        <f t="shared" si="3"/>
        <v>3703.369637247522</v>
      </c>
      <c r="L33" s="31">
        <f t="shared" si="6"/>
        <v>2.8164740649099129</v>
      </c>
    </row>
    <row r="34" spans="1:13" ht="15" customHeight="1">
      <c r="A34" s="17" t="s">
        <v>32</v>
      </c>
      <c r="B34" s="29">
        <f>'Расчет дотаций'!P36</f>
        <v>266.90000000000146</v>
      </c>
      <c r="C34" s="33">
        <f>'Расчет дотаций'!B36-1</f>
        <v>0</v>
      </c>
      <c r="D34" s="33">
        <f>C34*'Расчет дотаций'!C36</f>
        <v>0</v>
      </c>
      <c r="E34" s="32">
        <f t="shared" si="4"/>
        <v>0</v>
      </c>
      <c r="F34" s="33">
        <f>'Расчет дотаций'!F36-1</f>
        <v>0.19897600936220017</v>
      </c>
      <c r="G34" s="33">
        <f>F34*'Расчет дотаций'!G36</f>
        <v>1.9897600936220017</v>
      </c>
      <c r="H34" s="32">
        <f t="shared" si="5"/>
        <v>1622.7051036438099</v>
      </c>
      <c r="I34" s="33">
        <f>'Расчет дотаций'!J36-1</f>
        <v>-0.11083249749247737</v>
      </c>
      <c r="J34" s="33">
        <f>I34*'Расчет дотаций'!K36</f>
        <v>-1.6624874623871606</v>
      </c>
      <c r="K34" s="32">
        <f t="shared" si="3"/>
        <v>-1355.8051036438085</v>
      </c>
      <c r="L34" s="31">
        <f t="shared" si="6"/>
        <v>0.32727263123484107</v>
      </c>
    </row>
    <row r="35" spans="1:13" ht="15" customHeight="1">
      <c r="A35" s="17" t="s">
        <v>33</v>
      </c>
      <c r="B35" s="29">
        <f>'Расчет дотаций'!P37</f>
        <v>-3495.7999999999993</v>
      </c>
      <c r="C35" s="33">
        <f>'Расчет дотаций'!B37-1</f>
        <v>0</v>
      </c>
      <c r="D35" s="33">
        <f>C35*'Расчет дотаций'!C37</f>
        <v>0</v>
      </c>
      <c r="E35" s="32">
        <f t="shared" si="4"/>
        <v>0</v>
      </c>
      <c r="F35" s="33">
        <f>'Расчет дотаций'!F37-1</f>
        <v>4.7118023787740215E-2</v>
      </c>
      <c r="G35" s="33">
        <f>F35*'Расчет дотаций'!G37</f>
        <v>0.47118023787740215</v>
      </c>
      <c r="H35" s="32">
        <f t="shared" si="5"/>
        <v>226.25663053772513</v>
      </c>
      <c r="I35" s="33">
        <f>'Расчет дотаций'!J37-1</f>
        <v>-0.51674641148325362</v>
      </c>
      <c r="J35" s="33">
        <f>I35*'Расчет дотаций'!K37</f>
        <v>-7.7511961722488039</v>
      </c>
      <c r="K35" s="32">
        <f t="shared" si="3"/>
        <v>-3722.0566305377242</v>
      </c>
      <c r="L35" s="31">
        <f t="shared" si="6"/>
        <v>-7.2800159343714022</v>
      </c>
    </row>
    <row r="36" spans="1:13" ht="15" customHeight="1">
      <c r="A36" s="17" t="s">
        <v>34</v>
      </c>
      <c r="B36" s="29">
        <f>'Расчет дотаций'!P38</f>
        <v>207.20000000000437</v>
      </c>
      <c r="C36" s="33">
        <f>'Расчет дотаций'!B38-1</f>
        <v>0</v>
      </c>
      <c r="D36" s="33">
        <f>C36*'Расчет дотаций'!C38</f>
        <v>0</v>
      </c>
      <c r="E36" s="32">
        <f t="shared" si="4"/>
        <v>0</v>
      </c>
      <c r="F36" s="33">
        <f>'Расчет дотаций'!F38-1</f>
        <v>1.8809005083515018E-2</v>
      </c>
      <c r="G36" s="33">
        <f>F36*'Расчет дотаций'!G38</f>
        <v>0.18809005083515018</v>
      </c>
      <c r="H36" s="32">
        <f t="shared" si="5"/>
        <v>207.20000000000439</v>
      </c>
      <c r="I36" s="33">
        <f>'Расчет дотаций'!J38-1</f>
        <v>0</v>
      </c>
      <c r="J36" s="33">
        <f>I36*'Расчет дотаций'!K38</f>
        <v>0</v>
      </c>
      <c r="K36" s="32">
        <f t="shared" si="3"/>
        <v>0</v>
      </c>
      <c r="L36" s="31">
        <f t="shared" si="6"/>
        <v>0.18809005083515018</v>
      </c>
    </row>
    <row r="37" spans="1:13" ht="15" customHeight="1">
      <c r="A37" s="17" t="s">
        <v>35</v>
      </c>
      <c r="B37" s="29">
        <f>'Расчет дотаций'!P39</f>
        <v>-2555.6000000000022</v>
      </c>
      <c r="C37" s="33">
        <f>'Расчет дотаций'!B39-1</f>
        <v>0</v>
      </c>
      <c r="D37" s="33">
        <f>C37*'Расчет дотаций'!C39</f>
        <v>0</v>
      </c>
      <c r="E37" s="32">
        <f t="shared" si="4"/>
        <v>0</v>
      </c>
      <c r="F37" s="33">
        <f>'Расчет дотаций'!F39-1</f>
        <v>9.2935839274141285E-2</v>
      </c>
      <c r="G37" s="33">
        <f>F37*'Расчет дотаций'!G39</f>
        <v>0.92935839274141285</v>
      </c>
      <c r="H37" s="32">
        <f t="shared" si="5"/>
        <v>793.96982411760212</v>
      </c>
      <c r="I37" s="33">
        <f>'Расчет дотаций'!J39-1</f>
        <v>-0.26138279932546371</v>
      </c>
      <c r="J37" s="33">
        <f>I37*'Расчет дотаций'!K39</f>
        <v>-3.9207419898819555</v>
      </c>
      <c r="K37" s="32">
        <f t="shared" si="3"/>
        <v>-3349.5698241176046</v>
      </c>
      <c r="L37" s="31">
        <f t="shared" si="6"/>
        <v>-2.9913835971405427</v>
      </c>
    </row>
    <row r="38" spans="1:13" ht="15" customHeight="1">
      <c r="A38" s="17" t="s">
        <v>36</v>
      </c>
      <c r="B38" s="29">
        <f>'Расчет дотаций'!P40</f>
        <v>2102.6999999999971</v>
      </c>
      <c r="C38" s="33">
        <f>'Расчет дотаций'!B40-1</f>
        <v>0</v>
      </c>
      <c r="D38" s="33">
        <f>C38*'Расчет дотаций'!C40</f>
        <v>0</v>
      </c>
      <c r="E38" s="32">
        <f t="shared" si="4"/>
        <v>0</v>
      </c>
      <c r="F38" s="33">
        <f>'Расчет дотаций'!F40-1</f>
        <v>0.13495503804473152</v>
      </c>
      <c r="G38" s="33">
        <f>F38*'Расчет дотаций'!G40</f>
        <v>1.3495503804473152</v>
      </c>
      <c r="H38" s="32">
        <f t="shared" si="5"/>
        <v>1457.9465563790407</v>
      </c>
      <c r="I38" s="33">
        <f>'Расчет дотаций'!J40-1</f>
        <v>3.9787798408488007E-2</v>
      </c>
      <c r="J38" s="33">
        <f>I38*'Расчет дотаций'!K40</f>
        <v>0.5968169761273201</v>
      </c>
      <c r="K38" s="32">
        <f t="shared" si="3"/>
        <v>644.75344362095643</v>
      </c>
      <c r="L38" s="31">
        <f t="shared" si="6"/>
        <v>1.9463673565746353</v>
      </c>
    </row>
    <row r="39" spans="1:13" ht="15" customHeight="1">
      <c r="A39" s="17" t="s">
        <v>37</v>
      </c>
      <c r="B39" s="29">
        <f>'Расчет дотаций'!P41</f>
        <v>-537.70000000000437</v>
      </c>
      <c r="C39" s="33">
        <f>'Расчет дотаций'!B41-1</f>
        <v>0</v>
      </c>
      <c r="D39" s="33">
        <f>C39*'Расчет дотаций'!C41</f>
        <v>0</v>
      </c>
      <c r="E39" s="32">
        <f t="shared" si="4"/>
        <v>0</v>
      </c>
      <c r="F39" s="33">
        <f>'Расчет дотаций'!F41-1</f>
        <v>0.21165971107544146</v>
      </c>
      <c r="G39" s="33">
        <f>F39*'Расчет дотаций'!G41</f>
        <v>2.1165971107544146</v>
      </c>
      <c r="H39" s="32">
        <f t="shared" si="5"/>
        <v>2777.7456229484164</v>
      </c>
      <c r="I39" s="33">
        <f>'Расчет дотаций'!J41-1</f>
        <v>-0.16842105263157892</v>
      </c>
      <c r="J39" s="33">
        <f>I39*'Расчет дотаций'!K41</f>
        <v>-2.5263157894736836</v>
      </c>
      <c r="K39" s="32">
        <f t="shared" si="3"/>
        <v>-3315.4456229484208</v>
      </c>
      <c r="L39" s="31">
        <f t="shared" si="6"/>
        <v>-0.40971867871926904</v>
      </c>
    </row>
    <row r="40" spans="1:13" ht="15" customHeight="1">
      <c r="A40" s="17" t="s">
        <v>38</v>
      </c>
      <c r="B40" s="29">
        <f>'Расчет дотаций'!P42</f>
        <v>1905.7000000000007</v>
      </c>
      <c r="C40" s="33">
        <f>'Расчет дотаций'!B42-1</f>
        <v>0</v>
      </c>
      <c r="D40" s="33">
        <f>C40*'Расчет дотаций'!C42</f>
        <v>0</v>
      </c>
      <c r="E40" s="32">
        <f t="shared" si="4"/>
        <v>0</v>
      </c>
      <c r="F40" s="33">
        <f>'Расчет дотаций'!F42-1</f>
        <v>-3.6930860033726809E-2</v>
      </c>
      <c r="G40" s="33">
        <f>F40*'Расчет дотаций'!G42</f>
        <v>-0.36930860033726809</v>
      </c>
      <c r="H40" s="32">
        <f t="shared" si="5"/>
        <v>-271.89812260852818</v>
      </c>
      <c r="I40" s="33">
        <f>'Расчет дотаций'!J42-1</f>
        <v>0.19718309859154926</v>
      </c>
      <c r="J40" s="33">
        <f>I40*'Расчет дотаций'!K42</f>
        <v>2.957746478873239</v>
      </c>
      <c r="K40" s="32">
        <f t="shared" si="3"/>
        <v>2177.5981226085291</v>
      </c>
      <c r="L40" s="31">
        <f t="shared" si="6"/>
        <v>2.588437878535971</v>
      </c>
    </row>
    <row r="41" spans="1:13" ht="15" customHeight="1">
      <c r="A41" s="17" t="s">
        <v>2</v>
      </c>
      <c r="B41" s="29">
        <f>'Расчет дотаций'!P43</f>
        <v>2259.7000000000007</v>
      </c>
      <c r="C41" s="33">
        <f>'Расчет дотаций'!B43-1</f>
        <v>0</v>
      </c>
      <c r="D41" s="33">
        <f>C41*'Расчет дотаций'!C43</f>
        <v>0</v>
      </c>
      <c r="E41" s="32">
        <f t="shared" si="4"/>
        <v>0</v>
      </c>
      <c r="F41" s="33">
        <f>'Расчет дотаций'!F43-1</f>
        <v>1.0700757575757613E-2</v>
      </c>
      <c r="G41" s="33">
        <f>F41*'Расчет дотаций'!G43</f>
        <v>0.10700757575757613</v>
      </c>
      <c r="H41" s="32">
        <f t="shared" si="5"/>
        <v>69.92725486812202</v>
      </c>
      <c r="I41" s="33">
        <f>'Расчет дотаций'!J43-1</f>
        <v>0.22339622641509438</v>
      </c>
      <c r="J41" s="33">
        <f>I41*'Расчет дотаций'!K43</f>
        <v>3.3509433962264157</v>
      </c>
      <c r="K41" s="32">
        <f t="shared" si="3"/>
        <v>2189.7727451318788</v>
      </c>
      <c r="L41" s="31">
        <f t="shared" si="6"/>
        <v>3.4579509719839918</v>
      </c>
    </row>
    <row r="42" spans="1:13" ht="15" customHeight="1">
      <c r="A42" s="17" t="s">
        <v>39</v>
      </c>
      <c r="B42" s="29">
        <f>'Расчет дотаций'!P44</f>
        <v>2530.5</v>
      </c>
      <c r="C42" s="33">
        <f>'Расчет дотаций'!B44-1</f>
        <v>0</v>
      </c>
      <c r="D42" s="33">
        <f>C42*'Расчет дотаций'!C44</f>
        <v>0</v>
      </c>
      <c r="E42" s="32">
        <f t="shared" si="4"/>
        <v>0</v>
      </c>
      <c r="F42" s="33">
        <f>'Расчет дотаций'!F44-1</f>
        <v>4.1382765531062127E-2</v>
      </c>
      <c r="G42" s="33">
        <f>F42*'Расчет дотаций'!G44</f>
        <v>0.41382765531062127</v>
      </c>
      <c r="H42" s="32">
        <f t="shared" si="5"/>
        <v>247.37392566643314</v>
      </c>
      <c r="I42" s="33">
        <f>'Расчет дотаций'!J44-1</f>
        <v>0.25462686567164172</v>
      </c>
      <c r="J42" s="33">
        <f>I42*'Расчет дотаций'!K44</f>
        <v>3.8194029850746256</v>
      </c>
      <c r="K42" s="32">
        <f t="shared" si="3"/>
        <v>2283.126074333567</v>
      </c>
      <c r="L42" s="31">
        <f t="shared" si="6"/>
        <v>4.2332306403852469</v>
      </c>
    </row>
    <row r="43" spans="1:13" ht="15" customHeight="1">
      <c r="A43" s="17" t="s">
        <v>3</v>
      </c>
      <c r="B43" s="29">
        <f>'Расчет дотаций'!P45</f>
        <v>3537</v>
      </c>
      <c r="C43" s="33">
        <f>'Расчет дотаций'!B45-1</f>
        <v>0</v>
      </c>
      <c r="D43" s="33">
        <f>C43*'Расчет дотаций'!C45</f>
        <v>0</v>
      </c>
      <c r="E43" s="32">
        <f t="shared" si="4"/>
        <v>0</v>
      </c>
      <c r="F43" s="33">
        <f>'Расчет дотаций'!F45-1</f>
        <v>0.13746478873239432</v>
      </c>
      <c r="G43" s="33">
        <f>F43*'Расчет дотаций'!G45</f>
        <v>1.3746478873239432</v>
      </c>
      <c r="H43" s="32">
        <f t="shared" si="5"/>
        <v>827.64612802685178</v>
      </c>
      <c r="I43" s="33">
        <f>'Расчет дотаций'!J45-1</f>
        <v>0.30000000000000004</v>
      </c>
      <c r="J43" s="33">
        <f>I43*'Расчет дотаций'!K45</f>
        <v>4.5000000000000009</v>
      </c>
      <c r="K43" s="32">
        <f t="shared" si="3"/>
        <v>2709.3538719731487</v>
      </c>
      <c r="L43" s="31">
        <f t="shared" si="6"/>
        <v>5.8746478873239436</v>
      </c>
    </row>
    <row r="44" spans="1:13" ht="15" customHeight="1">
      <c r="A44" s="17" t="s">
        <v>40</v>
      </c>
      <c r="B44" s="29">
        <f>'Расчет дотаций'!P46</f>
        <v>2688.7999999999993</v>
      </c>
      <c r="C44" s="33">
        <f>'Расчет дотаций'!B46-1</f>
        <v>0</v>
      </c>
      <c r="D44" s="33">
        <f>C44*'Расчет дотаций'!C46</f>
        <v>0</v>
      </c>
      <c r="E44" s="32">
        <f t="shared" si="4"/>
        <v>0</v>
      </c>
      <c r="F44" s="33">
        <f>'Расчет дотаций'!F46-1</f>
        <v>8.7450808919982137E-3</v>
      </c>
      <c r="G44" s="33">
        <f>F44*'Расчет дотаций'!G46</f>
        <v>8.7450808919982137E-2</v>
      </c>
      <c r="H44" s="32">
        <f t="shared" si="5"/>
        <v>70.926552687054524</v>
      </c>
      <c r="I44" s="33">
        <f>'Расчет дотаций'!J46-1</f>
        <v>0.21518518518518515</v>
      </c>
      <c r="J44" s="33">
        <f>I44*'Расчет дотаций'!K46</f>
        <v>3.227777777777777</v>
      </c>
      <c r="K44" s="32">
        <f>$B44*J44/L44</f>
        <v>2617.8734473129448</v>
      </c>
      <c r="L44" s="31">
        <f t="shared" si="6"/>
        <v>3.3152285866977591</v>
      </c>
    </row>
    <row r="45" spans="1:13" s="27" customFormat="1" ht="15" customHeight="1">
      <c r="A45" s="26" t="s">
        <v>45</v>
      </c>
      <c r="B45" s="30">
        <f>B6+B17</f>
        <v>75567.5</v>
      </c>
      <c r="C45" s="30"/>
      <c r="D45" s="30"/>
      <c r="E45" s="30">
        <f>E6+E17</f>
        <v>0</v>
      </c>
      <c r="F45" s="30"/>
      <c r="G45" s="30"/>
      <c r="H45" s="30">
        <f>H6+H17</f>
        <v>48490.066457137516</v>
      </c>
      <c r="I45" s="30"/>
      <c r="J45" s="30"/>
      <c r="K45" s="30">
        <f>K6+K17</f>
        <v>27077.433542862469</v>
      </c>
      <c r="L45" s="30"/>
      <c r="M45" s="11"/>
    </row>
  </sheetData>
  <mergeCells count="7">
    <mergeCell ref="A1:L1"/>
    <mergeCell ref="A3:A4"/>
    <mergeCell ref="B3:B4"/>
    <mergeCell ref="L3:L4"/>
    <mergeCell ref="C3:E3"/>
    <mergeCell ref="F3:H3"/>
    <mergeCell ref="I3:K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2022-06-17T07:28:54Z</cp:lastPrinted>
  <dcterms:created xsi:type="dcterms:W3CDTF">2010-02-05T14:48:49Z</dcterms:created>
  <dcterms:modified xsi:type="dcterms:W3CDTF">2022-06-20T05:43:56Z</dcterms:modified>
</cp:coreProperties>
</file>