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2910" yWindow="5580" windowWidth="26265" windowHeight="11130"/>
  </bookViews>
  <sheets>
    <sheet name="Расчет дотаций" sheetId="7" r:id="rId1"/>
    <sheet name="Плюсы и минусы" sheetId="8" r:id="rId2"/>
  </sheets>
  <definedNames>
    <definedName name="_xlnm._FilterDatabase" localSheetId="0" hidden="1">'Расчет дотаций'!$A$1:$A$46</definedName>
    <definedName name="_xlnm.Print_Titles" localSheetId="1">'Плюсы и минусы'!$3:$4</definedName>
    <definedName name="_xlnm.Print_Titles" localSheetId="0">'Расчет дотаций'!$A:$A,'Расчет дотаций'!$3:$7</definedName>
    <definedName name="_xlnm.Print_Area" localSheetId="0">'Расчет дотаций'!$A$1:$AH$50</definedName>
  </definedNames>
  <calcPr calcId="125725"/>
</workbook>
</file>

<file path=xl/calcChain.xml><?xml version="1.0" encoding="utf-8"?>
<calcChain xmlns="http://schemas.openxmlformats.org/spreadsheetml/2006/main">
  <c r="S32" i="7"/>
  <c r="AB32" s="1"/>
  <c r="S46"/>
  <c r="AB46" s="1"/>
  <c r="S43"/>
  <c r="AB43" s="1"/>
  <c r="S42"/>
  <c r="AB42" s="1"/>
  <c r="S39"/>
  <c r="AB39" s="1"/>
  <c r="S38"/>
  <c r="AB38" s="1"/>
  <c r="S35"/>
  <c r="AB35" s="1"/>
  <c r="S34"/>
  <c r="AB34" s="1"/>
  <c r="S30"/>
  <c r="AB30" s="1"/>
  <c r="S26"/>
  <c r="AB26" s="1"/>
  <c r="S22"/>
  <c r="AB22" s="1"/>
  <c r="R46"/>
  <c r="R45"/>
  <c r="S45" s="1"/>
  <c r="AB45" s="1"/>
  <c r="R44"/>
  <c r="S44" s="1"/>
  <c r="AB44" s="1"/>
  <c r="R43"/>
  <c r="R42"/>
  <c r="R41"/>
  <c r="S41" s="1"/>
  <c r="AB41" s="1"/>
  <c r="R40"/>
  <c r="S40" s="1"/>
  <c r="AB40" s="1"/>
  <c r="R39"/>
  <c r="R38"/>
  <c r="R37"/>
  <c r="S37" s="1"/>
  <c r="AB37" s="1"/>
  <c r="R36"/>
  <c r="S36" s="1"/>
  <c r="AB36" s="1"/>
  <c r="R35"/>
  <c r="R34"/>
  <c r="R33"/>
  <c r="S33" s="1"/>
  <c r="AB33" s="1"/>
  <c r="R32"/>
  <c r="R31"/>
  <c r="S31" s="1"/>
  <c r="AB31" s="1"/>
  <c r="R30"/>
  <c r="R29"/>
  <c r="S29" s="1"/>
  <c r="AB29" s="1"/>
  <c r="R28"/>
  <c r="S28" s="1"/>
  <c r="AB28" s="1"/>
  <c r="R27"/>
  <c r="S27" s="1"/>
  <c r="AB27" s="1"/>
  <c r="R26"/>
  <c r="R25"/>
  <c r="S25" s="1"/>
  <c r="AB25" s="1"/>
  <c r="R24"/>
  <c r="S24" s="1"/>
  <c r="AB24" s="1"/>
  <c r="R23"/>
  <c r="S23" s="1"/>
  <c r="AB23" s="1"/>
  <c r="R22"/>
  <c r="R21"/>
  <c r="S21" s="1"/>
  <c r="AB21" s="1"/>
  <c r="R20"/>
  <c r="S20" s="1"/>
  <c r="AB20" s="1"/>
  <c r="R10"/>
  <c r="S10" s="1"/>
  <c r="AB10" s="1"/>
  <c r="R11"/>
  <c r="S11" s="1"/>
  <c r="AB11" s="1"/>
  <c r="R12"/>
  <c r="S12" s="1"/>
  <c r="AB12" s="1"/>
  <c r="R13"/>
  <c r="S13" s="1"/>
  <c r="AB13" s="1"/>
  <c r="R14"/>
  <c r="S14" s="1"/>
  <c r="AB14" s="1"/>
  <c r="R15"/>
  <c r="S15" s="1"/>
  <c r="AB15" s="1"/>
  <c r="R16"/>
  <c r="S16" s="1"/>
  <c r="AB16" s="1"/>
  <c r="R17"/>
  <c r="S17" s="1"/>
  <c r="AB17" s="1"/>
  <c r="R18"/>
  <c r="S18" s="1"/>
  <c r="AB18" s="1"/>
  <c r="R9"/>
  <c r="S9" s="1"/>
  <c r="AB9" s="1"/>
  <c r="P46" l="1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0"/>
  <c r="P11"/>
  <c r="P12"/>
  <c r="P13"/>
  <c r="P14"/>
  <c r="P15"/>
  <c r="P16"/>
  <c r="P17"/>
  <c r="P18"/>
  <c r="P9"/>
  <c r="N31"/>
  <c r="N46"/>
  <c r="N45"/>
  <c r="N44"/>
  <c r="N43"/>
  <c r="N42"/>
  <c r="N41"/>
  <c r="N40"/>
  <c r="N39"/>
  <c r="N38"/>
  <c r="N37"/>
  <c r="N36"/>
  <c r="N35"/>
  <c r="N34"/>
  <c r="N33"/>
  <c r="N32"/>
  <c r="N30"/>
  <c r="N29"/>
  <c r="N28"/>
  <c r="N27"/>
  <c r="N26"/>
  <c r="N25"/>
  <c r="N24"/>
  <c r="N23"/>
  <c r="N22"/>
  <c r="N21"/>
  <c r="N20"/>
  <c r="N10"/>
  <c r="N11"/>
  <c r="N12"/>
  <c r="N13"/>
  <c r="N14"/>
  <c r="N15"/>
  <c r="N16"/>
  <c r="N17"/>
  <c r="N18"/>
  <c r="N9"/>
  <c r="I8"/>
  <c r="Z19" l="1"/>
  <c r="Z47" s="1"/>
  <c r="AA19"/>
  <c r="Z8"/>
  <c r="R8"/>
  <c r="R19"/>
  <c r="L7" i="8"/>
  <c r="M7" s="1"/>
  <c r="L44"/>
  <c r="M44" s="1"/>
  <c r="L43"/>
  <c r="M43" s="1"/>
  <c r="L42"/>
  <c r="M42" s="1"/>
  <c r="L41"/>
  <c r="M41" s="1"/>
  <c r="L40"/>
  <c r="M40" s="1"/>
  <c r="L39"/>
  <c r="M39" s="1"/>
  <c r="L38"/>
  <c r="M38" s="1"/>
  <c r="L37"/>
  <c r="M37" s="1"/>
  <c r="L36"/>
  <c r="M36" s="1"/>
  <c r="L35"/>
  <c r="M35" s="1"/>
  <c r="L34"/>
  <c r="M34" s="1"/>
  <c r="L33"/>
  <c r="M33" s="1"/>
  <c r="L32"/>
  <c r="M32" s="1"/>
  <c r="L31"/>
  <c r="M31" s="1"/>
  <c r="L30"/>
  <c r="M30" s="1"/>
  <c r="L29"/>
  <c r="M29" s="1"/>
  <c r="L28"/>
  <c r="M28" s="1"/>
  <c r="L27"/>
  <c r="M27" s="1"/>
  <c r="L26"/>
  <c r="M26" s="1"/>
  <c r="L25"/>
  <c r="M25" s="1"/>
  <c r="L24"/>
  <c r="M24" s="1"/>
  <c r="L23"/>
  <c r="M23" s="1"/>
  <c r="L22"/>
  <c r="M22" s="1"/>
  <c r="L21"/>
  <c r="M21" s="1"/>
  <c r="L20"/>
  <c r="M20" s="1"/>
  <c r="L19"/>
  <c r="M19" s="1"/>
  <c r="L18"/>
  <c r="M18" s="1"/>
  <c r="L16"/>
  <c r="M16" s="1"/>
  <c r="L15"/>
  <c r="M15" s="1"/>
  <c r="L14"/>
  <c r="M14" s="1"/>
  <c r="L13"/>
  <c r="M13" s="1"/>
  <c r="L12"/>
  <c r="M12" s="1"/>
  <c r="L11"/>
  <c r="M11" s="1"/>
  <c r="L10"/>
  <c r="M10" s="1"/>
  <c r="L9"/>
  <c r="M9" s="1"/>
  <c r="L8"/>
  <c r="M8" s="1"/>
  <c r="J46" i="7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0"/>
  <c r="J11"/>
  <c r="J12"/>
  <c r="J13"/>
  <c r="J14"/>
  <c r="J15"/>
  <c r="J16"/>
  <c r="J17"/>
  <c r="J18"/>
  <c r="J9"/>
  <c r="I7" i="8" s="1"/>
  <c r="J7" s="1"/>
  <c r="F34" i="7"/>
  <c r="F30"/>
  <c r="F46"/>
  <c r="F45"/>
  <c r="AF45" s="1"/>
  <c r="AG45" s="1"/>
  <c r="F44"/>
  <c r="F43"/>
  <c r="AF43" s="1"/>
  <c r="F42"/>
  <c r="F41"/>
  <c r="AF41" s="1"/>
  <c r="F40"/>
  <c r="F39"/>
  <c r="AF39" s="1"/>
  <c r="F38"/>
  <c r="F37"/>
  <c r="AF37" s="1"/>
  <c r="F36"/>
  <c r="AF36" s="1"/>
  <c r="F35"/>
  <c r="AF35" s="1"/>
  <c r="F33"/>
  <c r="AF33" s="1"/>
  <c r="F32"/>
  <c r="AF32" s="1"/>
  <c r="AG32" s="1"/>
  <c r="F31"/>
  <c r="AF31" s="1"/>
  <c r="F29"/>
  <c r="AF29" s="1"/>
  <c r="F28"/>
  <c r="AF28" s="1"/>
  <c r="F27"/>
  <c r="AF27" s="1"/>
  <c r="F26"/>
  <c r="F25"/>
  <c r="AF25" s="1"/>
  <c r="F24"/>
  <c r="AF24" s="1"/>
  <c r="F23"/>
  <c r="AF23" s="1"/>
  <c r="F22"/>
  <c r="F21"/>
  <c r="AF21" s="1"/>
  <c r="F20"/>
  <c r="AF20" s="1"/>
  <c r="F10"/>
  <c r="AF10" s="1"/>
  <c r="F11"/>
  <c r="AF11" s="1"/>
  <c r="F12"/>
  <c r="F13"/>
  <c r="F14"/>
  <c r="AF14" s="1"/>
  <c r="F15"/>
  <c r="AF15" s="1"/>
  <c r="F16"/>
  <c r="F17"/>
  <c r="F18"/>
  <c r="AF18" s="1"/>
  <c r="F9"/>
  <c r="AF9" s="1"/>
  <c r="D8"/>
  <c r="AF17" l="1"/>
  <c r="AF13"/>
  <c r="AF12"/>
  <c r="R47"/>
  <c r="AF42"/>
  <c r="AF40"/>
  <c r="AF22"/>
  <c r="AF26"/>
  <c r="AF30"/>
  <c r="AF34"/>
  <c r="AF38"/>
  <c r="AF46"/>
  <c r="AF44"/>
  <c r="AF16"/>
  <c r="Y19" l="1"/>
  <c r="Y8"/>
  <c r="Y47" l="1"/>
  <c r="AE47"/>
  <c r="AD47"/>
  <c r="AC47"/>
  <c r="X19" l="1"/>
  <c r="X8"/>
  <c r="X47" l="1"/>
  <c r="AA8" l="1"/>
  <c r="AA47" l="1"/>
  <c r="W19"/>
  <c r="W8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0"/>
  <c r="T11"/>
  <c r="T12"/>
  <c r="T13"/>
  <c r="T14"/>
  <c r="T15"/>
  <c r="T16"/>
  <c r="T17"/>
  <c r="T18"/>
  <c r="E19"/>
  <c r="D19"/>
  <c r="E8"/>
  <c r="T9" l="1"/>
  <c r="E47"/>
  <c r="W47"/>
  <c r="D47"/>
  <c r="AH9" l="1"/>
  <c r="V19"/>
  <c r="V8"/>
  <c r="V47" l="1"/>
  <c r="I19" l="1"/>
  <c r="H19"/>
  <c r="J19" s="1"/>
  <c r="H8"/>
  <c r="I43" i="8"/>
  <c r="J43" s="1"/>
  <c r="AH43" i="7"/>
  <c r="AH42"/>
  <c r="I39" i="8"/>
  <c r="J39" s="1"/>
  <c r="AH40" i="7"/>
  <c r="AH38"/>
  <c r="I35" i="8"/>
  <c r="J35" s="1"/>
  <c r="I34"/>
  <c r="J34" s="1"/>
  <c r="AH34" i="7"/>
  <c r="I31" i="8"/>
  <c r="J31" s="1"/>
  <c r="I30"/>
  <c r="J30" s="1"/>
  <c r="AH31" i="7"/>
  <c r="AH30"/>
  <c r="I27" i="8"/>
  <c r="J27" s="1"/>
  <c r="I26"/>
  <c r="J26" s="1"/>
  <c r="AH27" i="7"/>
  <c r="AH26"/>
  <c r="I23" i="8"/>
  <c r="J23" s="1"/>
  <c r="AH23" i="7"/>
  <c r="AH22"/>
  <c r="AH21"/>
  <c r="I18" i="8"/>
  <c r="J18" s="1"/>
  <c r="AH10" i="7"/>
  <c r="I9" i="8"/>
  <c r="J9" s="1"/>
  <c r="AH12" i="7"/>
  <c r="AH13"/>
  <c r="I13" i="8"/>
  <c r="J13" s="1"/>
  <c r="AH17" i="7"/>
  <c r="I38" i="8"/>
  <c r="J38" s="1"/>
  <c r="I22"/>
  <c r="J22" s="1"/>
  <c r="C44"/>
  <c r="D44" s="1"/>
  <c r="C43"/>
  <c r="D43" s="1"/>
  <c r="C42"/>
  <c r="D42" s="1"/>
  <c r="C41"/>
  <c r="D41" s="1"/>
  <c r="C40"/>
  <c r="D40" s="1"/>
  <c r="C39"/>
  <c r="D39" s="1"/>
  <c r="C38"/>
  <c r="D38" s="1"/>
  <c r="C37"/>
  <c r="D37" s="1"/>
  <c r="C36"/>
  <c r="D36" s="1"/>
  <c r="C35"/>
  <c r="D35" s="1"/>
  <c r="C34"/>
  <c r="D34" s="1"/>
  <c r="C33"/>
  <c r="D33" s="1"/>
  <c r="C32"/>
  <c r="D32" s="1"/>
  <c r="C31"/>
  <c r="D31" s="1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8"/>
  <c r="D18" s="1"/>
  <c r="C8"/>
  <c r="D8" s="1"/>
  <c r="C9"/>
  <c r="D9" s="1"/>
  <c r="C10"/>
  <c r="D10" s="1"/>
  <c r="C11"/>
  <c r="D11" s="1"/>
  <c r="C12"/>
  <c r="D12" s="1"/>
  <c r="C13"/>
  <c r="D13" s="1"/>
  <c r="C14"/>
  <c r="D14" s="1"/>
  <c r="C15"/>
  <c r="D15" s="1"/>
  <c r="C16"/>
  <c r="D16" s="1"/>
  <c r="C7"/>
  <c r="D7" s="1"/>
  <c r="I44"/>
  <c r="J44" s="1"/>
  <c r="F44"/>
  <c r="G44" s="1"/>
  <c r="I42"/>
  <c r="J42" s="1"/>
  <c r="I41"/>
  <c r="J41" s="1"/>
  <c r="F41"/>
  <c r="G41" s="1"/>
  <c r="I40"/>
  <c r="J40" s="1"/>
  <c r="I37"/>
  <c r="J37" s="1"/>
  <c r="F37"/>
  <c r="G37" s="1"/>
  <c r="I36"/>
  <c r="J36" s="1"/>
  <c r="F36"/>
  <c r="G36" s="1"/>
  <c r="F34"/>
  <c r="G34" s="1"/>
  <c r="I33"/>
  <c r="J33" s="1"/>
  <c r="I32"/>
  <c r="J32" s="1"/>
  <c r="I29"/>
  <c r="J29" s="1"/>
  <c r="I28"/>
  <c r="J28" s="1"/>
  <c r="I25"/>
  <c r="J25" s="1"/>
  <c r="F25"/>
  <c r="G25" s="1"/>
  <c r="I24"/>
  <c r="J24" s="1"/>
  <c r="F24"/>
  <c r="G24" s="1"/>
  <c r="I21"/>
  <c r="J21" s="1"/>
  <c r="I20"/>
  <c r="J20" s="1"/>
  <c r="I19"/>
  <c r="J19" s="1"/>
  <c r="I16"/>
  <c r="J16" s="1"/>
  <c r="I15"/>
  <c r="J15" s="1"/>
  <c r="F15"/>
  <c r="G15" s="1"/>
  <c r="I14"/>
  <c r="J14" s="1"/>
  <c r="I12"/>
  <c r="J12" s="1"/>
  <c r="I11"/>
  <c r="J11" s="1"/>
  <c r="F11"/>
  <c r="G11" s="1"/>
  <c r="I10"/>
  <c r="J10" s="1"/>
  <c r="I8"/>
  <c r="J8" s="1"/>
  <c r="F8"/>
  <c r="G8" s="1"/>
  <c r="O15" l="1"/>
  <c r="O11"/>
  <c r="O34"/>
  <c r="O8"/>
  <c r="O25"/>
  <c r="O37"/>
  <c r="O41"/>
  <c r="O24"/>
  <c r="O36"/>
  <c r="O44"/>
  <c r="AH16" i="7"/>
  <c r="AH28"/>
  <c r="AH29"/>
  <c r="AH15"/>
  <c r="H47"/>
  <c r="F27" i="8"/>
  <c r="G27" s="1"/>
  <c r="O27" s="1"/>
  <c r="F26"/>
  <c r="G26" s="1"/>
  <c r="O26" s="1"/>
  <c r="F40"/>
  <c r="G40" s="1"/>
  <c r="O40" s="1"/>
  <c r="F38"/>
  <c r="G38" s="1"/>
  <c r="O38" s="1"/>
  <c r="F32"/>
  <c r="G32" s="1"/>
  <c r="O32" s="1"/>
  <c r="F29"/>
  <c r="G29" s="1"/>
  <c r="O29" s="1"/>
  <c r="F28"/>
  <c r="G28" s="1"/>
  <c r="O28" s="1"/>
  <c r="F21"/>
  <c r="G21" s="1"/>
  <c r="O21" s="1"/>
  <c r="F20"/>
  <c r="G20" s="1"/>
  <c r="O20" s="1"/>
  <c r="F14"/>
  <c r="G14" s="1"/>
  <c r="O14" s="1"/>
  <c r="F13"/>
  <c r="G13" s="1"/>
  <c r="O13" s="1"/>
  <c r="F10"/>
  <c r="G10" s="1"/>
  <c r="O10" s="1"/>
  <c r="F7"/>
  <c r="G7" s="1"/>
  <c r="O7" s="1"/>
  <c r="F8" i="7"/>
  <c r="F33" i="8"/>
  <c r="G33" s="1"/>
  <c r="O33" s="1"/>
  <c r="AH35" i="7"/>
  <c r="F19" i="8"/>
  <c r="G19" s="1"/>
  <c r="O19" s="1"/>
  <c r="F22"/>
  <c r="G22" s="1"/>
  <c r="O22" s="1"/>
  <c r="AH24" i="7"/>
  <c r="F18" i="8"/>
  <c r="G18" s="1"/>
  <c r="O18" s="1"/>
  <c r="F19" i="7"/>
  <c r="F23" i="8"/>
  <c r="G23" s="1"/>
  <c r="O23" s="1"/>
  <c r="AH25" i="7"/>
  <c r="F31" i="8"/>
  <c r="G31" s="1"/>
  <c r="O31" s="1"/>
  <c r="F35"/>
  <c r="G35" s="1"/>
  <c r="O35" s="1"/>
  <c r="AH37" i="7"/>
  <c r="F39" i="8"/>
  <c r="G39" s="1"/>
  <c r="O39" s="1"/>
  <c r="F43"/>
  <c r="G43" s="1"/>
  <c r="O43" s="1"/>
  <c r="F30"/>
  <c r="G30" s="1"/>
  <c r="O30" s="1"/>
  <c r="AH32" i="7"/>
  <c r="F42" i="8"/>
  <c r="G42" s="1"/>
  <c r="O42" s="1"/>
  <c r="AH44" i="7"/>
  <c r="F16" i="8"/>
  <c r="G16" s="1"/>
  <c r="O16" s="1"/>
  <c r="AH18" i="7"/>
  <c r="F12" i="8"/>
  <c r="G12" s="1"/>
  <c r="O12" s="1"/>
  <c r="AH14" i="7"/>
  <c r="F9" i="8"/>
  <c r="G9" s="1"/>
  <c r="O9" s="1"/>
  <c r="AH11" i="7"/>
  <c r="I47"/>
  <c r="J8"/>
  <c r="J47" l="1"/>
  <c r="AH20"/>
  <c r="AH33"/>
  <c r="AH36"/>
  <c r="F47"/>
  <c r="AH39"/>
  <c r="AH46"/>
  <c r="AH45"/>
  <c r="U19"/>
  <c r="U8"/>
  <c r="T19" l="1"/>
  <c r="T8"/>
  <c r="AH41"/>
  <c r="U47"/>
  <c r="Q8"/>
  <c r="Q19"/>
  <c r="Q47" l="1"/>
  <c r="AF19"/>
  <c r="AF8"/>
  <c r="AG19"/>
  <c r="AG8"/>
  <c r="B7" i="8"/>
  <c r="N7" l="1"/>
  <c r="K7"/>
  <c r="E7"/>
  <c r="H7"/>
  <c r="AF47" i="7"/>
  <c r="AG47"/>
  <c r="B13" i="8"/>
  <c r="N13" s="1"/>
  <c r="B9"/>
  <c r="N9" s="1"/>
  <c r="B20"/>
  <c r="N20" s="1"/>
  <c r="B24"/>
  <c r="N24" s="1"/>
  <c r="B28"/>
  <c r="N28" s="1"/>
  <c r="B32"/>
  <c r="N32" s="1"/>
  <c r="B36"/>
  <c r="N36" s="1"/>
  <c r="B40"/>
  <c r="N40" s="1"/>
  <c r="B44"/>
  <c r="N44" s="1"/>
  <c r="H32" l="1"/>
  <c r="E32"/>
  <c r="K32"/>
  <c r="E36"/>
  <c r="H36"/>
  <c r="K36"/>
  <c r="E20"/>
  <c r="K20"/>
  <c r="H20"/>
  <c r="K40"/>
  <c r="H40"/>
  <c r="E40"/>
  <c r="E24"/>
  <c r="K24"/>
  <c r="H24"/>
  <c r="E44"/>
  <c r="K44"/>
  <c r="H44"/>
  <c r="K28"/>
  <c r="E28"/>
  <c r="H28"/>
  <c r="K13"/>
  <c r="E13"/>
  <c r="H13"/>
  <c r="E9"/>
  <c r="H9"/>
  <c r="K9"/>
  <c r="B38"/>
  <c r="N38" s="1"/>
  <c r="B29"/>
  <c r="N29" s="1"/>
  <c r="B26"/>
  <c r="N26" s="1"/>
  <c r="B34"/>
  <c r="N34" s="1"/>
  <c r="B23"/>
  <c r="N23" s="1"/>
  <c r="B37"/>
  <c r="N37" s="1"/>
  <c r="B31"/>
  <c r="N31" s="1"/>
  <c r="B39"/>
  <c r="N39" s="1"/>
  <c r="B12"/>
  <c r="N12" s="1"/>
  <c r="B15"/>
  <c r="N15" s="1"/>
  <c r="B35"/>
  <c r="N35" s="1"/>
  <c r="B41"/>
  <c r="N41" s="1"/>
  <c r="B18"/>
  <c r="S19" i="7"/>
  <c r="S8"/>
  <c r="B43" i="8"/>
  <c r="N43" s="1"/>
  <c r="B27"/>
  <c r="N27" s="1"/>
  <c r="B10"/>
  <c r="N10" s="1"/>
  <c r="B42"/>
  <c r="N42" s="1"/>
  <c r="B30"/>
  <c r="N30" s="1"/>
  <c r="B19"/>
  <c r="N19" s="1"/>
  <c r="B11"/>
  <c r="N11" s="1"/>
  <c r="B22"/>
  <c r="N22" s="1"/>
  <c r="B33"/>
  <c r="N33" s="1"/>
  <c r="B8"/>
  <c r="N8" s="1"/>
  <c r="B14"/>
  <c r="N14" s="1"/>
  <c r="B21"/>
  <c r="N21" s="1"/>
  <c r="B16"/>
  <c r="N16" s="1"/>
  <c r="B25"/>
  <c r="N25" s="1"/>
  <c r="N6" l="1"/>
  <c r="E18"/>
  <c r="H18"/>
  <c r="K18"/>
  <c r="N18"/>
  <c r="N17" s="1"/>
  <c r="H22"/>
  <c r="E22"/>
  <c r="K22"/>
  <c r="K35"/>
  <c r="E35"/>
  <c r="H35"/>
  <c r="E33"/>
  <c r="H33"/>
  <c r="K33"/>
  <c r="H30"/>
  <c r="E30"/>
  <c r="K30"/>
  <c r="E43"/>
  <c r="H43"/>
  <c r="K43"/>
  <c r="K41"/>
  <c r="E41"/>
  <c r="H41"/>
  <c r="E39"/>
  <c r="H39"/>
  <c r="K39"/>
  <c r="H34"/>
  <c r="E34"/>
  <c r="K34"/>
  <c r="AB19" i="7"/>
  <c r="E25" i="8"/>
  <c r="H25"/>
  <c r="K25"/>
  <c r="E19"/>
  <c r="H19"/>
  <c r="K19"/>
  <c r="K27"/>
  <c r="E27"/>
  <c r="H27"/>
  <c r="K23"/>
  <c r="H23"/>
  <c r="E23"/>
  <c r="E38"/>
  <c r="H38"/>
  <c r="K38"/>
  <c r="H21"/>
  <c r="E21"/>
  <c r="K21"/>
  <c r="E42"/>
  <c r="H42"/>
  <c r="K42"/>
  <c r="E31"/>
  <c r="K31"/>
  <c r="H31"/>
  <c r="E26"/>
  <c r="K26"/>
  <c r="H26"/>
  <c r="H37"/>
  <c r="E37"/>
  <c r="K37"/>
  <c r="H29"/>
  <c r="E29"/>
  <c r="K29"/>
  <c r="K8"/>
  <c r="H8"/>
  <c r="E8"/>
  <c r="H12"/>
  <c r="K12"/>
  <c r="E12"/>
  <c r="H16"/>
  <c r="K16"/>
  <c r="E16"/>
  <c r="E14"/>
  <c r="H14"/>
  <c r="K14"/>
  <c r="H11"/>
  <c r="E11"/>
  <c r="K11"/>
  <c r="E10"/>
  <c r="K10"/>
  <c r="H10"/>
  <c r="K15"/>
  <c r="H15"/>
  <c r="E15"/>
  <c r="AH8" i="7"/>
  <c r="AB8"/>
  <c r="AH19"/>
  <c r="S47"/>
  <c r="P47" s="1"/>
  <c r="N45" i="8" l="1"/>
  <c r="K6"/>
  <c r="AB47" i="7"/>
  <c r="H17" i="8"/>
  <c r="H6"/>
  <c r="T47" i="7"/>
  <c r="AH47"/>
  <c r="K45" i="8" l="1"/>
  <c r="H45"/>
  <c r="B17"/>
  <c r="K17"/>
  <c r="B6"/>
  <c r="E6"/>
  <c r="E17"/>
  <c r="B45" l="1"/>
  <c r="E45"/>
</calcChain>
</file>

<file path=xl/sharedStrings.xml><?xml version="1.0" encoding="utf-8"?>
<sst xmlns="http://schemas.openxmlformats.org/spreadsheetml/2006/main" count="156" uniqueCount="102">
  <si>
    <t>Алексеевский</t>
  </si>
  <si>
    <t>Красноярский</t>
  </si>
  <si>
    <t>Хворостянский</t>
  </si>
  <si>
    <t>Шенталинский</t>
  </si>
  <si>
    <t>Городские округа</t>
  </si>
  <si>
    <t>Самара</t>
  </si>
  <si>
    <t>Тольятти</t>
  </si>
  <si>
    <t>Сызрань</t>
  </si>
  <si>
    <t>Новокуйбышевск</t>
  </si>
  <si>
    <t>Чапаевск</t>
  </si>
  <si>
    <t>Отрадный</t>
  </si>
  <si>
    <t>Жигулевск</t>
  </si>
  <si>
    <t>Октябрьск</t>
  </si>
  <si>
    <t>Кинель</t>
  </si>
  <si>
    <t>Похвистнево</t>
  </si>
  <si>
    <t>Наименование муниципального образования</t>
  </si>
  <si>
    <t>Вес</t>
  </si>
  <si>
    <t>Муниципальные районы</t>
  </si>
  <si>
    <t>Безенчукский</t>
  </si>
  <si>
    <t>Богатовский</t>
  </si>
  <si>
    <t>Большеглушицкий</t>
  </si>
  <si>
    <t>Большечерниговский</t>
  </si>
  <si>
    <t>Борский</t>
  </si>
  <si>
    <t>Волжский</t>
  </si>
  <si>
    <t>Елховский</t>
  </si>
  <si>
    <t>Исаклинский</t>
  </si>
  <si>
    <t>Камышлинский</t>
  </si>
  <si>
    <t>Кинельский</t>
  </si>
  <si>
    <t>Кинель-Черкасский</t>
  </si>
  <si>
    <t>Клявлинский</t>
  </si>
  <si>
    <t>Кошкинский</t>
  </si>
  <si>
    <t>Красноармейский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</si>
  <si>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</si>
  <si>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</si>
  <si>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</si>
  <si>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</si>
  <si>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</si>
  <si>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Ставропольский</t>
  </si>
  <si>
    <t>Сызранский</t>
  </si>
  <si>
    <t>Челно-Вершинский</t>
  </si>
  <si>
    <t>Шигонский</t>
  </si>
  <si>
    <t xml:space="preserve"> +/- по итогам отчётного периода</t>
  </si>
  <si>
    <t>Отклонение от прогноза</t>
  </si>
  <si>
    <t>Вес влияния на результат</t>
  </si>
  <si>
    <t>Общая сумма весов влияния</t>
  </si>
  <si>
    <t>ИТОГО</t>
  </si>
  <si>
    <t>тыс. рублей</t>
  </si>
  <si>
    <t>Сводная оценка выполнения социально-экономических показателей</t>
  </si>
  <si>
    <t>Исполнение</t>
  </si>
  <si>
    <t>Городские округа (городской округ с внутригородским делением)</t>
  </si>
  <si>
    <t xml:space="preserve">* </t>
  </si>
  <si>
    <t>+</t>
  </si>
  <si>
    <t>- на муниципальное образование распространяется соответствующее ограничение</t>
  </si>
  <si>
    <t>Распределение дотаций местным бюджетам на поддержку мер по обеспечению сбалансированности местных бюджетов</t>
  </si>
  <si>
    <t>Отсутствие просроченной кредиторской задолженности бюджета городского округа, консолидированного бюджета городского округа с внутригородским делением, консолидированного бюджета муниципального района по состоянию на конец отчетного периода</t>
  </si>
  <si>
    <t>- условие предоставления дотации не выполнено</t>
  </si>
  <si>
    <t>Прогнозное значение</t>
  </si>
  <si>
    <t>Фактически сложившийся уровень</t>
  </si>
  <si>
    <t>Исполнение с уч. корректир. макс.  перевыполнения</t>
  </si>
  <si>
    <t>6=5/4</t>
  </si>
  <si>
    <t>Объем алкогольной продукции, зафиксированный в единой государственной автоматизированной информационной системе</t>
  </si>
  <si>
    <t>Уровень задолженности предприятий жилищно-коммунального хозяйства за ранее потребленные топливно-энергетические ресурсы</t>
  </si>
  <si>
    <t>за январь</t>
  </si>
  <si>
    <t>за февраль</t>
  </si>
  <si>
    <t>Годовое значение, тыс. рублей</t>
  </si>
  <si>
    <t>План распределения за период, тыс. рублей</t>
  </si>
  <si>
    <t>Распределение за отчетный период, тыс. рублей</t>
  </si>
  <si>
    <t>Отклонение от планируемого распределения, тыс. рублей</t>
  </si>
  <si>
    <t>Ранее предоставленные дотации в 2022 году, тыс. рублей</t>
  </si>
  <si>
    <t>МО у которых доля дотаций на выравнивание бюджетной обеспеченности в доходах бюджета (без учета субвенций) за 2021 год &gt; 15 %</t>
  </si>
  <si>
    <t>Размер ежемесячного удержания дотаций в связи с исполнением показателей за 2021 год, тыс. рублей</t>
  </si>
  <si>
    <t>за март</t>
  </si>
  <si>
    <t>Удержано дотаций в 2022 году в связи с исполнением показателей за 2021 год, тыс. рублей</t>
  </si>
  <si>
    <t>Соблюдение условий предоставления дотаций*:</t>
  </si>
  <si>
    <t>за апрель</t>
  </si>
  <si>
    <t>10=8/9</t>
  </si>
  <si>
    <t>14=13/12</t>
  </si>
  <si>
    <r>
      <t xml:space="preserve">Объем алкогольной продукции, зафиксированный в единой государственной автоматизированной информационной системе (дкл.)
</t>
    </r>
    <r>
      <rPr>
        <i/>
        <sz val="9"/>
        <rFont val="Arial Narrow"/>
        <family val="2"/>
        <charset val="204"/>
      </rPr>
      <t>(по состоянию на 01.07.2022)</t>
    </r>
  </si>
  <si>
    <r>
      <t xml:space="preserve">Уровень задолженности предприятий жилищно-коммунального хозяйства за ранее потребленные топливно-энергетические ресурсы  по состоянию на конец отчетного периода (млн. рублей)
</t>
    </r>
    <r>
      <rPr>
        <i/>
        <sz val="9"/>
        <rFont val="Arial Narrow"/>
        <family val="2"/>
        <charset val="204"/>
      </rPr>
      <t>(по состоянию на 01.07.2022)</t>
    </r>
  </si>
  <si>
    <r>
      <t xml:space="preserve">Эффективность вовлечения 
объектов недвижимости 
в налоговый оборот
 (%)
</t>
    </r>
    <r>
      <rPr>
        <i/>
        <sz val="9"/>
        <rFont val="Arial Narrow"/>
        <family val="2"/>
        <charset val="204"/>
      </rPr>
      <t>(по состоянию на 01.07.2022)</t>
    </r>
  </si>
  <si>
    <t>19=16*18</t>
  </si>
  <si>
    <t>20=19-18</t>
  </si>
  <si>
    <t>за май</t>
  </si>
  <si>
    <t>34=32-33</t>
  </si>
  <si>
    <t xml:space="preserve"> + / -
(5)=(2)*(4)/(15)</t>
  </si>
  <si>
    <t xml:space="preserve"> + / -
(8)=(2)*(7)/(15)</t>
  </si>
  <si>
    <t xml:space="preserve"> + / -
(11)=(2)*(10)/(15)</t>
  </si>
  <si>
    <t xml:space="preserve"> + / -
(14)=(2)*(13)/(15)</t>
  </si>
  <si>
    <t>Эффективность вовлечения объектов недвижимости 
в налоговый оборот</t>
  </si>
  <si>
    <t>Наименование 
муниципального 
образования</t>
  </si>
  <si>
    <t>За 7 месяцев 2022 года</t>
  </si>
  <si>
    <r>
      <t xml:space="preserve">Отсутствие просроченной кредиторской задолженности бюджета городского округа, консолидированного бюджета городского округа с внутригородским делением, консолидированного бюджета муниципального района по состоянию на конец отчетного периода
</t>
    </r>
    <r>
      <rPr>
        <i/>
        <sz val="9"/>
        <rFont val="Arial Narrow"/>
        <family val="2"/>
        <charset val="204"/>
      </rPr>
      <t>(по состоянию на 01.08.2022)</t>
    </r>
  </si>
  <si>
    <t>18=17/11мес.*7</t>
  </si>
  <si>
    <t>Факторный анализ влияния отдельных показателей на итоговое распределение за 7 месяцев 2022 года</t>
  </si>
  <si>
    <t>за июнь</t>
  </si>
  <si>
    <t>Распределение дотаций за июль за вычетом предоставлен-ных дотаций за январь-июнь, тыс. рублей</t>
  </si>
  <si>
    <t>28=19-(21+…+27)</t>
  </si>
  <si>
    <t>непривлечение кредитов кредитных организаций в июле 2022 года</t>
  </si>
  <si>
    <t>МО, муниципальный долг которых на 01.08.2022 &gt; 90% от утвержденного общего годового объема доходов без учета утвержденного объема безвозмездных поступлений</t>
  </si>
  <si>
    <t>неувеличение объема муниципального долга в части кредитов кредитных организаций в июле 2022 года (не применяется если объем долга на 01.08.2022 не превышает его объем по состоянию на начало 2022 года)</t>
  </si>
  <si>
    <t>Распределение дотаций за июль с учетом выполнения условий предоставления дотаций, тыс. рублей</t>
  </si>
  <si>
    <t>Распределение дотаций за июль с учетом удержания и выполнения условий предоставления дотаций, тыс. рублей</t>
  </si>
</sst>
</file>

<file path=xl/styles.xml><?xml version="1.0" encoding="utf-8"?>
<styleSheet xmlns="http://schemas.openxmlformats.org/spreadsheetml/2006/main">
  <numFmts count="6">
    <numFmt numFmtId="164" formatCode="_-* #,##0.00_р_._-;\-* #,##0.00_р_._-;_-* &quot;-&quot;??_р_._-;_-@_-"/>
    <numFmt numFmtId="165" formatCode="#,##0.000_ ;[Red]\-#,##0.000\ "/>
    <numFmt numFmtId="166" formatCode="#,##0.0_ ;[Red]\-#,##0.0\ "/>
    <numFmt numFmtId="167" formatCode="#,##0.00_ ;[Red]\-#,##0.00\ "/>
    <numFmt numFmtId="168" formatCode="#,##0.0"/>
    <numFmt numFmtId="169" formatCode="0.0"/>
  </numFmts>
  <fonts count="23">
    <font>
      <sz val="10"/>
      <name val="Arial Cyr"/>
      <charset val="204"/>
    </font>
    <font>
      <sz val="9"/>
      <name val="Arial Narrow"/>
      <family val="2"/>
      <charset val="204"/>
    </font>
    <font>
      <sz val="10"/>
      <name val="Arial Narrow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8"/>
      <color indexed="23"/>
      <name val="Arial Cyr"/>
      <charset val="204"/>
    </font>
    <font>
      <sz val="10"/>
      <color indexed="62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Narrow"/>
      <family val="2"/>
      <charset val="204"/>
    </font>
    <font>
      <sz val="9"/>
      <name val="Times New Roman"/>
      <family val="1"/>
      <charset val="204"/>
    </font>
    <font>
      <i/>
      <sz val="9"/>
      <name val="Arial Narrow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darkDown">
        <fgColor indexed="10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4" borderId="1" applyNumberFormat="0">
      <alignment horizontal="right" vertical="top"/>
    </xf>
    <xf numFmtId="49" fontId="3" fillId="2" borderId="1">
      <alignment horizontal="left" vertical="top"/>
    </xf>
    <xf numFmtId="49" fontId="6" fillId="0" borderId="1">
      <alignment horizontal="left" vertical="top"/>
    </xf>
    <xf numFmtId="0" fontId="3" fillId="5" borderId="1">
      <alignment horizontal="left" vertical="top" wrapText="1"/>
    </xf>
    <xf numFmtId="0" fontId="6" fillId="0" borderId="1">
      <alignment horizontal="left" vertical="top" wrapText="1"/>
    </xf>
    <xf numFmtId="0" fontId="3" fillId="6" borderId="1">
      <alignment horizontal="left" vertical="top" wrapText="1"/>
    </xf>
    <xf numFmtId="0" fontId="3" fillId="7" borderId="1">
      <alignment horizontal="left" vertical="top" wrapText="1"/>
    </xf>
    <xf numFmtId="0" fontId="3" fillId="8" borderId="1">
      <alignment horizontal="left" vertical="top" wrapText="1"/>
    </xf>
    <xf numFmtId="0" fontId="3" fillId="9" borderId="1">
      <alignment horizontal="left" vertical="top" wrapText="1"/>
    </xf>
    <xf numFmtId="0" fontId="3" fillId="0" borderId="1">
      <alignment horizontal="left" vertical="top" wrapText="1"/>
    </xf>
    <xf numFmtId="0" fontId="7" fillId="0" borderId="0">
      <alignment horizontal="left" vertical="top"/>
    </xf>
    <xf numFmtId="0" fontId="10" fillId="0" borderId="0"/>
    <xf numFmtId="0" fontId="3" fillId="0" borderId="0">
      <alignment vertical="center" wrapText="1"/>
    </xf>
    <xf numFmtId="0" fontId="3" fillId="0" borderId="0">
      <alignment vertical="center" wrapText="1"/>
    </xf>
    <xf numFmtId="0" fontId="5" fillId="0" borderId="0">
      <alignment vertical="top" wrapText="1"/>
    </xf>
    <xf numFmtId="0" fontId="4" fillId="0" borderId="0">
      <alignment vertical="top" wrapText="1"/>
    </xf>
    <xf numFmtId="0" fontId="4" fillId="0" borderId="0">
      <alignment vertical="top" wrapText="1"/>
    </xf>
    <xf numFmtId="0" fontId="4" fillId="0" borderId="0"/>
    <xf numFmtId="0" fontId="3" fillId="0" borderId="0">
      <alignment vertical="center" wrapText="1"/>
    </xf>
    <xf numFmtId="0" fontId="4" fillId="0" borderId="0"/>
    <xf numFmtId="0" fontId="9" fillId="0" borderId="0"/>
    <xf numFmtId="0" fontId="10" fillId="0" borderId="0"/>
    <xf numFmtId="0" fontId="11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5" borderId="2" applyNumberFormat="0">
      <alignment horizontal="right" vertical="top"/>
    </xf>
    <xf numFmtId="0" fontId="3" fillId="6" borderId="2" applyNumberFormat="0">
      <alignment horizontal="right" vertical="top"/>
    </xf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7" borderId="2" applyNumberFormat="0">
      <alignment horizontal="right" vertical="top"/>
    </xf>
    <xf numFmtId="0" fontId="3" fillId="0" borderId="1" applyNumberFormat="0">
      <alignment horizontal="right" vertical="top"/>
    </xf>
    <xf numFmtId="49" fontId="8" fillId="3" borderId="1">
      <alignment horizontal="left" vertical="top" wrapText="1"/>
    </xf>
    <xf numFmtId="49" fontId="3" fillId="0" borderId="1">
      <alignment horizontal="left" vertical="top" wrapText="1"/>
    </xf>
    <xf numFmtId="164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9" borderId="1">
      <alignment horizontal="left" vertical="top" wrapText="1"/>
    </xf>
    <xf numFmtId="0" fontId="3" fillId="0" borderId="1">
      <alignment horizontal="left" vertical="top" wrapText="1"/>
    </xf>
    <xf numFmtId="0" fontId="12" fillId="0" borderId="0"/>
  </cellStyleXfs>
  <cellXfs count="97">
    <xf numFmtId="0" fontId="0" fillId="0" borderId="0" xfId="0"/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3" fontId="13" fillId="0" borderId="3" xfId="0" applyNumberFormat="1" applyFont="1" applyFill="1" applyBorder="1" applyAlignment="1">
      <alignment horizontal="center" vertical="center"/>
    </xf>
    <xf numFmtId="0" fontId="14" fillId="0" borderId="3" xfId="44" applyFont="1" applyBorder="1" applyAlignment="1">
      <alignment vertical="top" wrapText="1"/>
    </xf>
    <xf numFmtId="0" fontId="14" fillId="0" borderId="3" xfId="0" applyFont="1" applyFill="1" applyBorder="1" applyAlignment="1">
      <alignment vertical="top" wrapText="1"/>
    </xf>
    <xf numFmtId="0" fontId="14" fillId="12" borderId="3" xfId="44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center"/>
    </xf>
    <xf numFmtId="0" fontId="17" fillId="12" borderId="3" xfId="44" applyFont="1" applyFill="1" applyBorder="1" applyAlignment="1">
      <alignment horizontal="center" vertical="top" wrapText="1"/>
    </xf>
    <xf numFmtId="0" fontId="15" fillId="12" borderId="3" xfId="0" applyFont="1" applyFill="1" applyBorder="1" applyAlignment="1">
      <alignment vertical="center"/>
    </xf>
    <xf numFmtId="0" fontId="0" fillId="0" borderId="0" xfId="0" applyFont="1"/>
    <xf numFmtId="0" fontId="16" fillId="0" borderId="3" xfId="0" applyFont="1" applyBorder="1" applyAlignment="1">
      <alignment horizontal="center" vertical="center" wrapText="1"/>
    </xf>
    <xf numFmtId="0" fontId="16" fillId="16" borderId="3" xfId="0" applyFont="1" applyFill="1" applyBorder="1" applyAlignment="1">
      <alignment horizontal="center" vertical="center" wrapText="1"/>
    </xf>
    <xf numFmtId="0" fontId="18" fillId="12" borderId="3" xfId="44" applyFont="1" applyFill="1" applyBorder="1" applyAlignment="1">
      <alignment horizontal="left" vertical="top" wrapText="1"/>
    </xf>
    <xf numFmtId="0" fontId="18" fillId="0" borderId="3" xfId="44" applyFont="1" applyBorder="1" applyAlignment="1">
      <alignment vertical="top" wrapText="1"/>
    </xf>
    <xf numFmtId="0" fontId="18" fillId="12" borderId="3" xfId="44" applyFont="1" applyFill="1" applyBorder="1" applyAlignment="1">
      <alignment vertical="top" wrapText="1"/>
    </xf>
    <xf numFmtId="0" fontId="18" fillId="0" borderId="3" xfId="0" applyFont="1" applyFill="1" applyBorder="1" applyAlignment="1">
      <alignment vertical="top" wrapText="1"/>
    </xf>
    <xf numFmtId="166" fontId="15" fillId="12" borderId="3" xfId="0" applyNumberFormat="1" applyFont="1" applyFill="1" applyBorder="1" applyAlignment="1">
      <alignment vertical="center"/>
    </xf>
    <xf numFmtId="166" fontId="13" fillId="0" borderId="3" xfId="0" applyNumberFormat="1" applyFont="1" applyFill="1" applyBorder="1" applyAlignment="1">
      <alignment horizontal="right" vertical="center"/>
    </xf>
    <xf numFmtId="0" fontId="14" fillId="12" borderId="3" xfId="44" applyFont="1" applyFill="1" applyBorder="1" applyAlignment="1">
      <alignment horizontal="left" vertical="top" wrapText="1"/>
    </xf>
    <xf numFmtId="0" fontId="15" fillId="13" borderId="3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166" fontId="15" fillId="13" borderId="3" xfId="0" applyNumberFormat="1" applyFont="1" applyFill="1" applyBorder="1" applyAlignment="1">
      <alignment vertical="center"/>
    </xf>
    <xf numFmtId="165" fontId="13" fillId="0" borderId="3" xfId="0" applyNumberFormat="1" applyFont="1" applyFill="1" applyBorder="1" applyAlignment="1">
      <alignment horizontal="right" vertical="center"/>
    </xf>
    <xf numFmtId="0" fontId="16" fillId="16" borderId="3" xfId="0" applyNumberFormat="1" applyFont="1" applyFill="1" applyBorder="1" applyAlignment="1">
      <alignment horizontal="center" vertical="center" wrapText="1"/>
    </xf>
    <xf numFmtId="0" fontId="19" fillId="14" borderId="3" xfId="0" applyFont="1" applyFill="1" applyBorder="1" applyAlignment="1">
      <alignment vertical="top" wrapText="1"/>
    </xf>
    <xf numFmtId="0" fontId="6" fillId="0" borderId="0" xfId="0" applyFont="1"/>
    <xf numFmtId="166" fontId="19" fillId="12" borderId="3" xfId="0" applyNumberFormat="1" applyFont="1" applyFill="1" applyBorder="1" applyAlignment="1">
      <alignment vertical="center"/>
    </xf>
    <xf numFmtId="166" fontId="16" fillId="0" borderId="3" xfId="0" applyNumberFormat="1" applyFont="1" applyFill="1" applyBorder="1" applyAlignment="1">
      <alignment horizontal="right" vertical="center"/>
    </xf>
    <xf numFmtId="166" fontId="19" fillId="14" borderId="3" xfId="0" applyNumberFormat="1" applyFont="1" applyFill="1" applyBorder="1" applyAlignment="1">
      <alignment vertical="center"/>
    </xf>
    <xf numFmtId="167" fontId="16" fillId="0" borderId="3" xfId="0" applyNumberFormat="1" applyFont="1" applyBorder="1"/>
    <xf numFmtId="166" fontId="16" fillId="15" borderId="3" xfId="0" applyNumberFormat="1" applyFont="1" applyFill="1" applyBorder="1"/>
    <xf numFmtId="167" fontId="16" fillId="0" borderId="3" xfId="0" applyNumberFormat="1" applyFont="1" applyBorder="1" applyAlignment="1">
      <alignment horizontal="center"/>
    </xf>
    <xf numFmtId="0" fontId="14" fillId="0" borderId="3" xfId="44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ont="1" applyFill="1"/>
    <xf numFmtId="3" fontId="15" fillId="13" borderId="3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right"/>
    </xf>
    <xf numFmtId="0" fontId="13" fillId="19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49" fontId="2" fillId="19" borderId="3" xfId="0" applyNumberFormat="1" applyFont="1" applyFill="1" applyBorder="1" applyAlignment="1">
      <alignment horizontal="center" vertical="center"/>
    </xf>
    <xf numFmtId="166" fontId="13" fillId="0" borderId="3" xfId="0" applyNumberFormat="1" applyFont="1" applyFill="1" applyBorder="1" applyAlignment="1">
      <alignment horizontal="center" vertical="center"/>
    </xf>
    <xf numFmtId="166" fontId="13" fillId="19" borderId="3" xfId="0" applyNumberFormat="1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vertical="center" wrapText="1"/>
    </xf>
    <xf numFmtId="3" fontId="15" fillId="12" borderId="3" xfId="0" applyNumberFormat="1" applyFont="1" applyFill="1" applyBorder="1" applyAlignment="1">
      <alignment vertical="center"/>
    </xf>
    <xf numFmtId="3" fontId="13" fillId="0" borderId="3" xfId="0" applyNumberFormat="1" applyFont="1" applyFill="1" applyBorder="1" applyAlignment="1">
      <alignment horizontal="right" vertical="center"/>
    </xf>
    <xf numFmtId="3" fontId="15" fillId="13" borderId="3" xfId="0" applyNumberFormat="1" applyFont="1" applyFill="1" applyBorder="1" applyAlignment="1">
      <alignment vertical="center"/>
    </xf>
    <xf numFmtId="0" fontId="1" fillId="20" borderId="3" xfId="0" applyFont="1" applyFill="1" applyBorder="1" applyAlignment="1">
      <alignment horizontal="center" vertical="center" wrapText="1"/>
    </xf>
    <xf numFmtId="4" fontId="15" fillId="12" borderId="3" xfId="0" applyNumberFormat="1" applyFont="1" applyFill="1" applyBorder="1" applyAlignment="1">
      <alignment horizontal="center" vertical="center"/>
    </xf>
    <xf numFmtId="168" fontId="13" fillId="0" borderId="3" xfId="0" applyNumberFormat="1" applyFont="1" applyFill="1" applyBorder="1" applyAlignment="1">
      <alignment horizontal="right" vertical="center"/>
    </xf>
    <xf numFmtId="4" fontId="13" fillId="0" borderId="3" xfId="0" applyNumberFormat="1" applyFont="1" applyFill="1" applyBorder="1" applyAlignment="1">
      <alignment horizontal="center" vertical="center"/>
    </xf>
    <xf numFmtId="4" fontId="15" fillId="13" borderId="3" xfId="0" applyNumberFormat="1" applyFont="1" applyFill="1" applyBorder="1" applyAlignment="1">
      <alignment horizontal="center" vertical="center"/>
    </xf>
    <xf numFmtId="0" fontId="16" fillId="20" borderId="3" xfId="0" applyFont="1" applyFill="1" applyBorder="1" applyAlignment="1">
      <alignment horizontal="center" vertical="center" wrapText="1"/>
    </xf>
    <xf numFmtId="0" fontId="21" fillId="16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165" fontId="15" fillId="13" borderId="3" xfId="0" applyNumberFormat="1" applyFont="1" applyFill="1" applyBorder="1" applyAlignment="1">
      <alignment vertical="center"/>
    </xf>
    <xf numFmtId="0" fontId="1" fillId="20" borderId="3" xfId="0" applyFont="1" applyFill="1" applyBorder="1" applyAlignment="1">
      <alignment horizontal="center" vertical="center" wrapText="1"/>
    </xf>
    <xf numFmtId="0" fontId="16" fillId="11" borderId="3" xfId="0" applyFont="1" applyFill="1" applyBorder="1" applyAlignment="1">
      <alignment horizontal="center" vertical="center" wrapText="1"/>
    </xf>
    <xf numFmtId="166" fontId="15" fillId="12" borderId="3" xfId="0" applyNumberFormat="1" applyFont="1" applyFill="1" applyBorder="1" applyAlignment="1">
      <alignment horizontal="right" vertical="center"/>
    </xf>
    <xf numFmtId="166" fontId="15" fillId="13" borderId="3" xfId="0" applyNumberFormat="1" applyFont="1" applyFill="1" applyBorder="1" applyAlignment="1">
      <alignment horizontal="right" vertical="center"/>
    </xf>
    <xf numFmtId="169" fontId="13" fillId="0" borderId="3" xfId="0" applyNumberFormat="1" applyFont="1" applyFill="1" applyBorder="1" applyAlignment="1">
      <alignment horizontal="center" vertical="center"/>
    </xf>
    <xf numFmtId="169" fontId="15" fillId="12" borderId="3" xfId="0" applyNumberFormat="1" applyFont="1" applyFill="1" applyBorder="1" applyAlignment="1">
      <alignment vertical="center"/>
    </xf>
    <xf numFmtId="169" fontId="15" fillId="13" borderId="3" xfId="0" applyNumberFormat="1" applyFont="1" applyFill="1" applyBorder="1" applyAlignment="1">
      <alignment vertical="center"/>
    </xf>
    <xf numFmtId="168" fontId="13" fillId="0" borderId="3" xfId="0" applyNumberFormat="1" applyFont="1" applyFill="1" applyBorder="1" applyAlignment="1">
      <alignment horizontal="center" vertical="center"/>
    </xf>
    <xf numFmtId="168" fontId="15" fillId="12" borderId="3" xfId="0" applyNumberFormat="1" applyFont="1" applyFill="1" applyBorder="1" applyAlignment="1">
      <alignment vertical="center"/>
    </xf>
    <xf numFmtId="168" fontId="15" fillId="13" borderId="3" xfId="0" applyNumberFormat="1" applyFont="1" applyFill="1" applyBorder="1" applyAlignment="1">
      <alignment vertical="center"/>
    </xf>
    <xf numFmtId="49" fontId="13" fillId="0" borderId="4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" fillId="18" borderId="3" xfId="0" applyFont="1" applyFill="1" applyBorder="1" applyAlignment="1">
      <alignment horizontal="center" vertical="center" wrapText="1"/>
    </xf>
    <xf numFmtId="0" fontId="2" fillId="19" borderId="3" xfId="0" applyFont="1" applyFill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 wrapText="1"/>
    </xf>
    <xf numFmtId="0" fontId="2" fillId="18" borderId="12" xfId="0" applyFont="1" applyFill="1" applyBorder="1" applyAlignment="1">
      <alignment horizontal="center" vertical="center" wrapText="1"/>
    </xf>
    <xf numFmtId="0" fontId="2" fillId="18" borderId="13" xfId="0" applyFont="1" applyFill="1" applyBorder="1" applyAlignment="1">
      <alignment horizontal="center" vertical="center" wrapText="1"/>
    </xf>
    <xf numFmtId="0" fontId="2" fillId="18" borderId="8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2" fillId="18" borderId="9" xfId="0" applyFont="1" applyFill="1" applyBorder="1" applyAlignment="1">
      <alignment horizontal="center" vertical="center" wrapText="1"/>
    </xf>
    <xf numFmtId="0" fontId="2" fillId="18" borderId="14" xfId="0" applyFont="1" applyFill="1" applyBorder="1" applyAlignment="1">
      <alignment horizontal="center" vertical="center" wrapText="1"/>
    </xf>
    <xf numFmtId="0" fontId="2" fillId="18" borderId="15" xfId="0" applyFont="1" applyFill="1" applyBorder="1" applyAlignment="1">
      <alignment horizontal="center" vertical="center" wrapText="1"/>
    </xf>
    <xf numFmtId="0" fontId="2" fillId="18" borderId="16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 wrapText="1"/>
    </xf>
    <xf numFmtId="0" fontId="2" fillId="17" borderId="3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1" fillId="20" borderId="3" xfId="0" applyFont="1" applyFill="1" applyBorder="1" applyAlignment="1">
      <alignment horizontal="center" vertical="center" wrapText="1"/>
    </xf>
    <xf numFmtId="0" fontId="2" fillId="19" borderId="5" xfId="0" applyFont="1" applyFill="1" applyBorder="1" applyAlignment="1">
      <alignment horizontal="center" vertical="center" wrapText="1"/>
    </xf>
    <xf numFmtId="0" fontId="2" fillId="19" borderId="6" xfId="0" applyFont="1" applyFill="1" applyBorder="1" applyAlignment="1">
      <alignment horizontal="center" vertical="center" wrapText="1"/>
    </xf>
    <xf numFmtId="0" fontId="2" fillId="19" borderId="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6" fillId="18" borderId="3" xfId="0" applyFont="1" applyFill="1" applyBorder="1" applyAlignment="1">
      <alignment horizontal="center" vertical="center" wrapText="1"/>
    </xf>
    <xf numFmtId="0" fontId="16" fillId="17" borderId="3" xfId="0" applyNumberFormat="1" applyFont="1" applyFill="1" applyBorder="1" applyAlignment="1">
      <alignment horizontal="center" vertical="center" wrapText="1"/>
    </xf>
    <xf numFmtId="0" fontId="16" fillId="10" borderId="3" xfId="0" applyFont="1" applyFill="1" applyBorder="1" applyAlignment="1">
      <alignment horizontal="center" vertical="center" wrapText="1"/>
    </xf>
    <xf numFmtId="0" fontId="16" fillId="11" borderId="3" xfId="0" applyFont="1" applyFill="1" applyBorder="1" applyAlignment="1">
      <alignment horizontal="center" vertical="center" wrapText="1"/>
    </xf>
    <xf numFmtId="0" fontId="1" fillId="20" borderId="5" xfId="0" applyFont="1" applyFill="1" applyBorder="1" applyAlignment="1">
      <alignment horizontal="center" vertical="center" wrapText="1"/>
    </xf>
    <xf numFmtId="0" fontId="1" fillId="20" borderId="6" xfId="0" applyFont="1" applyFill="1" applyBorder="1" applyAlignment="1">
      <alignment horizontal="center" vertical="center" wrapText="1"/>
    </xf>
    <xf numFmtId="0" fontId="1" fillId="20" borderId="7" xfId="0" applyFont="1" applyFill="1" applyBorder="1" applyAlignment="1">
      <alignment horizontal="center" vertical="center" wrapText="1"/>
    </xf>
  </cellXfs>
  <cellStyles count="45">
    <cellStyle name="Данные (редактируемые)" xfId="1"/>
    <cellStyle name="Данные (только для чтения)" xfId="2"/>
    <cellStyle name="Данные для удаления" xfId="3"/>
    <cellStyle name="Заголовки полей" xfId="4"/>
    <cellStyle name="Заголовки полей [печать]" xfId="5"/>
    <cellStyle name="Заголовок меры" xfId="6"/>
    <cellStyle name="Заголовок показателя [печать]" xfId="7"/>
    <cellStyle name="Заголовок показателя константы" xfId="8"/>
    <cellStyle name="Заголовок результата расчета" xfId="9"/>
    <cellStyle name="Заголовок свободного показателя" xfId="10"/>
    <cellStyle name="Значение фильтра" xfId="11"/>
    <cellStyle name="Значение фильтра [печать]" xfId="12"/>
    <cellStyle name="Информация о задаче" xfId="13"/>
    <cellStyle name="Обычный" xfId="0" builtinId="0"/>
    <cellStyle name="Обычный 10" xfId="14"/>
    <cellStyle name="Обычный 2" xfId="15"/>
    <cellStyle name="Обычный 2 2" xfId="16"/>
    <cellStyle name="Обычный 2 3" xfId="17"/>
    <cellStyle name="Обычный 2 3 2" xfId="18"/>
    <cellStyle name="Обычный 2 3_доходы поселений" xfId="19"/>
    <cellStyle name="Обычный 2 4" xfId="20"/>
    <cellStyle name="Обычный 2_доходы поселений" xfId="21"/>
    <cellStyle name="Обычный 3" xfId="22"/>
    <cellStyle name="Обычный 3 2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Обычный_Показатели для дотаций_для_мисьма_в_министерства" xfId="44"/>
    <cellStyle name="Отдельная ячейка" xfId="30"/>
    <cellStyle name="Отдельная ячейка - константа" xfId="31"/>
    <cellStyle name="Отдельная ячейка - константа [печать]" xfId="32"/>
    <cellStyle name="Отдельная ячейка [печать]" xfId="33"/>
    <cellStyle name="Отдельная ячейка-результат" xfId="34"/>
    <cellStyle name="Отдельная ячейка-результат [печать]" xfId="35"/>
    <cellStyle name="Свойства элементов измерения" xfId="36"/>
    <cellStyle name="Свойства элементов измерения [печать]" xfId="37"/>
    <cellStyle name="Финансовый 2" xfId="38"/>
    <cellStyle name="Финансовый 2 2" xfId="39"/>
    <cellStyle name="Финансовый 2 2 2" xfId="40"/>
    <cellStyle name="Финансовый 3" xfId="41"/>
    <cellStyle name="Элементы осей" xfId="42"/>
    <cellStyle name="Элементы осей [печать]" xfId="4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7979"/>
      <rgbColor rgb="0000FF00"/>
      <rgbColor rgb="000000FF"/>
      <rgbColor rgb="00FFFF8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FFFF"/>
      <rgbColor rgb="00D9FFD9"/>
      <rgbColor rgb="00FFFFCD"/>
      <rgbColor rgb="0099CCFF"/>
      <rgbColor rgb="00FFE5F2"/>
      <rgbColor rgb="00EAD5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CCFF99"/>
      <color rgb="FFFF9999"/>
      <color rgb="FFFFFFCC"/>
      <color rgb="FF6699FF"/>
      <color rgb="FFCCCCFF"/>
      <color rgb="FF99CCFF"/>
      <color rgb="FFCCECFF"/>
      <color rgb="FF008A3E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indexed="42"/>
  </sheetPr>
  <dimension ref="A1:AO52"/>
  <sheetViews>
    <sheetView tabSelected="1" view="pageBreakPreview" zoomScale="80" zoomScaleNormal="70" zoomScaleSheetLayoutView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9.140625" defaultRowHeight="12.75"/>
  <cols>
    <col min="1" max="1" width="29.7109375" style="1" customWidth="1"/>
    <col min="2" max="2" width="13.7109375" style="1" customWidth="1"/>
    <col min="3" max="3" width="10.140625" style="1" customWidth="1"/>
    <col min="4" max="4" width="11.85546875" style="1" customWidth="1"/>
    <col min="5" max="5" width="13.28515625" style="1" customWidth="1"/>
    <col min="6" max="6" width="13.42578125" style="1" customWidth="1"/>
    <col min="7" max="7" width="6.42578125" style="1" customWidth="1"/>
    <col min="8" max="8" width="10.140625" style="1" customWidth="1"/>
    <col min="9" max="9" width="10.5703125" style="1" customWidth="1"/>
    <col min="10" max="10" width="13.7109375" style="1" customWidth="1"/>
    <col min="11" max="11" width="6.28515625" style="1" customWidth="1"/>
    <col min="12" max="12" width="10.140625" style="1" customWidth="1"/>
    <col min="13" max="13" width="10.5703125" style="1" customWidth="1"/>
    <col min="14" max="14" width="13.7109375" style="1" customWidth="1"/>
    <col min="15" max="15" width="6.28515625" style="1" customWidth="1"/>
    <col min="16" max="16" width="13" style="1" customWidth="1"/>
    <col min="17" max="17" width="11.42578125" style="1" customWidth="1"/>
    <col min="18" max="18" width="15.85546875" style="1" customWidth="1"/>
    <col min="19" max="19" width="13.5703125" style="1" customWidth="1"/>
    <col min="20" max="20" width="14.28515625" style="1" customWidth="1"/>
    <col min="21" max="26" width="12.28515625" style="1" customWidth="1"/>
    <col min="27" max="27" width="11.5703125" style="1" customWidth="1"/>
    <col min="28" max="28" width="16.5703125" style="1" customWidth="1"/>
    <col min="29" max="29" width="18.42578125" style="1" customWidth="1"/>
    <col min="30" max="30" width="18.85546875" style="1" customWidth="1"/>
    <col min="31" max="31" width="19.7109375" style="1" customWidth="1"/>
    <col min="32" max="32" width="13.5703125" style="1" customWidth="1"/>
    <col min="33" max="33" width="13" style="1" customWidth="1"/>
    <col min="34" max="34" width="13.42578125" style="1" customWidth="1"/>
    <col min="35" max="35" width="36.28515625" style="1" bestFit="1" customWidth="1"/>
    <col min="36" max="36" width="10.42578125" style="1" bestFit="1" customWidth="1"/>
    <col min="37" max="37" width="12.5703125" style="1" bestFit="1" customWidth="1"/>
    <col min="38" max="38" width="10.5703125" style="1" bestFit="1" customWidth="1"/>
    <col min="39" max="16384" width="9.140625" style="1"/>
  </cols>
  <sheetData>
    <row r="1" spans="1:41" ht="21.75" customHeight="1">
      <c r="B1" s="70" t="s">
        <v>53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</row>
    <row r="2" spans="1:41" ht="15.75">
      <c r="A2" s="35" t="s">
        <v>90</v>
      </c>
    </row>
    <row r="3" spans="1:41" ht="25.5" customHeight="1">
      <c r="A3" s="71" t="s">
        <v>89</v>
      </c>
      <c r="B3" s="84" t="s">
        <v>91</v>
      </c>
      <c r="C3" s="84"/>
      <c r="D3" s="85" t="s">
        <v>77</v>
      </c>
      <c r="E3" s="85"/>
      <c r="F3" s="85"/>
      <c r="G3" s="85"/>
      <c r="H3" s="85" t="s">
        <v>78</v>
      </c>
      <c r="I3" s="85"/>
      <c r="J3" s="85"/>
      <c r="K3" s="85"/>
      <c r="L3" s="85" t="s">
        <v>79</v>
      </c>
      <c r="M3" s="85"/>
      <c r="N3" s="85"/>
      <c r="O3" s="85"/>
      <c r="P3" s="83" t="s">
        <v>47</v>
      </c>
      <c r="Q3" s="82" t="s">
        <v>64</v>
      </c>
      <c r="R3" s="71" t="s">
        <v>65</v>
      </c>
      <c r="S3" s="71" t="s">
        <v>66</v>
      </c>
      <c r="T3" s="73" t="s">
        <v>67</v>
      </c>
      <c r="U3" s="76" t="s">
        <v>68</v>
      </c>
      <c r="V3" s="77"/>
      <c r="W3" s="77"/>
      <c r="X3" s="77"/>
      <c r="Y3" s="77"/>
      <c r="Z3" s="78"/>
      <c r="AA3" s="73" t="s">
        <v>72</v>
      </c>
      <c r="AB3" s="71" t="s">
        <v>95</v>
      </c>
      <c r="AC3" s="86" t="s">
        <v>73</v>
      </c>
      <c r="AD3" s="87"/>
      <c r="AE3" s="88"/>
      <c r="AF3" s="71" t="s">
        <v>100</v>
      </c>
      <c r="AG3" s="71" t="s">
        <v>70</v>
      </c>
      <c r="AH3" s="71" t="s">
        <v>101</v>
      </c>
    </row>
    <row r="4" spans="1:41" ht="36" customHeight="1">
      <c r="A4" s="71"/>
      <c r="B4" s="84"/>
      <c r="C4" s="84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3"/>
      <c r="Q4" s="82"/>
      <c r="R4" s="71"/>
      <c r="S4" s="71"/>
      <c r="T4" s="74"/>
      <c r="U4" s="79"/>
      <c r="V4" s="80"/>
      <c r="W4" s="80"/>
      <c r="X4" s="80"/>
      <c r="Y4" s="80"/>
      <c r="Z4" s="81"/>
      <c r="AA4" s="74"/>
      <c r="AB4" s="71"/>
      <c r="AC4" s="72" t="s">
        <v>97</v>
      </c>
      <c r="AD4" s="72"/>
      <c r="AE4" s="72" t="s">
        <v>99</v>
      </c>
      <c r="AF4" s="71"/>
      <c r="AG4" s="71"/>
      <c r="AH4" s="71"/>
    </row>
    <row r="5" spans="1:41" ht="99" customHeight="1">
      <c r="A5" s="71"/>
      <c r="B5" s="84"/>
      <c r="C5" s="84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3"/>
      <c r="Q5" s="82"/>
      <c r="R5" s="71"/>
      <c r="S5" s="71"/>
      <c r="T5" s="74"/>
      <c r="U5" s="71" t="s">
        <v>62</v>
      </c>
      <c r="V5" s="71" t="s">
        <v>63</v>
      </c>
      <c r="W5" s="71" t="s">
        <v>71</v>
      </c>
      <c r="X5" s="71" t="s">
        <v>74</v>
      </c>
      <c r="Y5" s="71" t="s">
        <v>82</v>
      </c>
      <c r="Z5" s="71" t="s">
        <v>94</v>
      </c>
      <c r="AA5" s="74"/>
      <c r="AB5" s="71"/>
      <c r="AC5" s="72" t="s">
        <v>69</v>
      </c>
      <c r="AD5" s="72" t="s">
        <v>98</v>
      </c>
      <c r="AE5" s="72"/>
      <c r="AF5" s="71"/>
      <c r="AG5" s="71"/>
      <c r="AH5" s="71"/>
    </row>
    <row r="6" spans="1:41" ht="45.75" customHeight="1">
      <c r="A6" s="71"/>
      <c r="B6" s="44" t="s">
        <v>48</v>
      </c>
      <c r="C6" s="44" t="s">
        <v>16</v>
      </c>
      <c r="D6" s="49" t="s">
        <v>56</v>
      </c>
      <c r="E6" s="49" t="s">
        <v>57</v>
      </c>
      <c r="F6" s="49" t="s">
        <v>58</v>
      </c>
      <c r="G6" s="49" t="s">
        <v>16</v>
      </c>
      <c r="H6" s="49" t="s">
        <v>56</v>
      </c>
      <c r="I6" s="49" t="s">
        <v>57</v>
      </c>
      <c r="J6" s="49" t="s">
        <v>58</v>
      </c>
      <c r="K6" s="49" t="s">
        <v>16</v>
      </c>
      <c r="L6" s="58" t="s">
        <v>56</v>
      </c>
      <c r="M6" s="58" t="s">
        <v>57</v>
      </c>
      <c r="N6" s="58" t="s">
        <v>58</v>
      </c>
      <c r="O6" s="58" t="s">
        <v>16</v>
      </c>
      <c r="P6" s="83"/>
      <c r="Q6" s="82"/>
      <c r="R6" s="71"/>
      <c r="S6" s="71"/>
      <c r="T6" s="75"/>
      <c r="U6" s="71"/>
      <c r="V6" s="71"/>
      <c r="W6" s="71"/>
      <c r="X6" s="71"/>
      <c r="Y6" s="71"/>
      <c r="Z6" s="71"/>
      <c r="AA6" s="75"/>
      <c r="AB6" s="71"/>
      <c r="AC6" s="72"/>
      <c r="AD6" s="72"/>
      <c r="AE6" s="72"/>
      <c r="AF6" s="71"/>
      <c r="AG6" s="71"/>
      <c r="AH6" s="71"/>
    </row>
    <row r="7" spans="1:41" s="8" customFormat="1" ht="14.1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 t="s">
        <v>59</v>
      </c>
      <c r="G7" s="13">
        <v>7</v>
      </c>
      <c r="H7" s="13">
        <v>8</v>
      </c>
      <c r="I7" s="13">
        <v>9</v>
      </c>
      <c r="J7" s="13" t="s">
        <v>75</v>
      </c>
      <c r="K7" s="13">
        <v>11</v>
      </c>
      <c r="L7" s="13">
        <v>12</v>
      </c>
      <c r="M7" s="13">
        <v>13</v>
      </c>
      <c r="N7" s="13" t="s">
        <v>76</v>
      </c>
      <c r="O7" s="13">
        <v>15</v>
      </c>
      <c r="P7" s="13">
        <v>16</v>
      </c>
      <c r="Q7" s="13">
        <v>17</v>
      </c>
      <c r="R7" s="13" t="s">
        <v>92</v>
      </c>
      <c r="S7" s="13" t="s">
        <v>80</v>
      </c>
      <c r="T7" s="13" t="s">
        <v>81</v>
      </c>
      <c r="U7" s="13">
        <v>21</v>
      </c>
      <c r="V7" s="13">
        <v>22</v>
      </c>
      <c r="W7" s="13">
        <v>23</v>
      </c>
      <c r="X7" s="13">
        <v>24</v>
      </c>
      <c r="Y7" s="13">
        <v>25</v>
      </c>
      <c r="Z7" s="13">
        <v>26</v>
      </c>
      <c r="AA7" s="13">
        <v>27</v>
      </c>
      <c r="AB7" s="55" t="s">
        <v>96</v>
      </c>
      <c r="AC7" s="13">
        <v>29</v>
      </c>
      <c r="AD7" s="13">
        <v>30</v>
      </c>
      <c r="AE7" s="13">
        <v>31</v>
      </c>
      <c r="AF7" s="13">
        <v>32</v>
      </c>
      <c r="AG7" s="13">
        <v>33</v>
      </c>
      <c r="AH7" s="13" t="s">
        <v>83</v>
      </c>
      <c r="AI7" s="1"/>
      <c r="AJ7" s="1"/>
      <c r="AK7" s="1"/>
      <c r="AL7" s="1"/>
      <c r="AM7" s="1"/>
      <c r="AN7" s="1"/>
      <c r="AO7" s="1"/>
    </row>
    <row r="8" spans="1:41" s="3" customFormat="1" ht="51.75" customHeight="1">
      <c r="A8" s="20" t="s">
        <v>49</v>
      </c>
      <c r="B8" s="9"/>
      <c r="C8" s="9"/>
      <c r="D8" s="18">
        <f>SUM(D9:D18)</f>
        <v>790853</v>
      </c>
      <c r="E8" s="18">
        <f>SUM(E9:E18)</f>
        <v>832366.3</v>
      </c>
      <c r="F8" s="50">
        <f>IF(E8/D8&gt;1.2,IF((E8/D8-1.2)*0.1+1.2&gt;1.3,1.3,(E8/D8-1.2)*0.1+1.2),E8/D8)</f>
        <v>1.0524918031543158</v>
      </c>
      <c r="G8" s="9"/>
      <c r="H8" s="18">
        <f>SUM(H9:H18)</f>
        <v>1843.8</v>
      </c>
      <c r="I8" s="18">
        <f>SUM(I9:I18)</f>
        <v>1148.4000000000001</v>
      </c>
      <c r="J8" s="50">
        <f>IF(H8/I8&gt;1.2,IF((H8/I8-1.2)*0.1+1.2&gt;1.3,1.3,(H8/I8-1.2)*0.1+1.2),H8/I8)</f>
        <v>1.2405538140020897</v>
      </c>
      <c r="K8" s="9"/>
      <c r="L8" s="18"/>
      <c r="M8" s="18"/>
      <c r="N8" s="50"/>
      <c r="O8" s="9"/>
      <c r="P8" s="10"/>
      <c r="Q8" s="46">
        <f>SUM(Q9:Q18)</f>
        <v>2274468</v>
      </c>
      <c r="R8" s="18">
        <f>SUM(R9:R18)</f>
        <v>1447388.7</v>
      </c>
      <c r="S8" s="18">
        <f>SUM(S9:S18)</f>
        <v>1613518.3999999997</v>
      </c>
      <c r="T8" s="18">
        <f>SUM(T9:T18)</f>
        <v>166129.69999999995</v>
      </c>
      <c r="U8" s="18">
        <f t="shared" ref="U8" si="0">SUM(U9:U18)</f>
        <v>175259.5</v>
      </c>
      <c r="V8" s="18">
        <f t="shared" ref="V8:AB8" si="1">SUM(V9:V18)</f>
        <v>175259.7</v>
      </c>
      <c r="W8" s="18">
        <f t="shared" si="1"/>
        <v>219413.6</v>
      </c>
      <c r="X8" s="18">
        <f t="shared" si="1"/>
        <v>192693.90000000002</v>
      </c>
      <c r="Y8" s="18">
        <f t="shared" si="1"/>
        <v>181742.10000000003</v>
      </c>
      <c r="Z8" s="18">
        <f t="shared" si="1"/>
        <v>263809.39999999991</v>
      </c>
      <c r="AA8" s="18">
        <f t="shared" si="1"/>
        <v>64591.499999999993</v>
      </c>
      <c r="AB8" s="18">
        <f t="shared" si="1"/>
        <v>340748.7</v>
      </c>
      <c r="AC8" s="18"/>
      <c r="AD8" s="18"/>
      <c r="AE8" s="18"/>
      <c r="AF8" s="18">
        <f>SUM(AF9:AF18)</f>
        <v>340748.7</v>
      </c>
      <c r="AG8" s="18">
        <f>SUM(AG9:AG18)</f>
        <v>0</v>
      </c>
      <c r="AH8" s="18">
        <f>SUM(AH9:AH18)</f>
        <v>340748.7</v>
      </c>
      <c r="AI8" s="1"/>
      <c r="AJ8" s="1"/>
      <c r="AK8" s="1"/>
      <c r="AL8" s="1"/>
      <c r="AM8" s="1"/>
      <c r="AN8" s="1"/>
      <c r="AO8" s="1"/>
    </row>
    <row r="9" spans="1:41" s="2" customFormat="1" ht="16.5" customHeight="1">
      <c r="A9" s="5" t="s">
        <v>5</v>
      </c>
      <c r="B9" s="4">
        <v>1</v>
      </c>
      <c r="C9" s="4">
        <v>15</v>
      </c>
      <c r="D9" s="51">
        <v>423969</v>
      </c>
      <c r="E9" s="51">
        <v>437728.4</v>
      </c>
      <c r="F9" s="52">
        <f>IF(G9=0,0,IF(D9=0,1,IF(E9&lt;0,0,IF(E9/D9&gt;1.2,IF((E9/D9-1.2)*0.1+1.2&gt;1.3,1.3,(E9/D9-1.2)*0.1+1.2),E9/D9))))</f>
        <v>1.0324537878948696</v>
      </c>
      <c r="G9" s="4">
        <v>15</v>
      </c>
      <c r="H9" s="51">
        <v>599.80000000000007</v>
      </c>
      <c r="I9" s="51">
        <v>182</v>
      </c>
      <c r="J9" s="52">
        <f>IF(K9=0,0,IF(I9=0,1.3,IF(I9&lt;0,0,IF(H9/I9&gt;1.2,IF((H9/I9-1.2)*0.1+1.2&gt;1.3,1.3,(H9/I9-1.2)*0.1+1.2),H9/I9))))</f>
        <v>1.3</v>
      </c>
      <c r="K9" s="4">
        <v>15</v>
      </c>
      <c r="L9" s="62">
        <v>20</v>
      </c>
      <c r="M9" s="65">
        <v>18.899999999999999</v>
      </c>
      <c r="N9" s="52">
        <f>IF(O9=0,0,IF(L9=0,1,IF(M9&lt;0,0,IF(M9/L9&gt;1.2,IF((M9/L9-1.2)*0.1+1.2&gt;1.3,1.3,(M9/L9-1.2)*0.1+1.2),M9/L9))))</f>
        <v>0.94499999999999995</v>
      </c>
      <c r="O9" s="4">
        <v>20</v>
      </c>
      <c r="P9" s="24">
        <f>(B9*C9+F9*G9+J9*K9+N9*O9)/(C9+G9+K9+O9)</f>
        <v>1.0597970279757394</v>
      </c>
      <c r="Q9" s="47">
        <v>435592</v>
      </c>
      <c r="R9" s="19">
        <f>ROUND(Q9/11*7,1)</f>
        <v>277194.90000000002</v>
      </c>
      <c r="S9" s="19">
        <f>ROUND(P9*R9,1)</f>
        <v>293770.3</v>
      </c>
      <c r="T9" s="19">
        <f>S9-R9</f>
        <v>16575.399999999965</v>
      </c>
      <c r="U9" s="19">
        <v>33659.199999999997</v>
      </c>
      <c r="V9" s="19">
        <v>33659.199999999997</v>
      </c>
      <c r="W9" s="19">
        <v>45951</v>
      </c>
      <c r="X9" s="19">
        <v>37756.5</v>
      </c>
      <c r="Y9" s="19">
        <v>37756.6</v>
      </c>
      <c r="Z9" s="19">
        <v>35552.800000000003</v>
      </c>
      <c r="AA9" s="19"/>
      <c r="AB9" s="19">
        <f>ROUND(S9-SUM(U9:AA9),1)</f>
        <v>69435</v>
      </c>
      <c r="AC9" s="42"/>
      <c r="AD9" s="42"/>
      <c r="AE9" s="43"/>
      <c r="AF9" s="19">
        <f>IF(OR(AC9="+",AD9="+",AE9="+",AB9&lt;0),0,AB9)</f>
        <v>69435</v>
      </c>
      <c r="AG9" s="19"/>
      <c r="AH9" s="19">
        <f>ROUND(AF9-AG9,1)</f>
        <v>69435</v>
      </c>
      <c r="AI9" s="1"/>
      <c r="AJ9" s="1"/>
      <c r="AK9" s="1"/>
      <c r="AL9" s="1"/>
      <c r="AM9" s="1"/>
      <c r="AN9" s="1"/>
      <c r="AO9" s="1"/>
    </row>
    <row r="10" spans="1:41" s="2" customFormat="1" ht="17.100000000000001" customHeight="1">
      <c r="A10" s="5" t="s">
        <v>6</v>
      </c>
      <c r="B10" s="4">
        <v>1</v>
      </c>
      <c r="C10" s="4">
        <v>15</v>
      </c>
      <c r="D10" s="51">
        <v>187883</v>
      </c>
      <c r="E10" s="51">
        <v>201554.69999999998</v>
      </c>
      <c r="F10" s="52">
        <f t="shared" ref="F10:F46" si="2">IF(G10=0,0,IF(D10=0,1,IF(E10&lt;0,0,IF(E10/D10&gt;1.2,IF((E10/D10-1.2)*0.1+1.2&gt;1.3,1.3,(E10/D10-1.2)*0.1+1.2),E10/D10))))</f>
        <v>1.0727670944151413</v>
      </c>
      <c r="G10" s="4">
        <v>15</v>
      </c>
      <c r="H10" s="51">
        <v>169.8</v>
      </c>
      <c r="I10" s="51">
        <v>101</v>
      </c>
      <c r="J10" s="52">
        <f t="shared" ref="J10:J46" si="3">IF(K10=0,0,IF(I10=0,1.3,IF(I10&lt;0,0,IF(H10/I10&gt;1.2,IF((H10/I10-1.2)*0.1+1.2&gt;1.3,1.3,(H10/I10-1.2)*0.1+1.2),H10/I10))))</f>
        <v>1.2481188118811881</v>
      </c>
      <c r="K10" s="4">
        <v>15</v>
      </c>
      <c r="L10" s="62">
        <v>20</v>
      </c>
      <c r="M10" s="65">
        <v>26.3</v>
      </c>
      <c r="N10" s="52">
        <f t="shared" ref="N10:N46" si="4">IF(O10=0,0,IF(L10=0,1,IF(M10&lt;0,0,IF(M10/L10&gt;1.2,IF((M10/L10-1.2)*0.1+1.2&gt;1.3,1.3,(M10/L10-1.2)*0.1+1.2),M10/L10))))</f>
        <v>1.2115</v>
      </c>
      <c r="O10" s="4">
        <v>20</v>
      </c>
      <c r="P10" s="24">
        <f t="shared" ref="P10:P45" si="5">(B10*C10+F10*G10+J10*K10+N10*O10)/(C10+G10+K10+O10)</f>
        <v>1.1391275168376145</v>
      </c>
      <c r="Q10" s="47">
        <v>911898</v>
      </c>
      <c r="R10" s="19">
        <f t="shared" ref="R10:R45" si="6">ROUND(Q10/11*7,1)</f>
        <v>580298.69999999995</v>
      </c>
      <c r="S10" s="19">
        <f t="shared" ref="S10:S46" si="7">ROUND(P10*R10,1)</f>
        <v>661034.19999999995</v>
      </c>
      <c r="T10" s="19">
        <f t="shared" ref="T10:T46" si="8">S10-R10</f>
        <v>80735.5</v>
      </c>
      <c r="U10" s="19">
        <v>71421</v>
      </c>
      <c r="V10" s="19">
        <v>71421</v>
      </c>
      <c r="W10" s="19">
        <v>74646.3</v>
      </c>
      <c r="X10" s="19">
        <v>59276.6</v>
      </c>
      <c r="Y10" s="19">
        <v>59276.5</v>
      </c>
      <c r="Z10" s="19">
        <v>130172.5</v>
      </c>
      <c r="AA10" s="19">
        <v>60591.499999999993</v>
      </c>
      <c r="AB10" s="19">
        <f t="shared" ref="AB10:AB45" si="9">ROUND(S10-SUM(U10:AA10),1)</f>
        <v>134228.79999999999</v>
      </c>
      <c r="AC10" s="42"/>
      <c r="AD10" s="42"/>
      <c r="AE10" s="43"/>
      <c r="AF10" s="19">
        <f t="shared" ref="AF10:AF45" si="10">IF(OR(AC10="+",AD10="+",AE10="+",AB10&lt;0),0,AB10)</f>
        <v>134228.79999999999</v>
      </c>
      <c r="AG10" s="19"/>
      <c r="AH10" s="19">
        <f t="shared" ref="AH10:AH46" si="11">ROUND(AF10-AG10,1)</f>
        <v>134228.79999999999</v>
      </c>
      <c r="AI10" s="1"/>
      <c r="AJ10" s="1"/>
      <c r="AK10" s="1"/>
      <c r="AL10" s="1"/>
      <c r="AM10" s="1"/>
      <c r="AN10" s="1"/>
      <c r="AO10" s="1"/>
    </row>
    <row r="11" spans="1:41" s="2" customFormat="1" ht="17.100000000000001" customHeight="1">
      <c r="A11" s="5" t="s">
        <v>7</v>
      </c>
      <c r="B11" s="4">
        <v>1</v>
      </c>
      <c r="C11" s="4">
        <v>15</v>
      </c>
      <c r="D11" s="51">
        <v>57331</v>
      </c>
      <c r="E11" s="51">
        <v>61167.799999999996</v>
      </c>
      <c r="F11" s="52">
        <f t="shared" si="2"/>
        <v>1.0669236538696341</v>
      </c>
      <c r="G11" s="4">
        <v>15</v>
      </c>
      <c r="H11" s="51">
        <v>243.50000000000003</v>
      </c>
      <c r="I11" s="51">
        <v>206.9</v>
      </c>
      <c r="J11" s="52">
        <f t="shared" si="3"/>
        <v>1.1768970517158048</v>
      </c>
      <c r="K11" s="4">
        <v>15</v>
      </c>
      <c r="L11" s="62">
        <v>20</v>
      </c>
      <c r="M11" s="65">
        <v>34.400000000000006</v>
      </c>
      <c r="N11" s="52">
        <f t="shared" si="4"/>
        <v>1.252</v>
      </c>
      <c r="O11" s="4">
        <v>20</v>
      </c>
      <c r="P11" s="24">
        <f t="shared" si="5"/>
        <v>1.1338047782120244</v>
      </c>
      <c r="Q11" s="47">
        <v>269208</v>
      </c>
      <c r="R11" s="19">
        <f t="shared" si="6"/>
        <v>171314.2</v>
      </c>
      <c r="S11" s="19">
        <f t="shared" si="7"/>
        <v>194236.9</v>
      </c>
      <c r="T11" s="19">
        <f t="shared" si="8"/>
        <v>22922.699999999983</v>
      </c>
      <c r="U11" s="19">
        <v>20718</v>
      </c>
      <c r="V11" s="19">
        <v>20718</v>
      </c>
      <c r="W11" s="19">
        <v>25955.7</v>
      </c>
      <c r="X11" s="19">
        <v>22463.9</v>
      </c>
      <c r="Y11" s="19">
        <v>22463.8</v>
      </c>
      <c r="Z11" s="19">
        <v>40200.300000000003</v>
      </c>
      <c r="AA11" s="19"/>
      <c r="AB11" s="19">
        <f t="shared" si="9"/>
        <v>41717.199999999997</v>
      </c>
      <c r="AC11" s="42"/>
      <c r="AD11" s="42"/>
      <c r="AE11" s="43"/>
      <c r="AF11" s="19">
        <f t="shared" si="10"/>
        <v>41717.199999999997</v>
      </c>
      <c r="AG11" s="19"/>
      <c r="AH11" s="19">
        <f t="shared" si="11"/>
        <v>41717.199999999997</v>
      </c>
      <c r="AI11" s="1"/>
      <c r="AJ11" s="1"/>
      <c r="AK11" s="1"/>
      <c r="AL11" s="1"/>
      <c r="AM11" s="1"/>
      <c r="AN11" s="1"/>
      <c r="AO11" s="1"/>
    </row>
    <row r="12" spans="1:41" s="2" customFormat="1" ht="17.100000000000001" customHeight="1">
      <c r="A12" s="5" t="s">
        <v>8</v>
      </c>
      <c r="B12" s="4">
        <v>1</v>
      </c>
      <c r="C12" s="4">
        <v>15</v>
      </c>
      <c r="D12" s="51">
        <v>35998</v>
      </c>
      <c r="E12" s="51">
        <v>36919.9</v>
      </c>
      <c r="F12" s="52">
        <f t="shared" si="2"/>
        <v>1.025609756097561</v>
      </c>
      <c r="G12" s="4">
        <v>15</v>
      </c>
      <c r="H12" s="51">
        <v>197.4</v>
      </c>
      <c r="I12" s="51">
        <v>195.8</v>
      </c>
      <c r="J12" s="52">
        <f t="shared" si="3"/>
        <v>1.0081716036772217</v>
      </c>
      <c r="K12" s="4">
        <v>15</v>
      </c>
      <c r="L12" s="62">
        <v>20</v>
      </c>
      <c r="M12" s="65">
        <v>88.300000000000011</v>
      </c>
      <c r="N12" s="52">
        <f t="shared" si="4"/>
        <v>1.3</v>
      </c>
      <c r="O12" s="4">
        <v>20</v>
      </c>
      <c r="P12" s="24">
        <f t="shared" si="5"/>
        <v>1.1001033907172577</v>
      </c>
      <c r="Q12" s="47">
        <v>123902</v>
      </c>
      <c r="R12" s="19">
        <f t="shared" si="6"/>
        <v>78846.7</v>
      </c>
      <c r="S12" s="19">
        <f t="shared" si="7"/>
        <v>86739.5</v>
      </c>
      <c r="T12" s="19">
        <f t="shared" si="8"/>
        <v>7892.8000000000029</v>
      </c>
      <c r="U12" s="19">
        <v>8732.6</v>
      </c>
      <c r="V12" s="19">
        <v>8732.7000000000007</v>
      </c>
      <c r="W12" s="19">
        <v>12721.4</v>
      </c>
      <c r="X12" s="19">
        <v>10333.200000000001</v>
      </c>
      <c r="Y12" s="19">
        <v>10957.2</v>
      </c>
      <c r="Z12" s="19">
        <v>10374.299999999999</v>
      </c>
      <c r="AA12" s="19">
        <v>3308.7000000000003</v>
      </c>
      <c r="AB12" s="19">
        <f t="shared" si="9"/>
        <v>21579.4</v>
      </c>
      <c r="AC12" s="42"/>
      <c r="AD12" s="42"/>
      <c r="AE12" s="43"/>
      <c r="AF12" s="19">
        <f t="shared" si="10"/>
        <v>21579.4</v>
      </c>
      <c r="AG12" s="19"/>
      <c r="AH12" s="19">
        <f t="shared" si="11"/>
        <v>21579.4</v>
      </c>
      <c r="AI12" s="1"/>
      <c r="AJ12" s="1"/>
      <c r="AK12" s="1"/>
      <c r="AL12" s="1"/>
      <c r="AM12" s="1"/>
      <c r="AN12" s="1"/>
      <c r="AO12" s="1"/>
    </row>
    <row r="13" spans="1:41" s="2" customFormat="1" ht="17.100000000000001" customHeight="1">
      <c r="A13" s="5" t="s">
        <v>9</v>
      </c>
      <c r="B13" s="4">
        <v>1</v>
      </c>
      <c r="C13" s="4">
        <v>15</v>
      </c>
      <c r="D13" s="51">
        <v>18372</v>
      </c>
      <c r="E13" s="51">
        <v>19857.400000000001</v>
      </c>
      <c r="F13" s="52">
        <f t="shared" si="2"/>
        <v>1.0808512954495972</v>
      </c>
      <c r="G13" s="4">
        <v>15</v>
      </c>
      <c r="H13" s="51">
        <v>5.7</v>
      </c>
      <c r="I13" s="51">
        <v>5.7</v>
      </c>
      <c r="J13" s="52">
        <f t="shared" si="3"/>
        <v>1</v>
      </c>
      <c r="K13" s="4">
        <v>15</v>
      </c>
      <c r="L13" s="62">
        <v>20</v>
      </c>
      <c r="M13" s="65">
        <v>16.100000000000001</v>
      </c>
      <c r="N13" s="52">
        <f t="shared" si="4"/>
        <v>0.80500000000000005</v>
      </c>
      <c r="O13" s="4">
        <v>20</v>
      </c>
      <c r="P13" s="24">
        <f t="shared" si="5"/>
        <v>0.95865799125759932</v>
      </c>
      <c r="Q13" s="47">
        <v>113483</v>
      </c>
      <c r="R13" s="19">
        <f t="shared" si="6"/>
        <v>72216.5</v>
      </c>
      <c r="S13" s="19">
        <f t="shared" si="7"/>
        <v>69230.899999999994</v>
      </c>
      <c r="T13" s="19">
        <f t="shared" si="8"/>
        <v>-2985.6000000000058</v>
      </c>
      <c r="U13" s="19">
        <v>9169.5</v>
      </c>
      <c r="V13" s="19">
        <v>9169.6</v>
      </c>
      <c r="W13" s="19">
        <v>12405</v>
      </c>
      <c r="X13" s="19">
        <v>10248</v>
      </c>
      <c r="Y13" s="19">
        <v>10248.1</v>
      </c>
      <c r="Z13" s="19">
        <v>10070.4</v>
      </c>
      <c r="AA13" s="19"/>
      <c r="AB13" s="19">
        <f t="shared" si="9"/>
        <v>7920.3</v>
      </c>
      <c r="AC13" s="43"/>
      <c r="AD13" s="42"/>
      <c r="AE13" s="43"/>
      <c r="AF13" s="19">
        <f t="shared" si="10"/>
        <v>7920.3</v>
      </c>
      <c r="AG13" s="19"/>
      <c r="AH13" s="19">
        <f t="shared" si="11"/>
        <v>7920.3</v>
      </c>
      <c r="AI13" s="1"/>
      <c r="AJ13" s="1"/>
      <c r="AK13" s="1"/>
      <c r="AL13" s="1"/>
      <c r="AM13" s="1"/>
      <c r="AN13" s="1"/>
      <c r="AO13" s="1"/>
    </row>
    <row r="14" spans="1:41" s="2" customFormat="1" ht="17.100000000000001" customHeight="1">
      <c r="A14" s="5" t="s">
        <v>10</v>
      </c>
      <c r="B14" s="4">
        <v>1</v>
      </c>
      <c r="C14" s="4">
        <v>15</v>
      </c>
      <c r="D14" s="51">
        <v>17543</v>
      </c>
      <c r="E14" s="51">
        <v>18746</v>
      </c>
      <c r="F14" s="52">
        <f t="shared" si="2"/>
        <v>1.068574360143647</v>
      </c>
      <c r="G14" s="4">
        <v>15</v>
      </c>
      <c r="H14" s="51">
        <v>46.3</v>
      </c>
      <c r="I14" s="51">
        <v>44.6</v>
      </c>
      <c r="J14" s="52">
        <f t="shared" si="3"/>
        <v>1.0381165919282511</v>
      </c>
      <c r="K14" s="4">
        <v>15</v>
      </c>
      <c r="L14" s="62">
        <v>20</v>
      </c>
      <c r="M14" s="65">
        <v>44.4</v>
      </c>
      <c r="N14" s="52">
        <f t="shared" si="4"/>
        <v>1.3</v>
      </c>
      <c r="O14" s="4">
        <v>20</v>
      </c>
      <c r="P14" s="24">
        <f t="shared" si="5"/>
        <v>1.1169286812473611</v>
      </c>
      <c r="Q14" s="47">
        <v>60287</v>
      </c>
      <c r="R14" s="19">
        <f t="shared" si="6"/>
        <v>38364.5</v>
      </c>
      <c r="S14" s="19">
        <f t="shared" si="7"/>
        <v>42850.400000000001</v>
      </c>
      <c r="T14" s="19">
        <f t="shared" si="8"/>
        <v>4485.9000000000015</v>
      </c>
      <c r="U14" s="19">
        <v>5234.6000000000004</v>
      </c>
      <c r="V14" s="19">
        <v>5234.7</v>
      </c>
      <c r="W14" s="19">
        <v>5180.5</v>
      </c>
      <c r="X14" s="19">
        <v>5373.9</v>
      </c>
      <c r="Y14" s="19">
        <v>5373.9</v>
      </c>
      <c r="Z14" s="19">
        <v>5655.4</v>
      </c>
      <c r="AA14" s="19">
        <v>471.8</v>
      </c>
      <c r="AB14" s="19">
        <f t="shared" si="9"/>
        <v>10325.6</v>
      </c>
      <c r="AC14" s="42"/>
      <c r="AD14" s="42"/>
      <c r="AE14" s="43"/>
      <c r="AF14" s="19">
        <f t="shared" si="10"/>
        <v>10325.6</v>
      </c>
      <c r="AG14" s="19"/>
      <c r="AH14" s="19">
        <f t="shared" si="11"/>
        <v>10325.6</v>
      </c>
      <c r="AI14" s="1"/>
      <c r="AJ14" s="1"/>
      <c r="AK14" s="1"/>
      <c r="AL14" s="1"/>
      <c r="AM14" s="1"/>
      <c r="AN14" s="1"/>
    </row>
    <row r="15" spans="1:41" s="2" customFormat="1" ht="16.5" customHeight="1">
      <c r="A15" s="5" t="s">
        <v>11</v>
      </c>
      <c r="B15" s="4">
        <v>1</v>
      </c>
      <c r="C15" s="4">
        <v>15</v>
      </c>
      <c r="D15" s="51">
        <v>15817</v>
      </c>
      <c r="E15" s="51">
        <v>19030.400000000001</v>
      </c>
      <c r="F15" s="52">
        <f t="shared" si="2"/>
        <v>1.2003161155718531</v>
      </c>
      <c r="G15" s="4">
        <v>15</v>
      </c>
      <c r="H15" s="51">
        <v>390.9</v>
      </c>
      <c r="I15" s="51">
        <v>302.7</v>
      </c>
      <c r="J15" s="52">
        <f t="shared" si="3"/>
        <v>1.2091377601585729</v>
      </c>
      <c r="K15" s="4">
        <v>15</v>
      </c>
      <c r="L15" s="62">
        <v>20</v>
      </c>
      <c r="M15" s="65">
        <v>33.1</v>
      </c>
      <c r="N15" s="52">
        <f t="shared" si="4"/>
        <v>1.2455000000000001</v>
      </c>
      <c r="O15" s="4">
        <v>20</v>
      </c>
      <c r="P15" s="24">
        <f t="shared" si="5"/>
        <v>1.1700278174762522</v>
      </c>
      <c r="Q15" s="47">
        <v>99347</v>
      </c>
      <c r="R15" s="19">
        <f t="shared" si="6"/>
        <v>63220.800000000003</v>
      </c>
      <c r="S15" s="19">
        <f t="shared" si="7"/>
        <v>73970.100000000006</v>
      </c>
      <c r="T15" s="19">
        <f t="shared" si="8"/>
        <v>10749.300000000003</v>
      </c>
      <c r="U15" s="19">
        <v>7924.2</v>
      </c>
      <c r="V15" s="19">
        <v>7924.2</v>
      </c>
      <c r="W15" s="19">
        <v>14301.9</v>
      </c>
      <c r="X15" s="19">
        <v>10050.200000000001</v>
      </c>
      <c r="Y15" s="19">
        <v>10050.1</v>
      </c>
      <c r="Z15" s="19">
        <v>9007</v>
      </c>
      <c r="AA15" s="19"/>
      <c r="AB15" s="19">
        <f t="shared" si="9"/>
        <v>14712.5</v>
      </c>
      <c r="AC15" s="42"/>
      <c r="AD15" s="42"/>
      <c r="AE15" s="43"/>
      <c r="AF15" s="19">
        <f t="shared" si="10"/>
        <v>14712.5</v>
      </c>
      <c r="AG15" s="19"/>
      <c r="AH15" s="19">
        <f t="shared" si="11"/>
        <v>14712.5</v>
      </c>
      <c r="AI15" s="1"/>
      <c r="AJ15" s="1"/>
      <c r="AK15" s="1"/>
      <c r="AL15" s="1"/>
      <c r="AM15" s="1"/>
      <c r="AN15" s="1"/>
    </row>
    <row r="16" spans="1:41" s="2" customFormat="1" ht="17.100000000000001" customHeight="1">
      <c r="A16" s="34" t="s">
        <v>12</v>
      </c>
      <c r="B16" s="4">
        <v>1</v>
      </c>
      <c r="C16" s="4">
        <v>15</v>
      </c>
      <c r="D16" s="51">
        <v>5820</v>
      </c>
      <c r="E16" s="51">
        <v>6654.1</v>
      </c>
      <c r="F16" s="52">
        <f t="shared" si="2"/>
        <v>1.1433161512027492</v>
      </c>
      <c r="G16" s="4">
        <v>15</v>
      </c>
      <c r="H16" s="51">
        <v>73.3</v>
      </c>
      <c r="I16" s="51">
        <v>72.400000000000006</v>
      </c>
      <c r="J16" s="52">
        <f t="shared" si="3"/>
        <v>1.0124309392265192</v>
      </c>
      <c r="K16" s="4">
        <v>15</v>
      </c>
      <c r="L16" s="62">
        <v>20</v>
      </c>
      <c r="M16" s="65">
        <v>79.2</v>
      </c>
      <c r="N16" s="52">
        <f t="shared" si="4"/>
        <v>1.3</v>
      </c>
      <c r="O16" s="4">
        <v>20</v>
      </c>
      <c r="P16" s="24">
        <f t="shared" si="5"/>
        <v>1.1282493285606003</v>
      </c>
      <c r="Q16" s="47">
        <v>104544</v>
      </c>
      <c r="R16" s="19">
        <f t="shared" si="6"/>
        <v>66528</v>
      </c>
      <c r="S16" s="19">
        <f t="shared" si="7"/>
        <v>75060.2</v>
      </c>
      <c r="T16" s="19">
        <f t="shared" si="8"/>
        <v>8532.1999999999971</v>
      </c>
      <c r="U16" s="19">
        <v>5843.1</v>
      </c>
      <c r="V16" s="19">
        <v>5843.1</v>
      </c>
      <c r="W16" s="19">
        <v>7736</v>
      </c>
      <c r="X16" s="19">
        <v>21908.400000000001</v>
      </c>
      <c r="Y16" s="19">
        <v>10332.700000000001</v>
      </c>
      <c r="Z16" s="19">
        <v>7195.4</v>
      </c>
      <c r="AA16" s="19"/>
      <c r="AB16" s="19">
        <f t="shared" si="9"/>
        <v>16201.5</v>
      </c>
      <c r="AC16" s="42"/>
      <c r="AD16" s="42"/>
      <c r="AE16" s="43"/>
      <c r="AF16" s="19">
        <f t="shared" si="10"/>
        <v>16201.5</v>
      </c>
      <c r="AG16" s="19"/>
      <c r="AH16" s="19">
        <f t="shared" si="11"/>
        <v>16201.5</v>
      </c>
      <c r="AI16" s="1"/>
      <c r="AJ16" s="1"/>
      <c r="AK16" s="1"/>
      <c r="AL16" s="1"/>
      <c r="AM16" s="1"/>
      <c r="AN16" s="1"/>
    </row>
    <row r="17" spans="1:41" s="2" customFormat="1" ht="17.100000000000001" customHeight="1">
      <c r="A17" s="5" t="s">
        <v>13</v>
      </c>
      <c r="B17" s="4">
        <v>1</v>
      </c>
      <c r="C17" s="4">
        <v>15</v>
      </c>
      <c r="D17" s="51">
        <v>19432</v>
      </c>
      <c r="E17" s="51">
        <v>21523.5</v>
      </c>
      <c r="F17" s="52">
        <f t="shared" si="2"/>
        <v>1.10763174145739</v>
      </c>
      <c r="G17" s="4">
        <v>15</v>
      </c>
      <c r="H17" s="51">
        <v>47.1</v>
      </c>
      <c r="I17" s="51">
        <v>29.5</v>
      </c>
      <c r="J17" s="52">
        <f t="shared" si="3"/>
        <v>1.2396610169491524</v>
      </c>
      <c r="K17" s="4">
        <v>15</v>
      </c>
      <c r="L17" s="62">
        <v>20</v>
      </c>
      <c r="M17" s="65">
        <v>46.400000000000006</v>
      </c>
      <c r="N17" s="52">
        <f t="shared" si="4"/>
        <v>1.3</v>
      </c>
      <c r="O17" s="4">
        <v>20</v>
      </c>
      <c r="P17" s="24">
        <f t="shared" si="5"/>
        <v>1.1724521750168944</v>
      </c>
      <c r="Q17" s="47">
        <v>101390</v>
      </c>
      <c r="R17" s="19">
        <f t="shared" si="6"/>
        <v>64520.9</v>
      </c>
      <c r="S17" s="19">
        <f t="shared" si="7"/>
        <v>75647.7</v>
      </c>
      <c r="T17" s="19">
        <f t="shared" si="8"/>
        <v>11126.799999999996</v>
      </c>
      <c r="U17" s="19">
        <v>8204.9</v>
      </c>
      <c r="V17" s="19">
        <v>8204.9</v>
      </c>
      <c r="W17" s="19">
        <v>13320.2</v>
      </c>
      <c r="X17" s="19">
        <v>9910</v>
      </c>
      <c r="Y17" s="19">
        <v>9910</v>
      </c>
      <c r="Z17" s="19">
        <v>9978.7999999999993</v>
      </c>
      <c r="AA17" s="19"/>
      <c r="AB17" s="19">
        <f t="shared" si="9"/>
        <v>16118.9</v>
      </c>
      <c r="AC17" s="42"/>
      <c r="AD17" s="42"/>
      <c r="AE17" s="43"/>
      <c r="AF17" s="19">
        <f t="shared" si="10"/>
        <v>16118.9</v>
      </c>
      <c r="AG17" s="19"/>
      <c r="AH17" s="19">
        <f t="shared" si="11"/>
        <v>16118.9</v>
      </c>
      <c r="AI17" s="1"/>
      <c r="AJ17" s="1"/>
      <c r="AK17" s="1"/>
      <c r="AL17" s="1"/>
      <c r="AM17" s="1"/>
      <c r="AN17" s="1"/>
    </row>
    <row r="18" spans="1:41" s="2" customFormat="1" ht="17.100000000000001" customHeight="1">
      <c r="A18" s="5" t="s">
        <v>14</v>
      </c>
      <c r="B18" s="4">
        <v>1</v>
      </c>
      <c r="C18" s="4">
        <v>15</v>
      </c>
      <c r="D18" s="51">
        <v>8688</v>
      </c>
      <c r="E18" s="51">
        <v>9184.1</v>
      </c>
      <c r="F18" s="52">
        <f t="shared" si="2"/>
        <v>1.0571017495395949</v>
      </c>
      <c r="G18" s="4">
        <v>15</v>
      </c>
      <c r="H18" s="51">
        <v>70</v>
      </c>
      <c r="I18" s="51">
        <v>7.8</v>
      </c>
      <c r="J18" s="52">
        <f t="shared" si="3"/>
        <v>1.3</v>
      </c>
      <c r="K18" s="4">
        <v>15</v>
      </c>
      <c r="L18" s="62">
        <v>20</v>
      </c>
      <c r="M18" s="65">
        <v>60.5</v>
      </c>
      <c r="N18" s="52">
        <f t="shared" si="4"/>
        <v>1.3</v>
      </c>
      <c r="O18" s="4">
        <v>20</v>
      </c>
      <c r="P18" s="24">
        <f t="shared" si="5"/>
        <v>1.1747157883552912</v>
      </c>
      <c r="Q18" s="47">
        <v>54817</v>
      </c>
      <c r="R18" s="19">
        <f t="shared" si="6"/>
        <v>34883.5</v>
      </c>
      <c r="S18" s="19">
        <f t="shared" si="7"/>
        <v>40978.199999999997</v>
      </c>
      <c r="T18" s="19">
        <f t="shared" si="8"/>
        <v>6094.6999999999971</v>
      </c>
      <c r="U18" s="19">
        <v>4352.3999999999996</v>
      </c>
      <c r="V18" s="19">
        <v>4352.3</v>
      </c>
      <c r="W18" s="19">
        <v>7195.6</v>
      </c>
      <c r="X18" s="19">
        <v>5373.2</v>
      </c>
      <c r="Y18" s="19">
        <v>5373.2</v>
      </c>
      <c r="Z18" s="19">
        <v>5602.5</v>
      </c>
      <c r="AA18" s="19">
        <v>219.5</v>
      </c>
      <c r="AB18" s="19">
        <f t="shared" si="9"/>
        <v>8509.5</v>
      </c>
      <c r="AC18" s="42"/>
      <c r="AD18" s="42"/>
      <c r="AE18" s="43"/>
      <c r="AF18" s="19">
        <f t="shared" si="10"/>
        <v>8509.5</v>
      </c>
      <c r="AG18" s="19"/>
      <c r="AH18" s="19">
        <f t="shared" si="11"/>
        <v>8509.5</v>
      </c>
      <c r="AI18" s="1"/>
      <c r="AJ18" s="1"/>
      <c r="AK18" s="1"/>
      <c r="AL18" s="1"/>
      <c r="AM18" s="1"/>
      <c r="AN18" s="1"/>
    </row>
    <row r="19" spans="1:41" s="2" customFormat="1" ht="17.100000000000001" customHeight="1">
      <c r="A19" s="7" t="s">
        <v>17</v>
      </c>
      <c r="B19" s="9"/>
      <c r="C19" s="9"/>
      <c r="D19" s="18">
        <f>SUM(D20:D46)</f>
        <v>153573</v>
      </c>
      <c r="E19" s="18">
        <f>SUM(E20:E46)</f>
        <v>175208.69999999998</v>
      </c>
      <c r="F19" s="50">
        <f>IF(E19/D19&gt;1.2,IF((E19/D19-1.2)*0.1+1.2&gt;1.3,1.3,(E19/D19-1.2)*0.1+1.2),E19/D19)</f>
        <v>1.1408821863218144</v>
      </c>
      <c r="G19" s="9"/>
      <c r="H19" s="18">
        <f>SUM(H20:H46)</f>
        <v>861.29999999999984</v>
      </c>
      <c r="I19" s="18">
        <f>SUM(I20:I46)</f>
        <v>881.30000000000007</v>
      </c>
      <c r="J19" s="50">
        <f>IF(H19/I19&gt;1.2,IF((H19/I19-1.2)*0.1+1.2&gt;1.3,1.3,(H19/I19-1.2)*0.1+1.2),H19/I19)</f>
        <v>0.97730625212753863</v>
      </c>
      <c r="K19" s="9"/>
      <c r="L19" s="63"/>
      <c r="M19" s="66"/>
      <c r="N19" s="50"/>
      <c r="O19" s="9"/>
      <c r="P19" s="10"/>
      <c r="Q19" s="46">
        <f>SUM(Q20:Q46)</f>
        <v>1715229</v>
      </c>
      <c r="R19" s="18">
        <f>SUM(R20:R46)</f>
        <v>1091509.4000000001</v>
      </c>
      <c r="S19" s="18">
        <f>SUM(S20:S46)</f>
        <v>1217239.1000000001</v>
      </c>
      <c r="T19" s="18">
        <f>SUM(T20:T46)</f>
        <v>125729.69999999998</v>
      </c>
      <c r="U19" s="18">
        <f t="shared" ref="U19" si="12">SUM(U20:U46)</f>
        <v>150686.99999999994</v>
      </c>
      <c r="V19" s="18">
        <f t="shared" ref="V19:AB19" si="13">SUM(V20:V46)</f>
        <v>150687</v>
      </c>
      <c r="W19" s="18">
        <f t="shared" si="13"/>
        <v>161003.90000000002</v>
      </c>
      <c r="X19" s="18">
        <f t="shared" si="13"/>
        <v>145828.70000000001</v>
      </c>
      <c r="Y19" s="18">
        <f t="shared" si="13"/>
        <v>149667.9</v>
      </c>
      <c r="Z19" s="18">
        <f t="shared" si="13"/>
        <v>176609.2</v>
      </c>
      <c r="AA19" s="18">
        <f t="shared" si="13"/>
        <v>40852</v>
      </c>
      <c r="AB19" s="18">
        <f t="shared" si="13"/>
        <v>241903.39999999997</v>
      </c>
      <c r="AC19" s="18"/>
      <c r="AD19" s="18"/>
      <c r="AE19" s="18"/>
      <c r="AF19" s="18">
        <f>SUM(AF20:AF46)</f>
        <v>241903.39999999997</v>
      </c>
      <c r="AG19" s="60">
        <f>SUM(AG20:AG46)</f>
        <v>865.1</v>
      </c>
      <c r="AH19" s="18">
        <f>SUM(AH20:AH46)</f>
        <v>241038.3</v>
      </c>
      <c r="AI19" s="1"/>
      <c r="AJ19" s="1"/>
      <c r="AK19" s="1"/>
      <c r="AL19" s="1"/>
      <c r="AM19" s="1"/>
      <c r="AN19" s="1"/>
      <c r="AO19" s="1"/>
    </row>
    <row r="20" spans="1:41" s="2" customFormat="1" ht="17.100000000000001" customHeight="1">
      <c r="A20" s="6" t="s">
        <v>0</v>
      </c>
      <c r="B20" s="4">
        <v>1</v>
      </c>
      <c r="C20" s="4">
        <v>10</v>
      </c>
      <c r="D20" s="19">
        <v>1180</v>
      </c>
      <c r="E20" s="19">
        <v>1418.7</v>
      </c>
      <c r="F20" s="52">
        <f t="shared" si="2"/>
        <v>1.200228813559322</v>
      </c>
      <c r="G20" s="4">
        <v>10</v>
      </c>
      <c r="H20" s="51">
        <v>4.8</v>
      </c>
      <c r="I20" s="51">
        <v>6.9</v>
      </c>
      <c r="J20" s="52">
        <f t="shared" si="3"/>
        <v>0.69565217391304346</v>
      </c>
      <c r="K20" s="4">
        <v>15</v>
      </c>
      <c r="L20" s="62">
        <v>20</v>
      </c>
      <c r="M20" s="65">
        <v>47</v>
      </c>
      <c r="N20" s="52">
        <f t="shared" si="4"/>
        <v>1.3</v>
      </c>
      <c r="O20" s="4">
        <v>15</v>
      </c>
      <c r="P20" s="24">
        <f t="shared" si="5"/>
        <v>1.0387414148857774</v>
      </c>
      <c r="Q20" s="47">
        <v>39752</v>
      </c>
      <c r="R20" s="19">
        <f t="shared" si="6"/>
        <v>25296.7</v>
      </c>
      <c r="S20" s="19">
        <f t="shared" si="7"/>
        <v>26276.7</v>
      </c>
      <c r="T20" s="19">
        <f t="shared" si="8"/>
        <v>980</v>
      </c>
      <c r="U20" s="19">
        <v>3555.9</v>
      </c>
      <c r="V20" s="19">
        <v>3555.9</v>
      </c>
      <c r="W20" s="19">
        <v>2480</v>
      </c>
      <c r="X20" s="19">
        <v>2604.6</v>
      </c>
      <c r="Y20" s="19">
        <v>2604.6</v>
      </c>
      <c r="Z20" s="19">
        <v>1482</v>
      </c>
      <c r="AA20" s="19">
        <v>3490.2</v>
      </c>
      <c r="AB20" s="19">
        <f t="shared" si="9"/>
        <v>6503.5</v>
      </c>
      <c r="AC20" s="42"/>
      <c r="AD20" s="42"/>
      <c r="AE20" s="43"/>
      <c r="AF20" s="19">
        <f t="shared" si="10"/>
        <v>6503.5</v>
      </c>
      <c r="AG20" s="19"/>
      <c r="AH20" s="19">
        <f t="shared" si="11"/>
        <v>6503.5</v>
      </c>
      <c r="AI20" s="1"/>
      <c r="AJ20" s="1"/>
      <c r="AK20" s="1"/>
      <c r="AL20" s="1"/>
      <c r="AM20" s="1"/>
      <c r="AN20" s="1"/>
      <c r="AO20" s="1"/>
    </row>
    <row r="21" spans="1:41" s="2" customFormat="1" ht="17.100000000000001" customHeight="1">
      <c r="A21" s="6" t="s">
        <v>18</v>
      </c>
      <c r="B21" s="4">
        <v>1</v>
      </c>
      <c r="C21" s="4">
        <v>10</v>
      </c>
      <c r="D21" s="19">
        <v>10032</v>
      </c>
      <c r="E21" s="19">
        <v>10805.3</v>
      </c>
      <c r="F21" s="52">
        <f t="shared" si="2"/>
        <v>1.0770833333333332</v>
      </c>
      <c r="G21" s="4">
        <v>10</v>
      </c>
      <c r="H21" s="51">
        <v>6.9</v>
      </c>
      <c r="I21" s="51">
        <v>0.3</v>
      </c>
      <c r="J21" s="52">
        <f t="shared" si="3"/>
        <v>1.3</v>
      </c>
      <c r="K21" s="4">
        <v>15</v>
      </c>
      <c r="L21" s="62">
        <v>20</v>
      </c>
      <c r="M21" s="65">
        <v>12.6</v>
      </c>
      <c r="N21" s="52">
        <f t="shared" si="4"/>
        <v>0.63</v>
      </c>
      <c r="O21" s="4">
        <v>15</v>
      </c>
      <c r="P21" s="24">
        <f t="shared" si="5"/>
        <v>0.99441666666666662</v>
      </c>
      <c r="Q21" s="47">
        <v>70755</v>
      </c>
      <c r="R21" s="19">
        <f t="shared" si="6"/>
        <v>45025.9</v>
      </c>
      <c r="S21" s="19">
        <f t="shared" si="7"/>
        <v>44774.5</v>
      </c>
      <c r="T21" s="19">
        <f t="shared" si="8"/>
        <v>-251.40000000000146</v>
      </c>
      <c r="U21" s="19">
        <v>6234.5</v>
      </c>
      <c r="V21" s="19">
        <v>6234.6</v>
      </c>
      <c r="W21" s="19">
        <v>8949.7000000000007</v>
      </c>
      <c r="X21" s="19">
        <v>7139.7</v>
      </c>
      <c r="Y21" s="19">
        <v>7139.5</v>
      </c>
      <c r="Z21" s="19">
        <v>7342.7</v>
      </c>
      <c r="AA21" s="19"/>
      <c r="AB21" s="19">
        <f t="shared" si="9"/>
        <v>1733.8</v>
      </c>
      <c r="AC21" s="42"/>
      <c r="AD21" s="42"/>
      <c r="AE21" s="43"/>
      <c r="AF21" s="19">
        <f t="shared" si="10"/>
        <v>1733.8</v>
      </c>
      <c r="AG21" s="19"/>
      <c r="AH21" s="19">
        <f t="shared" si="11"/>
        <v>1733.8</v>
      </c>
      <c r="AI21" s="1"/>
      <c r="AJ21" s="1"/>
      <c r="AK21" s="1"/>
      <c r="AL21" s="1"/>
      <c r="AM21" s="1"/>
      <c r="AN21" s="1"/>
      <c r="AO21" s="1"/>
    </row>
    <row r="22" spans="1:41" s="2" customFormat="1" ht="17.100000000000001" customHeight="1">
      <c r="A22" s="6" t="s">
        <v>19</v>
      </c>
      <c r="B22" s="4">
        <v>1</v>
      </c>
      <c r="C22" s="4">
        <v>10</v>
      </c>
      <c r="D22" s="19">
        <v>2677</v>
      </c>
      <c r="E22" s="19">
        <v>3044.1</v>
      </c>
      <c r="F22" s="52">
        <f t="shared" si="2"/>
        <v>1.1371311169219276</v>
      </c>
      <c r="G22" s="4">
        <v>10</v>
      </c>
      <c r="H22" s="51">
        <v>3.5</v>
      </c>
      <c r="I22" s="51">
        <v>1.7</v>
      </c>
      <c r="J22" s="52">
        <f t="shared" si="3"/>
        <v>1.2858823529411765</v>
      </c>
      <c r="K22" s="4">
        <v>15</v>
      </c>
      <c r="L22" s="62">
        <v>20</v>
      </c>
      <c r="M22" s="65">
        <v>80.900000000000006</v>
      </c>
      <c r="N22" s="52">
        <f t="shared" si="4"/>
        <v>1.3</v>
      </c>
      <c r="O22" s="4">
        <v>15</v>
      </c>
      <c r="P22" s="24">
        <f t="shared" si="5"/>
        <v>1.2031909292667384</v>
      </c>
      <c r="Q22" s="47">
        <v>46032</v>
      </c>
      <c r="R22" s="19">
        <f t="shared" si="6"/>
        <v>29293.1</v>
      </c>
      <c r="S22" s="19">
        <f t="shared" si="7"/>
        <v>35245.199999999997</v>
      </c>
      <c r="T22" s="19">
        <f t="shared" si="8"/>
        <v>5952.0999999999985</v>
      </c>
      <c r="U22" s="19">
        <v>4112.1000000000004</v>
      </c>
      <c r="V22" s="19">
        <v>4112.1000000000004</v>
      </c>
      <c r="W22" s="19">
        <v>5540.7</v>
      </c>
      <c r="X22" s="19">
        <v>4588.3999999999996</v>
      </c>
      <c r="Y22" s="19">
        <v>4588.3</v>
      </c>
      <c r="Z22" s="19">
        <v>5720.5</v>
      </c>
      <c r="AA22" s="19"/>
      <c r="AB22" s="19">
        <f t="shared" si="9"/>
        <v>6583.1</v>
      </c>
      <c r="AC22" s="42"/>
      <c r="AD22" s="42"/>
      <c r="AE22" s="43"/>
      <c r="AF22" s="19">
        <f t="shared" si="10"/>
        <v>6583.1</v>
      </c>
      <c r="AG22" s="19"/>
      <c r="AH22" s="19">
        <f t="shared" si="11"/>
        <v>6583.1</v>
      </c>
      <c r="AI22" s="1"/>
      <c r="AJ22" s="1"/>
      <c r="AK22" s="1"/>
      <c r="AL22" s="1"/>
      <c r="AM22" s="1"/>
      <c r="AN22" s="1"/>
      <c r="AO22" s="1"/>
    </row>
    <row r="23" spans="1:41" s="2" customFormat="1" ht="17.100000000000001" customHeight="1">
      <c r="A23" s="6" t="s">
        <v>20</v>
      </c>
      <c r="B23" s="4">
        <v>1</v>
      </c>
      <c r="C23" s="4">
        <v>10</v>
      </c>
      <c r="D23" s="19">
        <v>2746</v>
      </c>
      <c r="E23" s="19">
        <v>3203.1</v>
      </c>
      <c r="F23" s="52">
        <f t="shared" si="2"/>
        <v>1.1664603058994902</v>
      </c>
      <c r="G23" s="4">
        <v>10</v>
      </c>
      <c r="H23" s="51">
        <v>7.3</v>
      </c>
      <c r="I23" s="51">
        <v>4.2</v>
      </c>
      <c r="J23" s="52">
        <f t="shared" si="3"/>
        <v>1.2538095238095237</v>
      </c>
      <c r="K23" s="4">
        <v>15</v>
      </c>
      <c r="L23" s="62">
        <v>20</v>
      </c>
      <c r="M23" s="65">
        <v>122.9</v>
      </c>
      <c r="N23" s="52">
        <f t="shared" si="4"/>
        <v>1.3</v>
      </c>
      <c r="O23" s="4">
        <v>15</v>
      </c>
      <c r="P23" s="24">
        <f t="shared" si="5"/>
        <v>1.1994349183227553</v>
      </c>
      <c r="Q23" s="47">
        <v>51734</v>
      </c>
      <c r="R23" s="19">
        <f t="shared" si="6"/>
        <v>32921.599999999999</v>
      </c>
      <c r="S23" s="19">
        <f t="shared" si="7"/>
        <v>39487.300000000003</v>
      </c>
      <c r="T23" s="19">
        <f t="shared" si="8"/>
        <v>6565.7000000000044</v>
      </c>
      <c r="U23" s="19">
        <v>4605.5</v>
      </c>
      <c r="V23" s="19">
        <v>4605.6000000000004</v>
      </c>
      <c r="W23" s="19">
        <v>5481</v>
      </c>
      <c r="X23" s="19">
        <v>5068.3</v>
      </c>
      <c r="Y23" s="19">
        <v>5281.2</v>
      </c>
      <c r="Z23" s="19">
        <v>5547.5</v>
      </c>
      <c r="AA23" s="19">
        <v>1364.3000000000002</v>
      </c>
      <c r="AB23" s="19">
        <f t="shared" si="9"/>
        <v>7533.9</v>
      </c>
      <c r="AC23" s="42"/>
      <c r="AD23" s="42"/>
      <c r="AE23" s="43"/>
      <c r="AF23" s="19">
        <f t="shared" si="10"/>
        <v>7533.9</v>
      </c>
      <c r="AG23" s="19"/>
      <c r="AH23" s="19">
        <f t="shared" si="11"/>
        <v>7533.9</v>
      </c>
      <c r="AI23" s="1"/>
      <c r="AJ23" s="1"/>
      <c r="AK23" s="1"/>
      <c r="AL23" s="1"/>
      <c r="AM23" s="1"/>
      <c r="AN23" s="1"/>
      <c r="AO23" s="1"/>
    </row>
    <row r="24" spans="1:41" s="2" customFormat="1" ht="17.100000000000001" customHeight="1">
      <c r="A24" s="6" t="s">
        <v>21</v>
      </c>
      <c r="B24" s="4">
        <v>1</v>
      </c>
      <c r="C24" s="4">
        <v>10</v>
      </c>
      <c r="D24" s="19">
        <v>2216</v>
      </c>
      <c r="E24" s="19">
        <v>2290.9</v>
      </c>
      <c r="F24" s="52">
        <f t="shared" si="2"/>
        <v>1.0337996389891697</v>
      </c>
      <c r="G24" s="4">
        <v>10</v>
      </c>
      <c r="H24" s="51">
        <v>3.4</v>
      </c>
      <c r="I24" s="51">
        <v>7.9</v>
      </c>
      <c r="J24" s="52">
        <f t="shared" si="3"/>
        <v>0.430379746835443</v>
      </c>
      <c r="K24" s="4">
        <v>15</v>
      </c>
      <c r="L24" s="62">
        <v>20</v>
      </c>
      <c r="M24" s="65">
        <v>66.599999999999994</v>
      </c>
      <c r="N24" s="52">
        <f t="shared" si="4"/>
        <v>1.3</v>
      </c>
      <c r="O24" s="4">
        <v>15</v>
      </c>
      <c r="P24" s="24">
        <f t="shared" si="5"/>
        <v>0.92587385184846682</v>
      </c>
      <c r="Q24" s="47">
        <v>56470</v>
      </c>
      <c r="R24" s="19">
        <f t="shared" si="6"/>
        <v>35935.5</v>
      </c>
      <c r="S24" s="19">
        <f t="shared" si="7"/>
        <v>33271.699999999997</v>
      </c>
      <c r="T24" s="19">
        <f t="shared" si="8"/>
        <v>-2663.8000000000029</v>
      </c>
      <c r="U24" s="19">
        <v>5046.7</v>
      </c>
      <c r="V24" s="19">
        <v>5046.8</v>
      </c>
      <c r="W24" s="19">
        <v>3858.4</v>
      </c>
      <c r="X24" s="19">
        <v>3851.2</v>
      </c>
      <c r="Y24" s="19">
        <v>5071.1000000000004</v>
      </c>
      <c r="Z24" s="19">
        <v>0</v>
      </c>
      <c r="AA24" s="19">
        <v>2481.6999999999998</v>
      </c>
      <c r="AB24" s="19">
        <f t="shared" si="9"/>
        <v>7915.8</v>
      </c>
      <c r="AC24" s="42"/>
      <c r="AD24" s="42"/>
      <c r="AE24" s="43"/>
      <c r="AF24" s="19">
        <f t="shared" si="10"/>
        <v>7915.8</v>
      </c>
      <c r="AG24" s="19"/>
      <c r="AH24" s="19">
        <f t="shared" si="11"/>
        <v>7915.8</v>
      </c>
      <c r="AI24" s="1"/>
      <c r="AJ24" s="1"/>
      <c r="AK24" s="1"/>
      <c r="AL24" s="1"/>
      <c r="AM24" s="1"/>
      <c r="AN24" s="1"/>
      <c r="AO24" s="1"/>
    </row>
    <row r="25" spans="1:41" s="2" customFormat="1" ht="17.100000000000001" customHeight="1">
      <c r="A25" s="6" t="s">
        <v>22</v>
      </c>
      <c r="B25" s="4">
        <v>1</v>
      </c>
      <c r="C25" s="4">
        <v>10</v>
      </c>
      <c r="D25" s="19">
        <v>3088</v>
      </c>
      <c r="E25" s="19">
        <v>3566.3</v>
      </c>
      <c r="F25" s="52">
        <f t="shared" si="2"/>
        <v>1.1548898963730569</v>
      </c>
      <c r="G25" s="4">
        <v>10</v>
      </c>
      <c r="H25" s="51">
        <v>7</v>
      </c>
      <c r="I25" s="51">
        <v>0</v>
      </c>
      <c r="J25" s="52">
        <f t="shared" si="3"/>
        <v>1.3</v>
      </c>
      <c r="K25" s="4">
        <v>15</v>
      </c>
      <c r="L25" s="62">
        <v>20</v>
      </c>
      <c r="M25" s="65">
        <v>105.6</v>
      </c>
      <c r="N25" s="52">
        <f t="shared" si="4"/>
        <v>1.3</v>
      </c>
      <c r="O25" s="4">
        <v>15</v>
      </c>
      <c r="P25" s="24">
        <f t="shared" si="5"/>
        <v>1.2109779792746114</v>
      </c>
      <c r="Q25" s="47">
        <v>63836</v>
      </c>
      <c r="R25" s="19">
        <f t="shared" si="6"/>
        <v>40622.9</v>
      </c>
      <c r="S25" s="19">
        <f t="shared" si="7"/>
        <v>49193.4</v>
      </c>
      <c r="T25" s="19">
        <f t="shared" si="8"/>
        <v>8570.5</v>
      </c>
      <c r="U25" s="19">
        <v>5687.3</v>
      </c>
      <c r="V25" s="19">
        <v>5687.2</v>
      </c>
      <c r="W25" s="19">
        <v>8405.1</v>
      </c>
      <c r="X25" s="19">
        <v>6593.2</v>
      </c>
      <c r="Y25" s="19">
        <v>6593.2</v>
      </c>
      <c r="Z25" s="19">
        <v>7055</v>
      </c>
      <c r="AA25" s="19"/>
      <c r="AB25" s="19">
        <f t="shared" si="9"/>
        <v>9172.4</v>
      </c>
      <c r="AC25" s="43"/>
      <c r="AD25" s="42"/>
      <c r="AE25" s="43"/>
      <c r="AF25" s="19">
        <f t="shared" si="10"/>
        <v>9172.4</v>
      </c>
      <c r="AG25" s="19"/>
      <c r="AH25" s="19">
        <f t="shared" si="11"/>
        <v>9172.4</v>
      </c>
      <c r="AI25" s="1"/>
      <c r="AJ25" s="1"/>
      <c r="AK25" s="1"/>
      <c r="AL25" s="1"/>
      <c r="AM25" s="1"/>
      <c r="AN25" s="1"/>
      <c r="AO25" s="1"/>
    </row>
    <row r="26" spans="1:41" s="2" customFormat="1" ht="17.100000000000001" customHeight="1">
      <c r="A26" s="6" t="s">
        <v>23</v>
      </c>
      <c r="B26" s="4">
        <v>1</v>
      </c>
      <c r="C26" s="4">
        <v>10</v>
      </c>
      <c r="D26" s="19">
        <v>26766</v>
      </c>
      <c r="E26" s="19">
        <v>30506.199999999997</v>
      </c>
      <c r="F26" s="52">
        <f t="shared" si="2"/>
        <v>1.1397369797504295</v>
      </c>
      <c r="G26" s="4">
        <v>10</v>
      </c>
      <c r="H26" s="51">
        <v>95.2</v>
      </c>
      <c r="I26" s="51">
        <v>80.400000000000006</v>
      </c>
      <c r="J26" s="52">
        <f t="shared" si="3"/>
        <v>1.1840796019900497</v>
      </c>
      <c r="K26" s="4">
        <v>15</v>
      </c>
      <c r="L26" s="62">
        <v>20</v>
      </c>
      <c r="M26" s="65">
        <v>40.6</v>
      </c>
      <c r="N26" s="52">
        <f t="shared" si="4"/>
        <v>1.2829999999999999</v>
      </c>
      <c r="O26" s="4">
        <v>15</v>
      </c>
      <c r="P26" s="24">
        <f t="shared" si="5"/>
        <v>1.1680712765471006</v>
      </c>
      <c r="Q26" s="47">
        <v>154731</v>
      </c>
      <c r="R26" s="19">
        <f t="shared" si="6"/>
        <v>98465.2</v>
      </c>
      <c r="S26" s="19">
        <f t="shared" si="7"/>
        <v>115014.39999999999</v>
      </c>
      <c r="T26" s="19">
        <f t="shared" si="8"/>
        <v>16549.199999999997</v>
      </c>
      <c r="U26" s="19">
        <v>13402.5</v>
      </c>
      <c r="V26" s="19">
        <v>13402.6</v>
      </c>
      <c r="W26" s="19">
        <v>15907.7</v>
      </c>
      <c r="X26" s="19">
        <v>14237.7</v>
      </c>
      <c r="Y26" s="19">
        <v>14237.5</v>
      </c>
      <c r="Z26" s="19">
        <v>18781.900000000001</v>
      </c>
      <c r="AA26" s="19"/>
      <c r="AB26" s="19">
        <f t="shared" si="9"/>
        <v>25044.5</v>
      </c>
      <c r="AC26" s="42"/>
      <c r="AD26" s="42"/>
      <c r="AE26" s="43"/>
      <c r="AF26" s="19">
        <f t="shared" si="10"/>
        <v>25044.5</v>
      </c>
      <c r="AG26" s="19"/>
      <c r="AH26" s="19">
        <f t="shared" si="11"/>
        <v>25044.5</v>
      </c>
      <c r="AI26" s="1"/>
      <c r="AJ26" s="1"/>
      <c r="AK26" s="1"/>
      <c r="AL26" s="1"/>
      <c r="AM26" s="1"/>
      <c r="AN26" s="1"/>
      <c r="AO26" s="1"/>
    </row>
    <row r="27" spans="1:41" s="2" customFormat="1" ht="16.5" customHeight="1">
      <c r="A27" s="6" t="s">
        <v>24</v>
      </c>
      <c r="B27" s="4">
        <v>1</v>
      </c>
      <c r="C27" s="4">
        <v>10</v>
      </c>
      <c r="D27" s="19">
        <v>1100</v>
      </c>
      <c r="E27" s="19">
        <v>1571.4</v>
      </c>
      <c r="F27" s="52">
        <f t="shared" si="2"/>
        <v>1.2228545454545454</v>
      </c>
      <c r="G27" s="4">
        <v>10</v>
      </c>
      <c r="H27" s="51">
        <v>10.3</v>
      </c>
      <c r="I27" s="51">
        <v>10.199999999999999</v>
      </c>
      <c r="J27" s="52">
        <f t="shared" si="3"/>
        <v>1.0098039215686276</v>
      </c>
      <c r="K27" s="4">
        <v>15</v>
      </c>
      <c r="L27" s="62">
        <v>20</v>
      </c>
      <c r="M27" s="65">
        <v>67.099999999999994</v>
      </c>
      <c r="N27" s="52">
        <f t="shared" si="4"/>
        <v>1.3</v>
      </c>
      <c r="O27" s="4">
        <v>15</v>
      </c>
      <c r="P27" s="24">
        <f t="shared" si="5"/>
        <v>1.1375120855614973</v>
      </c>
      <c r="Q27" s="47">
        <v>28502</v>
      </c>
      <c r="R27" s="19">
        <f t="shared" si="6"/>
        <v>18137.599999999999</v>
      </c>
      <c r="S27" s="19">
        <f t="shared" si="7"/>
        <v>20631.7</v>
      </c>
      <c r="T27" s="19">
        <f t="shared" si="8"/>
        <v>2494.1000000000022</v>
      </c>
      <c r="U27" s="19">
        <v>2543.1</v>
      </c>
      <c r="V27" s="19">
        <v>2543.1</v>
      </c>
      <c r="W27" s="19">
        <v>3110.2</v>
      </c>
      <c r="X27" s="19">
        <v>2732.2</v>
      </c>
      <c r="Y27" s="19">
        <v>2732.1</v>
      </c>
      <c r="Z27" s="19">
        <v>2633.5</v>
      </c>
      <c r="AA27" s="19"/>
      <c r="AB27" s="19">
        <f t="shared" si="9"/>
        <v>4337.5</v>
      </c>
      <c r="AC27" s="42"/>
      <c r="AD27" s="42"/>
      <c r="AE27" s="43"/>
      <c r="AF27" s="19">
        <f t="shared" si="10"/>
        <v>4337.5</v>
      </c>
      <c r="AG27" s="19"/>
      <c r="AH27" s="19">
        <f t="shared" si="11"/>
        <v>4337.5</v>
      </c>
      <c r="AI27" s="1"/>
      <c r="AJ27" s="1"/>
      <c r="AK27" s="1"/>
      <c r="AL27" s="1"/>
      <c r="AM27" s="1"/>
      <c r="AN27" s="1"/>
      <c r="AO27" s="1"/>
    </row>
    <row r="28" spans="1:41" s="2" customFormat="1" ht="17.100000000000001" customHeight="1">
      <c r="A28" s="6" t="s">
        <v>25</v>
      </c>
      <c r="B28" s="4">
        <v>1</v>
      </c>
      <c r="C28" s="4">
        <v>10</v>
      </c>
      <c r="D28" s="19">
        <v>1458</v>
      </c>
      <c r="E28" s="19">
        <v>1633.8</v>
      </c>
      <c r="F28" s="52">
        <f t="shared" si="2"/>
        <v>1.1205761316872427</v>
      </c>
      <c r="G28" s="4">
        <v>10</v>
      </c>
      <c r="H28" s="51">
        <v>6</v>
      </c>
      <c r="I28" s="51">
        <v>5.6</v>
      </c>
      <c r="J28" s="52">
        <f t="shared" si="3"/>
        <v>1.0714285714285714</v>
      </c>
      <c r="K28" s="4">
        <v>15</v>
      </c>
      <c r="L28" s="62">
        <v>20</v>
      </c>
      <c r="M28" s="65">
        <v>78.099999999999994</v>
      </c>
      <c r="N28" s="52">
        <f t="shared" si="4"/>
        <v>1.3</v>
      </c>
      <c r="O28" s="4">
        <v>15</v>
      </c>
      <c r="P28" s="24">
        <f t="shared" si="5"/>
        <v>1.1355437977660199</v>
      </c>
      <c r="Q28" s="47">
        <v>55290</v>
      </c>
      <c r="R28" s="19">
        <f t="shared" si="6"/>
        <v>35184.5</v>
      </c>
      <c r="S28" s="19">
        <f t="shared" si="7"/>
        <v>39953.5</v>
      </c>
      <c r="T28" s="19">
        <f t="shared" si="8"/>
        <v>4769</v>
      </c>
      <c r="U28" s="19">
        <v>4966.7</v>
      </c>
      <c r="V28" s="19">
        <v>4966.8</v>
      </c>
      <c r="W28" s="19">
        <v>2815.6</v>
      </c>
      <c r="X28" s="19">
        <v>4249.7</v>
      </c>
      <c r="Y28" s="19">
        <v>4249.6000000000004</v>
      </c>
      <c r="Z28" s="19">
        <v>10490.9</v>
      </c>
      <c r="AA28" s="19"/>
      <c r="AB28" s="19">
        <f t="shared" si="9"/>
        <v>8214.2000000000007</v>
      </c>
      <c r="AC28" s="42"/>
      <c r="AD28" s="42"/>
      <c r="AE28" s="43"/>
      <c r="AF28" s="19">
        <f t="shared" si="10"/>
        <v>8214.2000000000007</v>
      </c>
      <c r="AG28" s="19"/>
      <c r="AH28" s="19">
        <f t="shared" si="11"/>
        <v>8214.2000000000007</v>
      </c>
      <c r="AI28" s="1"/>
      <c r="AJ28" s="1"/>
      <c r="AK28" s="1"/>
      <c r="AL28" s="1"/>
      <c r="AM28" s="1"/>
      <c r="AN28" s="1"/>
      <c r="AO28" s="1"/>
    </row>
    <row r="29" spans="1:41" s="2" customFormat="1" ht="17.100000000000001" customHeight="1">
      <c r="A29" s="6" t="s">
        <v>26</v>
      </c>
      <c r="B29" s="4">
        <v>1</v>
      </c>
      <c r="C29" s="4">
        <v>10</v>
      </c>
      <c r="D29" s="19">
        <v>1354</v>
      </c>
      <c r="E29" s="19">
        <v>1415.2</v>
      </c>
      <c r="F29" s="52">
        <f t="shared" si="2"/>
        <v>1.0451994091580503</v>
      </c>
      <c r="G29" s="4">
        <v>10</v>
      </c>
      <c r="H29" s="51">
        <v>5.7</v>
      </c>
      <c r="I29" s="51">
        <v>0.6</v>
      </c>
      <c r="J29" s="52">
        <f t="shared" si="3"/>
        <v>1.3</v>
      </c>
      <c r="K29" s="4">
        <v>15</v>
      </c>
      <c r="L29" s="62">
        <v>20</v>
      </c>
      <c r="M29" s="65">
        <v>51.5</v>
      </c>
      <c r="N29" s="52">
        <f t="shared" si="4"/>
        <v>1.3</v>
      </c>
      <c r="O29" s="4">
        <v>15</v>
      </c>
      <c r="P29" s="24">
        <f t="shared" si="5"/>
        <v>1.1890398818316101</v>
      </c>
      <c r="Q29" s="47">
        <v>33656</v>
      </c>
      <c r="R29" s="19">
        <f t="shared" si="6"/>
        <v>21417.5</v>
      </c>
      <c r="S29" s="19">
        <f t="shared" si="7"/>
        <v>25466.3</v>
      </c>
      <c r="T29" s="19">
        <f t="shared" si="8"/>
        <v>4048.7999999999993</v>
      </c>
      <c r="U29" s="19">
        <v>3001.6</v>
      </c>
      <c r="V29" s="19">
        <v>3001.7</v>
      </c>
      <c r="W29" s="19">
        <v>3794</v>
      </c>
      <c r="X29" s="19">
        <v>3265.7</v>
      </c>
      <c r="Y29" s="19">
        <v>3265.8</v>
      </c>
      <c r="Z29" s="19">
        <v>4229.1000000000004</v>
      </c>
      <c r="AA29" s="19"/>
      <c r="AB29" s="19">
        <f t="shared" si="9"/>
        <v>4908.3999999999996</v>
      </c>
      <c r="AC29" s="43"/>
      <c r="AD29" s="42"/>
      <c r="AE29" s="43"/>
      <c r="AF29" s="19">
        <f t="shared" si="10"/>
        <v>4908.3999999999996</v>
      </c>
      <c r="AG29" s="19"/>
      <c r="AH29" s="19">
        <f t="shared" si="11"/>
        <v>4908.3999999999996</v>
      </c>
      <c r="AI29" s="1"/>
      <c r="AJ29" s="1"/>
      <c r="AK29" s="1"/>
      <c r="AL29" s="1"/>
      <c r="AM29" s="1"/>
      <c r="AN29" s="1"/>
      <c r="AO29" s="1"/>
    </row>
    <row r="30" spans="1:41" s="2" customFormat="1" ht="17.100000000000001" customHeight="1">
      <c r="A30" s="6" t="s">
        <v>27</v>
      </c>
      <c r="B30" s="4">
        <v>1</v>
      </c>
      <c r="C30" s="4">
        <v>10</v>
      </c>
      <c r="D30" s="19">
        <v>3550</v>
      </c>
      <c r="E30" s="19">
        <v>4683.2</v>
      </c>
      <c r="F30" s="52">
        <f>IF(G30=0,0,IF(D30=0,1,IF(E30&lt;0,0,IF(E30/D30&gt;1.2,IF((E30/D30-1.2)*0.1+1.2&gt;1.3,1.3,(E30/D30-1.2)*0.1+1.2),E30/D30))))</f>
        <v>1.2119211267605634</v>
      </c>
      <c r="G30" s="4">
        <v>10</v>
      </c>
      <c r="H30" s="51">
        <v>7.7</v>
      </c>
      <c r="I30" s="51">
        <v>7.7</v>
      </c>
      <c r="J30" s="52">
        <f t="shared" si="3"/>
        <v>1</v>
      </c>
      <c r="K30" s="4">
        <v>15</v>
      </c>
      <c r="L30" s="62">
        <v>20</v>
      </c>
      <c r="M30" s="65">
        <v>22.9</v>
      </c>
      <c r="N30" s="52">
        <f t="shared" si="4"/>
        <v>1.145</v>
      </c>
      <c r="O30" s="4">
        <v>15</v>
      </c>
      <c r="P30" s="24">
        <f t="shared" si="5"/>
        <v>1.0858842253521126</v>
      </c>
      <c r="Q30" s="47">
        <v>47138</v>
      </c>
      <c r="R30" s="19">
        <f t="shared" si="6"/>
        <v>29996.9</v>
      </c>
      <c r="S30" s="19">
        <f t="shared" si="7"/>
        <v>32573.200000000001</v>
      </c>
      <c r="T30" s="19">
        <f t="shared" si="8"/>
        <v>2576.2999999999993</v>
      </c>
      <c r="U30" s="19">
        <v>4127.3</v>
      </c>
      <c r="V30" s="19">
        <v>4127.2</v>
      </c>
      <c r="W30" s="19">
        <v>4871.8999999999996</v>
      </c>
      <c r="X30" s="19">
        <v>4375.3999999999996</v>
      </c>
      <c r="Y30" s="19">
        <v>4375.5</v>
      </c>
      <c r="Z30" s="19">
        <v>4385.7</v>
      </c>
      <c r="AA30" s="19"/>
      <c r="AB30" s="19">
        <f t="shared" si="9"/>
        <v>6310.2</v>
      </c>
      <c r="AC30" s="42"/>
      <c r="AD30" s="42"/>
      <c r="AE30" s="43"/>
      <c r="AF30" s="19">
        <f t="shared" si="10"/>
        <v>6310.2</v>
      </c>
      <c r="AG30" s="19"/>
      <c r="AH30" s="19">
        <f t="shared" si="11"/>
        <v>6310.2</v>
      </c>
      <c r="AI30" s="1"/>
      <c r="AJ30" s="1"/>
      <c r="AK30" s="1"/>
      <c r="AL30" s="1"/>
      <c r="AM30" s="1"/>
      <c r="AN30" s="1"/>
      <c r="AO30" s="1"/>
    </row>
    <row r="31" spans="1:41" s="2" customFormat="1" ht="16.5" customHeight="1">
      <c r="A31" s="6" t="s">
        <v>28</v>
      </c>
      <c r="B31" s="4">
        <v>1</v>
      </c>
      <c r="C31" s="4">
        <v>10</v>
      </c>
      <c r="D31" s="19">
        <v>7935</v>
      </c>
      <c r="E31" s="19">
        <v>8612.7000000000007</v>
      </c>
      <c r="F31" s="52">
        <f t="shared" si="2"/>
        <v>1.0854064272211721</v>
      </c>
      <c r="G31" s="4">
        <v>10</v>
      </c>
      <c r="H31" s="51">
        <v>3.5999999999999996</v>
      </c>
      <c r="I31" s="51">
        <v>3.6</v>
      </c>
      <c r="J31" s="52">
        <f t="shared" si="3"/>
        <v>0.99999999999999989</v>
      </c>
      <c r="K31" s="4">
        <v>15</v>
      </c>
      <c r="L31" s="62">
        <v>20</v>
      </c>
      <c r="M31" s="65">
        <v>97.2</v>
      </c>
      <c r="N31" s="52">
        <f>IF(O31=0,0,IF(L31=0,1,IF(M31&lt;0,0,IF(M31/L31&gt;1.2,IF((M31/L31-1.2)*0.1+1.2&gt;1.3,1.3,(M31/L31-1.2)*0.1+1.2),M31/L31))))</f>
        <v>1.3</v>
      </c>
      <c r="O31" s="4">
        <v>15</v>
      </c>
      <c r="P31" s="24">
        <f t="shared" si="5"/>
        <v>1.1070812854442345</v>
      </c>
      <c r="Q31" s="47">
        <v>92847</v>
      </c>
      <c r="R31" s="19">
        <f t="shared" si="6"/>
        <v>59084.5</v>
      </c>
      <c r="S31" s="19">
        <f t="shared" si="7"/>
        <v>65411.3</v>
      </c>
      <c r="T31" s="19">
        <f t="shared" si="8"/>
        <v>6326.8000000000029</v>
      </c>
      <c r="U31" s="19">
        <v>8227.2000000000007</v>
      </c>
      <c r="V31" s="19">
        <v>8227.2000000000007</v>
      </c>
      <c r="W31" s="19">
        <v>8646</v>
      </c>
      <c r="X31" s="19">
        <v>8366.7999999999993</v>
      </c>
      <c r="Y31" s="19">
        <v>8366.7999999999993</v>
      </c>
      <c r="Z31" s="19">
        <v>8733.7000000000007</v>
      </c>
      <c r="AA31" s="19"/>
      <c r="AB31" s="19">
        <f t="shared" si="9"/>
        <v>14843.6</v>
      </c>
      <c r="AC31" s="42"/>
      <c r="AD31" s="42"/>
      <c r="AE31" s="43"/>
      <c r="AF31" s="19">
        <f t="shared" si="10"/>
        <v>14843.6</v>
      </c>
      <c r="AG31" s="19"/>
      <c r="AH31" s="19">
        <f t="shared" si="11"/>
        <v>14843.6</v>
      </c>
      <c r="AI31" s="1"/>
      <c r="AJ31" s="1"/>
      <c r="AK31" s="1"/>
      <c r="AL31" s="1"/>
      <c r="AM31" s="1"/>
      <c r="AN31" s="1"/>
      <c r="AO31" s="1"/>
    </row>
    <row r="32" spans="1:41" s="2" customFormat="1" ht="17.100000000000001" customHeight="1">
      <c r="A32" s="6" t="s">
        <v>29</v>
      </c>
      <c r="B32" s="4">
        <v>1</v>
      </c>
      <c r="C32" s="4">
        <v>10</v>
      </c>
      <c r="D32" s="19">
        <v>1956</v>
      </c>
      <c r="E32" s="19">
        <v>2006.8</v>
      </c>
      <c r="F32" s="52">
        <f t="shared" si="2"/>
        <v>1.0259713701431492</v>
      </c>
      <c r="G32" s="4">
        <v>10</v>
      </c>
      <c r="H32" s="51">
        <v>11.9</v>
      </c>
      <c r="I32" s="51">
        <v>1.7</v>
      </c>
      <c r="J32" s="52">
        <f t="shared" si="3"/>
        <v>1.3</v>
      </c>
      <c r="K32" s="4">
        <v>15</v>
      </c>
      <c r="L32" s="62">
        <v>20</v>
      </c>
      <c r="M32" s="65">
        <v>111.1</v>
      </c>
      <c r="N32" s="52">
        <f t="shared" si="4"/>
        <v>1.3</v>
      </c>
      <c r="O32" s="4">
        <v>15</v>
      </c>
      <c r="P32" s="24">
        <f t="shared" si="5"/>
        <v>1.1851942740286299</v>
      </c>
      <c r="Q32" s="47">
        <v>41666</v>
      </c>
      <c r="R32" s="19">
        <f t="shared" si="6"/>
        <v>26514.7</v>
      </c>
      <c r="S32" s="19">
        <f>ROUND(P32*R32,1)</f>
        <v>31425.1</v>
      </c>
      <c r="T32" s="19">
        <f t="shared" si="8"/>
        <v>4910.3999999999978</v>
      </c>
      <c r="U32" s="19">
        <v>3691.4</v>
      </c>
      <c r="V32" s="19">
        <v>3691.3</v>
      </c>
      <c r="W32" s="19">
        <v>2609.4</v>
      </c>
      <c r="X32" s="19">
        <v>2715.6</v>
      </c>
      <c r="Y32" s="19">
        <v>2715.4</v>
      </c>
      <c r="Z32" s="19">
        <v>6045.9</v>
      </c>
      <c r="AA32" s="19">
        <v>3691.2</v>
      </c>
      <c r="AB32" s="19">
        <f t="shared" si="9"/>
        <v>6264.9</v>
      </c>
      <c r="AC32" s="43"/>
      <c r="AD32" s="42"/>
      <c r="AE32" s="43"/>
      <c r="AF32" s="19">
        <f t="shared" si="10"/>
        <v>6264.9</v>
      </c>
      <c r="AG32" s="19">
        <f>MIN(AF32,440.3)</f>
        <v>440.3</v>
      </c>
      <c r="AH32" s="19">
        <f t="shared" si="11"/>
        <v>5824.6</v>
      </c>
      <c r="AI32" s="1"/>
      <c r="AJ32" s="1"/>
      <c r="AK32" s="1"/>
      <c r="AL32" s="1"/>
      <c r="AM32" s="1"/>
    </row>
    <row r="33" spans="1:41" s="2" customFormat="1" ht="17.100000000000001" customHeight="1">
      <c r="A33" s="6" t="s">
        <v>30</v>
      </c>
      <c r="B33" s="4">
        <v>1</v>
      </c>
      <c r="C33" s="4">
        <v>10</v>
      </c>
      <c r="D33" s="19">
        <v>6061</v>
      </c>
      <c r="E33" s="19">
        <v>6293</v>
      </c>
      <c r="F33" s="52">
        <f t="shared" si="2"/>
        <v>1.0382775119617225</v>
      </c>
      <c r="G33" s="4">
        <v>10</v>
      </c>
      <c r="H33" s="51">
        <v>7</v>
      </c>
      <c r="I33" s="51">
        <v>0</v>
      </c>
      <c r="J33" s="52">
        <f t="shared" si="3"/>
        <v>1.3</v>
      </c>
      <c r="K33" s="4">
        <v>15</v>
      </c>
      <c r="L33" s="62">
        <v>20</v>
      </c>
      <c r="M33" s="65">
        <v>38.6</v>
      </c>
      <c r="N33" s="52">
        <f t="shared" si="4"/>
        <v>1.2729999999999999</v>
      </c>
      <c r="O33" s="4">
        <v>15</v>
      </c>
      <c r="P33" s="24">
        <f t="shared" si="5"/>
        <v>1.1795555023923443</v>
      </c>
      <c r="Q33" s="47">
        <v>61239</v>
      </c>
      <c r="R33" s="19">
        <f t="shared" si="6"/>
        <v>38970.300000000003</v>
      </c>
      <c r="S33" s="19">
        <f t="shared" si="7"/>
        <v>45967.6</v>
      </c>
      <c r="T33" s="19">
        <f t="shared" si="8"/>
        <v>6997.2999999999956</v>
      </c>
      <c r="U33" s="19">
        <v>5459.5</v>
      </c>
      <c r="V33" s="19">
        <v>5459.4</v>
      </c>
      <c r="W33" s="19">
        <v>6181.1</v>
      </c>
      <c r="X33" s="19">
        <v>4790</v>
      </c>
      <c r="Y33" s="19">
        <v>4790.1000000000004</v>
      </c>
      <c r="Z33" s="19">
        <v>5933.4</v>
      </c>
      <c r="AA33" s="19">
        <v>4713</v>
      </c>
      <c r="AB33" s="19">
        <f t="shared" si="9"/>
        <v>8641.1</v>
      </c>
      <c r="AC33" s="42"/>
      <c r="AD33" s="42"/>
      <c r="AE33" s="43"/>
      <c r="AF33" s="19">
        <f t="shared" si="10"/>
        <v>8641.1</v>
      </c>
      <c r="AG33" s="19"/>
      <c r="AH33" s="19">
        <f t="shared" si="11"/>
        <v>8641.1</v>
      </c>
      <c r="AI33" s="1"/>
      <c r="AJ33" s="1"/>
      <c r="AK33" s="1"/>
      <c r="AL33" s="1"/>
      <c r="AM33" s="1"/>
      <c r="AN33" s="1"/>
      <c r="AO33" s="1"/>
    </row>
    <row r="34" spans="1:41" s="2" customFormat="1" ht="17.100000000000001" customHeight="1">
      <c r="A34" s="6" t="s">
        <v>31</v>
      </c>
      <c r="B34" s="4">
        <v>1</v>
      </c>
      <c r="C34" s="4">
        <v>10</v>
      </c>
      <c r="D34" s="19">
        <v>2399</v>
      </c>
      <c r="E34" s="19">
        <v>2479.1999999999998</v>
      </c>
      <c r="F34" s="52">
        <f>IF(G34=0,0,IF(D34=0,1,IF(E34&lt;0,0,IF(E34/D34&gt;1.2,IF((E34/D34-1.2)*0.1+1.2&gt;1.3,1.3,(E34/D34-1.2)*0.1+1.2),E34/D34))))</f>
        <v>1.0334305960817007</v>
      </c>
      <c r="G34" s="4">
        <v>10</v>
      </c>
      <c r="H34" s="51">
        <v>73.900000000000006</v>
      </c>
      <c r="I34" s="51">
        <v>72.400000000000006</v>
      </c>
      <c r="J34" s="52">
        <f t="shared" si="3"/>
        <v>1.020718232044199</v>
      </c>
      <c r="K34" s="4">
        <v>15</v>
      </c>
      <c r="L34" s="62">
        <v>20</v>
      </c>
      <c r="M34" s="65">
        <v>71.199999999999989</v>
      </c>
      <c r="N34" s="52">
        <f t="shared" si="4"/>
        <v>1.3</v>
      </c>
      <c r="O34" s="4">
        <v>15</v>
      </c>
      <c r="P34" s="24">
        <f t="shared" si="5"/>
        <v>1.1029015888295999</v>
      </c>
      <c r="Q34" s="47">
        <v>62744</v>
      </c>
      <c r="R34" s="19">
        <f t="shared" si="6"/>
        <v>39928</v>
      </c>
      <c r="S34" s="19">
        <f t="shared" si="7"/>
        <v>44036.7</v>
      </c>
      <c r="T34" s="19">
        <f t="shared" si="8"/>
        <v>4108.6999999999971</v>
      </c>
      <c r="U34" s="19">
        <v>5022</v>
      </c>
      <c r="V34" s="19">
        <v>5022</v>
      </c>
      <c r="W34" s="19">
        <v>6660.3</v>
      </c>
      <c r="X34" s="19">
        <v>5568.2</v>
      </c>
      <c r="Y34" s="19">
        <v>5568</v>
      </c>
      <c r="Z34" s="19">
        <v>6381</v>
      </c>
      <c r="AA34" s="19"/>
      <c r="AB34" s="19">
        <f t="shared" si="9"/>
        <v>9815.2000000000007</v>
      </c>
      <c r="AC34" s="42"/>
      <c r="AD34" s="42"/>
      <c r="AE34" s="43"/>
      <c r="AF34" s="19">
        <f t="shared" si="10"/>
        <v>9815.2000000000007</v>
      </c>
      <c r="AG34" s="19"/>
      <c r="AH34" s="19">
        <f t="shared" si="11"/>
        <v>9815.2000000000007</v>
      </c>
      <c r="AI34" s="1"/>
      <c r="AJ34" s="1"/>
      <c r="AK34" s="1"/>
      <c r="AL34" s="1"/>
      <c r="AM34" s="1"/>
    </row>
    <row r="35" spans="1:41" s="2" customFormat="1" ht="17.100000000000001" customHeight="1">
      <c r="A35" s="6" t="s">
        <v>1</v>
      </c>
      <c r="B35" s="4">
        <v>1</v>
      </c>
      <c r="C35" s="4">
        <v>10</v>
      </c>
      <c r="D35" s="19">
        <v>17065</v>
      </c>
      <c r="E35" s="19">
        <v>18035.8</v>
      </c>
      <c r="F35" s="52">
        <f t="shared" si="2"/>
        <v>1.0568883680046879</v>
      </c>
      <c r="G35" s="4">
        <v>10</v>
      </c>
      <c r="H35" s="51">
        <v>54.3</v>
      </c>
      <c r="I35" s="51">
        <v>42.2</v>
      </c>
      <c r="J35" s="52">
        <f t="shared" si="3"/>
        <v>1.2086729857819904</v>
      </c>
      <c r="K35" s="4">
        <v>15</v>
      </c>
      <c r="L35" s="62">
        <v>20</v>
      </c>
      <c r="M35" s="65">
        <v>12.8</v>
      </c>
      <c r="N35" s="52">
        <f t="shared" si="4"/>
        <v>0.64</v>
      </c>
      <c r="O35" s="4">
        <v>15</v>
      </c>
      <c r="P35" s="24">
        <f t="shared" si="5"/>
        <v>0.96597956933553475</v>
      </c>
      <c r="Q35" s="47">
        <v>93993</v>
      </c>
      <c r="R35" s="19">
        <f t="shared" si="6"/>
        <v>59813.7</v>
      </c>
      <c r="S35" s="19">
        <f t="shared" si="7"/>
        <v>57778.8</v>
      </c>
      <c r="T35" s="19">
        <f t="shared" si="8"/>
        <v>-2034.8999999999942</v>
      </c>
      <c r="U35" s="19">
        <v>8250</v>
      </c>
      <c r="V35" s="19">
        <v>8250</v>
      </c>
      <c r="W35" s="19">
        <v>8179.1</v>
      </c>
      <c r="X35" s="19">
        <v>6851.4</v>
      </c>
      <c r="Y35" s="19">
        <v>8026.9</v>
      </c>
      <c r="Z35" s="19">
        <v>10162</v>
      </c>
      <c r="AA35" s="19">
        <v>5012</v>
      </c>
      <c r="AB35" s="19">
        <f t="shared" si="9"/>
        <v>3047.4</v>
      </c>
      <c r="AC35" s="42"/>
      <c r="AD35" s="42"/>
      <c r="AE35" s="43"/>
      <c r="AF35" s="19">
        <f t="shared" si="10"/>
        <v>3047.4</v>
      </c>
      <c r="AG35" s="19"/>
      <c r="AH35" s="19">
        <f t="shared" si="11"/>
        <v>3047.4</v>
      </c>
      <c r="AI35" s="1"/>
      <c r="AJ35" s="1"/>
      <c r="AK35" s="1"/>
      <c r="AL35" s="1"/>
      <c r="AM35" s="1"/>
      <c r="AN35" s="1"/>
      <c r="AO35" s="1"/>
    </row>
    <row r="36" spans="1:41" s="2" customFormat="1" ht="17.100000000000001" customHeight="1">
      <c r="A36" s="6" t="s">
        <v>32</v>
      </c>
      <c r="B36" s="4">
        <v>1</v>
      </c>
      <c r="C36" s="4">
        <v>10</v>
      </c>
      <c r="D36" s="19">
        <v>6544</v>
      </c>
      <c r="E36" s="19">
        <v>8150.5</v>
      </c>
      <c r="F36" s="52">
        <f t="shared" si="2"/>
        <v>1.204549205378973</v>
      </c>
      <c r="G36" s="4">
        <v>10</v>
      </c>
      <c r="H36" s="51">
        <v>186.3</v>
      </c>
      <c r="I36" s="51">
        <v>222.8</v>
      </c>
      <c r="J36" s="52">
        <f t="shared" si="3"/>
        <v>0.83617594254937166</v>
      </c>
      <c r="K36" s="4">
        <v>15</v>
      </c>
      <c r="L36" s="62">
        <v>20</v>
      </c>
      <c r="M36" s="65">
        <v>45.9</v>
      </c>
      <c r="N36" s="52">
        <f t="shared" si="4"/>
        <v>1.3</v>
      </c>
      <c r="O36" s="4">
        <v>15</v>
      </c>
      <c r="P36" s="24">
        <f t="shared" si="5"/>
        <v>1.0817626238406062</v>
      </c>
      <c r="Q36" s="47">
        <v>64873</v>
      </c>
      <c r="R36" s="19">
        <f t="shared" si="6"/>
        <v>41282.800000000003</v>
      </c>
      <c r="S36" s="19">
        <f t="shared" si="7"/>
        <v>44658.2</v>
      </c>
      <c r="T36" s="19">
        <f t="shared" si="8"/>
        <v>3375.3999999999942</v>
      </c>
      <c r="U36" s="19">
        <v>5707.7</v>
      </c>
      <c r="V36" s="19">
        <v>5707.8</v>
      </c>
      <c r="W36" s="19">
        <v>5867.8</v>
      </c>
      <c r="X36" s="19">
        <v>5761.1</v>
      </c>
      <c r="Y36" s="19">
        <v>5761.1</v>
      </c>
      <c r="Z36" s="19">
        <v>5037.8999999999996</v>
      </c>
      <c r="AA36" s="19"/>
      <c r="AB36" s="19">
        <f t="shared" si="9"/>
        <v>10814.8</v>
      </c>
      <c r="AC36" s="42"/>
      <c r="AD36" s="42"/>
      <c r="AE36" s="43"/>
      <c r="AF36" s="19">
        <f t="shared" si="10"/>
        <v>10814.8</v>
      </c>
      <c r="AG36" s="19"/>
      <c r="AH36" s="19">
        <f t="shared" si="11"/>
        <v>10814.8</v>
      </c>
      <c r="AI36" s="1"/>
      <c r="AJ36" s="1"/>
      <c r="AK36" s="1"/>
      <c r="AL36" s="1"/>
      <c r="AM36" s="1"/>
      <c r="AN36" s="1"/>
      <c r="AO36" s="1"/>
    </row>
    <row r="37" spans="1:41" s="2" customFormat="1" ht="17.100000000000001" customHeight="1">
      <c r="A37" s="6" t="s">
        <v>33</v>
      </c>
      <c r="B37" s="4">
        <v>1</v>
      </c>
      <c r="C37" s="4">
        <v>10</v>
      </c>
      <c r="D37" s="19">
        <v>2187</v>
      </c>
      <c r="E37" s="19">
        <v>2399.1999999999998</v>
      </c>
      <c r="F37" s="52">
        <f t="shared" si="2"/>
        <v>1.0970278920896204</v>
      </c>
      <c r="G37" s="4">
        <v>10</v>
      </c>
      <c r="H37" s="51">
        <v>16.2</v>
      </c>
      <c r="I37" s="51">
        <v>15.2</v>
      </c>
      <c r="J37" s="52">
        <f t="shared" si="3"/>
        <v>1.0657894736842106</v>
      </c>
      <c r="K37" s="4">
        <v>15</v>
      </c>
      <c r="L37" s="62">
        <v>20</v>
      </c>
      <c r="M37" s="65">
        <v>76.599999999999994</v>
      </c>
      <c r="N37" s="52">
        <f t="shared" si="4"/>
        <v>1.3</v>
      </c>
      <c r="O37" s="4">
        <v>15</v>
      </c>
      <c r="P37" s="24">
        <f t="shared" si="5"/>
        <v>1.1291424205231873</v>
      </c>
      <c r="Q37" s="47">
        <v>37861</v>
      </c>
      <c r="R37" s="19">
        <f t="shared" si="6"/>
        <v>24093.4</v>
      </c>
      <c r="S37" s="19">
        <f t="shared" si="7"/>
        <v>27204.9</v>
      </c>
      <c r="T37" s="19">
        <f t="shared" si="8"/>
        <v>3111.5</v>
      </c>
      <c r="U37" s="19">
        <v>3361.4</v>
      </c>
      <c r="V37" s="19">
        <v>3361.3</v>
      </c>
      <c r="W37" s="19">
        <v>1263.9000000000001</v>
      </c>
      <c r="X37" s="19">
        <v>2662.2</v>
      </c>
      <c r="Y37" s="19">
        <v>2662.2</v>
      </c>
      <c r="Z37" s="19">
        <v>7985</v>
      </c>
      <c r="AA37" s="19"/>
      <c r="AB37" s="19">
        <f t="shared" si="9"/>
        <v>5908.9</v>
      </c>
      <c r="AC37" s="42"/>
      <c r="AD37" s="42"/>
      <c r="AE37" s="43"/>
      <c r="AF37" s="19">
        <f t="shared" si="10"/>
        <v>5908.9</v>
      </c>
      <c r="AG37" s="19"/>
      <c r="AH37" s="19">
        <f t="shared" si="11"/>
        <v>5908.9</v>
      </c>
      <c r="AI37" s="1"/>
      <c r="AJ37" s="1"/>
      <c r="AK37" s="1"/>
      <c r="AL37" s="1"/>
      <c r="AM37" s="1"/>
      <c r="AN37" s="1"/>
      <c r="AO37" s="1"/>
    </row>
    <row r="38" spans="1:41" s="2" customFormat="1" ht="17.100000000000001" customHeight="1">
      <c r="A38" s="6" t="s">
        <v>34</v>
      </c>
      <c r="B38" s="4">
        <v>1</v>
      </c>
      <c r="C38" s="4">
        <v>10</v>
      </c>
      <c r="D38" s="19">
        <v>2754</v>
      </c>
      <c r="E38" s="19">
        <v>2893.1</v>
      </c>
      <c r="F38" s="52">
        <f t="shared" si="2"/>
        <v>1.0505083514887437</v>
      </c>
      <c r="G38" s="4">
        <v>10</v>
      </c>
      <c r="H38" s="51">
        <v>4.8</v>
      </c>
      <c r="I38" s="51">
        <v>4.3</v>
      </c>
      <c r="J38" s="52">
        <f t="shared" si="3"/>
        <v>1.1162790697674418</v>
      </c>
      <c r="K38" s="4">
        <v>15</v>
      </c>
      <c r="L38" s="62">
        <v>20</v>
      </c>
      <c r="M38" s="65">
        <v>77.099999999999994</v>
      </c>
      <c r="N38" s="52">
        <f t="shared" si="4"/>
        <v>1.3</v>
      </c>
      <c r="O38" s="4">
        <v>15</v>
      </c>
      <c r="P38" s="24">
        <f t="shared" si="5"/>
        <v>1.1349853912279813</v>
      </c>
      <c r="Q38" s="47">
        <v>86265</v>
      </c>
      <c r="R38" s="19">
        <f t="shared" si="6"/>
        <v>54895.9</v>
      </c>
      <c r="S38" s="19">
        <f t="shared" si="7"/>
        <v>62306</v>
      </c>
      <c r="T38" s="19">
        <f t="shared" si="8"/>
        <v>7410.0999999999985</v>
      </c>
      <c r="U38" s="19">
        <v>7710.5</v>
      </c>
      <c r="V38" s="19">
        <v>7710.6</v>
      </c>
      <c r="W38" s="19">
        <v>7834.8</v>
      </c>
      <c r="X38" s="19">
        <v>7752</v>
      </c>
      <c r="Y38" s="19">
        <v>7752</v>
      </c>
      <c r="Z38" s="19">
        <v>10476.5</v>
      </c>
      <c r="AA38" s="19"/>
      <c r="AB38" s="19">
        <f t="shared" si="9"/>
        <v>13069.6</v>
      </c>
      <c r="AC38" s="43"/>
      <c r="AD38" s="42"/>
      <c r="AE38" s="43"/>
      <c r="AF38" s="19">
        <f t="shared" si="10"/>
        <v>13069.6</v>
      </c>
      <c r="AG38" s="19"/>
      <c r="AH38" s="19">
        <f t="shared" si="11"/>
        <v>13069.6</v>
      </c>
      <c r="AI38" s="1"/>
      <c r="AJ38" s="1"/>
      <c r="AK38" s="1"/>
      <c r="AL38" s="1"/>
      <c r="AM38" s="1"/>
      <c r="AN38" s="1"/>
      <c r="AO38" s="1"/>
    </row>
    <row r="39" spans="1:41" s="2" customFormat="1" ht="17.100000000000001" customHeight="1">
      <c r="A39" s="6" t="s">
        <v>35</v>
      </c>
      <c r="B39" s="4">
        <v>1</v>
      </c>
      <c r="C39" s="4">
        <v>10</v>
      </c>
      <c r="D39" s="19">
        <v>3086</v>
      </c>
      <c r="E39" s="19">
        <v>3560.6</v>
      </c>
      <c r="F39" s="52">
        <f t="shared" si="2"/>
        <v>1.1537913156189241</v>
      </c>
      <c r="G39" s="4">
        <v>10</v>
      </c>
      <c r="H39" s="51">
        <v>62.4</v>
      </c>
      <c r="I39" s="51">
        <v>62.5</v>
      </c>
      <c r="J39" s="52">
        <f t="shared" si="3"/>
        <v>0.99839999999999995</v>
      </c>
      <c r="K39" s="4">
        <v>15</v>
      </c>
      <c r="L39" s="62">
        <v>20</v>
      </c>
      <c r="M39" s="65">
        <v>29.700000000000003</v>
      </c>
      <c r="N39" s="52">
        <f t="shared" si="4"/>
        <v>1.2284999999999999</v>
      </c>
      <c r="O39" s="4">
        <v>15</v>
      </c>
      <c r="P39" s="24">
        <f t="shared" si="5"/>
        <v>1.0988282631237849</v>
      </c>
      <c r="Q39" s="47">
        <v>67165</v>
      </c>
      <c r="R39" s="19">
        <f t="shared" si="6"/>
        <v>42741.4</v>
      </c>
      <c r="S39" s="19">
        <f t="shared" si="7"/>
        <v>46965.5</v>
      </c>
      <c r="T39" s="19">
        <f t="shared" si="8"/>
        <v>4224.0999999999985</v>
      </c>
      <c r="U39" s="19">
        <v>5980.2</v>
      </c>
      <c r="V39" s="19">
        <v>5980.2</v>
      </c>
      <c r="W39" s="19">
        <v>2951.8</v>
      </c>
      <c r="X39" s="19">
        <v>3974</v>
      </c>
      <c r="Y39" s="19">
        <v>3974.1</v>
      </c>
      <c r="Z39" s="19">
        <v>9163.9</v>
      </c>
      <c r="AA39" s="19">
        <v>5408.9</v>
      </c>
      <c r="AB39" s="19">
        <f t="shared" si="9"/>
        <v>9532.4</v>
      </c>
      <c r="AC39" s="43"/>
      <c r="AD39" s="42"/>
      <c r="AE39" s="43"/>
      <c r="AF39" s="19">
        <f t="shared" si="10"/>
        <v>9532.4</v>
      </c>
      <c r="AG39" s="19"/>
      <c r="AH39" s="19">
        <f t="shared" si="11"/>
        <v>9532.4</v>
      </c>
      <c r="AI39" s="1"/>
      <c r="AJ39" s="1"/>
      <c r="AK39" s="1"/>
      <c r="AL39" s="1"/>
      <c r="AM39" s="1"/>
      <c r="AN39" s="1"/>
      <c r="AO39" s="1"/>
    </row>
    <row r="40" spans="1:41" s="2" customFormat="1" ht="17.100000000000001" customHeight="1">
      <c r="A40" s="6" t="s">
        <v>36</v>
      </c>
      <c r="B40" s="4">
        <v>1</v>
      </c>
      <c r="C40" s="4">
        <v>10</v>
      </c>
      <c r="D40" s="19">
        <v>8688</v>
      </c>
      <c r="E40" s="19">
        <v>9998.2999999999993</v>
      </c>
      <c r="F40" s="52">
        <f t="shared" si="2"/>
        <v>1.1508172191528545</v>
      </c>
      <c r="G40" s="4">
        <v>10</v>
      </c>
      <c r="H40" s="51">
        <v>63.4</v>
      </c>
      <c r="I40" s="51">
        <v>58.8</v>
      </c>
      <c r="J40" s="52">
        <f t="shared" si="3"/>
        <v>1.0782312925170068</v>
      </c>
      <c r="K40" s="4">
        <v>15</v>
      </c>
      <c r="L40" s="62">
        <v>20</v>
      </c>
      <c r="M40" s="65">
        <v>117.1</v>
      </c>
      <c r="N40" s="52">
        <f t="shared" si="4"/>
        <v>1.3</v>
      </c>
      <c r="O40" s="4">
        <v>15</v>
      </c>
      <c r="P40" s="24">
        <f t="shared" si="5"/>
        <v>1.143632831585673</v>
      </c>
      <c r="Q40" s="47">
        <v>86004</v>
      </c>
      <c r="R40" s="19">
        <f t="shared" si="6"/>
        <v>54729.8</v>
      </c>
      <c r="S40" s="19">
        <f t="shared" si="7"/>
        <v>62590.8</v>
      </c>
      <c r="T40" s="19">
        <f t="shared" si="8"/>
        <v>7861</v>
      </c>
      <c r="U40" s="19">
        <v>7002.4</v>
      </c>
      <c r="V40" s="19">
        <v>7002.3</v>
      </c>
      <c r="W40" s="19">
        <v>9943.2000000000007</v>
      </c>
      <c r="X40" s="19">
        <v>7982.6</v>
      </c>
      <c r="Y40" s="19">
        <v>7982.7</v>
      </c>
      <c r="Z40" s="19">
        <v>8935.7000000000007</v>
      </c>
      <c r="AA40" s="19"/>
      <c r="AB40" s="19">
        <f t="shared" si="9"/>
        <v>13741.9</v>
      </c>
      <c r="AC40" s="42"/>
      <c r="AD40" s="42"/>
      <c r="AE40" s="43"/>
      <c r="AF40" s="19">
        <f t="shared" si="10"/>
        <v>13741.9</v>
      </c>
      <c r="AG40" s="19"/>
      <c r="AH40" s="19">
        <f t="shared" si="11"/>
        <v>13741.9</v>
      </c>
      <c r="AI40" s="1"/>
      <c r="AJ40" s="1"/>
      <c r="AK40" s="1"/>
      <c r="AL40" s="1"/>
      <c r="AM40" s="1"/>
      <c r="AN40" s="1"/>
      <c r="AO40" s="1"/>
    </row>
    <row r="41" spans="1:41" s="2" customFormat="1" ht="17.100000000000001" customHeight="1">
      <c r="A41" s="6" t="s">
        <v>37</v>
      </c>
      <c r="B41" s="4">
        <v>1</v>
      </c>
      <c r="C41" s="4">
        <v>10</v>
      </c>
      <c r="D41" s="19">
        <v>22250</v>
      </c>
      <c r="E41" s="19">
        <v>28532.600000000002</v>
      </c>
      <c r="F41" s="52">
        <f t="shared" si="2"/>
        <v>1.2082364044943821</v>
      </c>
      <c r="G41" s="4">
        <v>10</v>
      </c>
      <c r="H41" s="51">
        <v>169.3</v>
      </c>
      <c r="I41" s="51">
        <v>242.6</v>
      </c>
      <c r="J41" s="52">
        <f t="shared" si="3"/>
        <v>0.69785655399835123</v>
      </c>
      <c r="K41" s="4">
        <v>15</v>
      </c>
      <c r="L41" s="62">
        <v>20</v>
      </c>
      <c r="M41" s="65">
        <v>40.1</v>
      </c>
      <c r="N41" s="52">
        <f t="shared" si="4"/>
        <v>1.2805</v>
      </c>
      <c r="O41" s="4">
        <v>15</v>
      </c>
      <c r="P41" s="24">
        <f t="shared" si="5"/>
        <v>1.0351542470983819</v>
      </c>
      <c r="Q41" s="47">
        <v>105915</v>
      </c>
      <c r="R41" s="19">
        <f t="shared" si="6"/>
        <v>67400.5</v>
      </c>
      <c r="S41" s="19">
        <f t="shared" si="7"/>
        <v>69769.899999999994</v>
      </c>
      <c r="T41" s="19">
        <f t="shared" si="8"/>
        <v>2369.3999999999942</v>
      </c>
      <c r="U41" s="19">
        <v>9187.2999999999993</v>
      </c>
      <c r="V41" s="19">
        <v>9187.2000000000007</v>
      </c>
      <c r="W41" s="19">
        <v>6567.9</v>
      </c>
      <c r="X41" s="19">
        <v>6782.9</v>
      </c>
      <c r="Y41" s="19">
        <v>8014.7</v>
      </c>
      <c r="Z41" s="19">
        <v>5866.6</v>
      </c>
      <c r="AA41" s="19">
        <v>5658.7000000000007</v>
      </c>
      <c r="AB41" s="19">
        <f t="shared" si="9"/>
        <v>18504.599999999999</v>
      </c>
      <c r="AC41" s="42"/>
      <c r="AD41" s="42"/>
      <c r="AE41" s="43"/>
      <c r="AF41" s="19">
        <f t="shared" si="10"/>
        <v>18504.599999999999</v>
      </c>
      <c r="AG41" s="19"/>
      <c r="AH41" s="19">
        <f t="shared" si="11"/>
        <v>18504.599999999999</v>
      </c>
      <c r="AI41" s="1"/>
      <c r="AJ41" s="1"/>
      <c r="AK41" s="1"/>
      <c r="AL41" s="1"/>
      <c r="AM41" s="1"/>
      <c r="AN41" s="1"/>
      <c r="AO41" s="1"/>
    </row>
    <row r="42" spans="1:41" s="2" customFormat="1" ht="17.100000000000001" customHeight="1">
      <c r="A42" s="6" t="s">
        <v>38</v>
      </c>
      <c r="B42" s="4">
        <v>1</v>
      </c>
      <c r="C42" s="4">
        <v>10</v>
      </c>
      <c r="D42" s="19">
        <v>4745</v>
      </c>
      <c r="E42" s="19">
        <v>5128.3</v>
      </c>
      <c r="F42" s="52">
        <f t="shared" si="2"/>
        <v>1.0807797681770286</v>
      </c>
      <c r="G42" s="4">
        <v>10</v>
      </c>
      <c r="H42" s="51">
        <v>8.4</v>
      </c>
      <c r="I42" s="51">
        <v>6.9</v>
      </c>
      <c r="J42" s="52">
        <f t="shared" si="3"/>
        <v>1.2017391304347826</v>
      </c>
      <c r="K42" s="4">
        <v>15</v>
      </c>
      <c r="L42" s="62">
        <v>20</v>
      </c>
      <c r="M42" s="65">
        <v>73.7</v>
      </c>
      <c r="N42" s="52">
        <f t="shared" si="4"/>
        <v>1.3</v>
      </c>
      <c r="O42" s="4">
        <v>15</v>
      </c>
      <c r="P42" s="24">
        <f t="shared" si="5"/>
        <v>1.1666776927658404</v>
      </c>
      <c r="Q42" s="47">
        <v>57995</v>
      </c>
      <c r="R42" s="19">
        <f t="shared" si="6"/>
        <v>36905.9</v>
      </c>
      <c r="S42" s="19">
        <f t="shared" si="7"/>
        <v>43057.3</v>
      </c>
      <c r="T42" s="19">
        <f t="shared" si="8"/>
        <v>6151.4000000000015</v>
      </c>
      <c r="U42" s="19">
        <v>5153.6000000000004</v>
      </c>
      <c r="V42" s="19">
        <v>5153.7</v>
      </c>
      <c r="W42" s="19">
        <v>6297</v>
      </c>
      <c r="X42" s="19">
        <v>5534.8</v>
      </c>
      <c r="Y42" s="19">
        <v>5534.8</v>
      </c>
      <c r="Z42" s="19">
        <v>6635.1</v>
      </c>
      <c r="AA42" s="19"/>
      <c r="AB42" s="19">
        <f t="shared" si="9"/>
        <v>8748.2999999999993</v>
      </c>
      <c r="AC42" s="43"/>
      <c r="AD42" s="42"/>
      <c r="AE42" s="43"/>
      <c r="AF42" s="19">
        <f t="shared" si="10"/>
        <v>8748.2999999999993</v>
      </c>
      <c r="AG42" s="19"/>
      <c r="AH42" s="19">
        <f t="shared" si="11"/>
        <v>8748.2999999999993</v>
      </c>
      <c r="AI42" s="1"/>
      <c r="AJ42" s="1"/>
      <c r="AK42" s="1"/>
      <c r="AL42" s="1"/>
      <c r="AM42" s="1"/>
      <c r="AN42" s="1"/>
      <c r="AO42" s="1"/>
    </row>
    <row r="43" spans="1:41" s="2" customFormat="1" ht="17.100000000000001" customHeight="1">
      <c r="A43" s="6" t="s">
        <v>2</v>
      </c>
      <c r="B43" s="4">
        <v>1</v>
      </c>
      <c r="C43" s="4">
        <v>10</v>
      </c>
      <c r="D43" s="19">
        <v>2112</v>
      </c>
      <c r="E43" s="19">
        <v>2257.1</v>
      </c>
      <c r="F43" s="52">
        <f t="shared" si="2"/>
        <v>1.0687026515151514</v>
      </c>
      <c r="G43" s="4">
        <v>10</v>
      </c>
      <c r="H43" s="51">
        <v>10.4</v>
      </c>
      <c r="I43" s="51">
        <v>12.2</v>
      </c>
      <c r="J43" s="52">
        <f t="shared" si="3"/>
        <v>0.85245901639344268</v>
      </c>
      <c r="K43" s="4">
        <v>15</v>
      </c>
      <c r="L43" s="62">
        <v>20</v>
      </c>
      <c r="M43" s="65">
        <v>39.299999999999997</v>
      </c>
      <c r="N43" s="52">
        <f t="shared" si="4"/>
        <v>1.2765</v>
      </c>
      <c r="O43" s="4">
        <v>15</v>
      </c>
      <c r="P43" s="24">
        <f t="shared" si="5"/>
        <v>1.0524282352210632</v>
      </c>
      <c r="Q43" s="47">
        <v>51291</v>
      </c>
      <c r="R43" s="19">
        <f t="shared" si="6"/>
        <v>32639.7</v>
      </c>
      <c r="S43" s="19">
        <f t="shared" si="7"/>
        <v>34350.9</v>
      </c>
      <c r="T43" s="19">
        <f t="shared" si="8"/>
        <v>1711.2000000000007</v>
      </c>
      <c r="U43" s="19">
        <v>4574.3999999999996</v>
      </c>
      <c r="V43" s="19">
        <v>4574.3</v>
      </c>
      <c r="W43" s="19">
        <v>5930.2</v>
      </c>
      <c r="X43" s="19">
        <v>5026.3999999999996</v>
      </c>
      <c r="Y43" s="19">
        <v>5026.2</v>
      </c>
      <c r="Z43" s="19">
        <v>1118</v>
      </c>
      <c r="AA43" s="19"/>
      <c r="AB43" s="19">
        <f t="shared" si="9"/>
        <v>8101.4</v>
      </c>
      <c r="AC43" s="43"/>
      <c r="AD43" s="42"/>
      <c r="AE43" s="43"/>
      <c r="AF43" s="19">
        <f t="shared" si="10"/>
        <v>8101.4</v>
      </c>
      <c r="AG43" s="19"/>
      <c r="AH43" s="19">
        <f t="shared" si="11"/>
        <v>8101.4</v>
      </c>
      <c r="AI43" s="1"/>
      <c r="AJ43" s="1"/>
      <c r="AK43" s="1"/>
      <c r="AL43" s="1"/>
      <c r="AM43" s="1"/>
      <c r="AN43" s="1"/>
      <c r="AO43" s="1"/>
    </row>
    <row r="44" spans="1:41" s="2" customFormat="1" ht="17.100000000000001" customHeight="1">
      <c r="A44" s="6" t="s">
        <v>39</v>
      </c>
      <c r="B44" s="4">
        <v>1</v>
      </c>
      <c r="C44" s="4">
        <v>10</v>
      </c>
      <c r="D44" s="19">
        <v>2050</v>
      </c>
      <c r="E44" s="19">
        <v>2249.5</v>
      </c>
      <c r="F44" s="52">
        <f t="shared" si="2"/>
        <v>1.0973170731707318</v>
      </c>
      <c r="G44" s="4">
        <v>10</v>
      </c>
      <c r="H44" s="51">
        <v>12</v>
      </c>
      <c r="I44" s="51">
        <v>4.5999999999999996</v>
      </c>
      <c r="J44" s="52">
        <f t="shared" si="3"/>
        <v>1.3</v>
      </c>
      <c r="K44" s="4">
        <v>15</v>
      </c>
      <c r="L44" s="62">
        <v>20</v>
      </c>
      <c r="M44" s="65">
        <v>104.5</v>
      </c>
      <c r="N44" s="52">
        <f t="shared" si="4"/>
        <v>1.3</v>
      </c>
      <c r="O44" s="4">
        <v>15</v>
      </c>
      <c r="P44" s="24">
        <f t="shared" si="5"/>
        <v>1.1994634146341463</v>
      </c>
      <c r="Q44" s="47">
        <v>46804</v>
      </c>
      <c r="R44" s="19">
        <f t="shared" si="6"/>
        <v>29784.400000000001</v>
      </c>
      <c r="S44" s="19">
        <f t="shared" si="7"/>
        <v>35725.300000000003</v>
      </c>
      <c r="T44" s="19">
        <f t="shared" si="8"/>
        <v>5940.9000000000015</v>
      </c>
      <c r="U44" s="19">
        <v>4184.3999999999996</v>
      </c>
      <c r="V44" s="19">
        <v>4184.3</v>
      </c>
      <c r="W44" s="19">
        <v>5702.7</v>
      </c>
      <c r="X44" s="19">
        <v>4690.5</v>
      </c>
      <c r="Y44" s="19">
        <v>4690.3999999999996</v>
      </c>
      <c r="Z44" s="19">
        <v>5579.9</v>
      </c>
      <c r="AA44" s="19"/>
      <c r="AB44" s="19">
        <f t="shared" si="9"/>
        <v>6693.1</v>
      </c>
      <c r="AC44" s="43"/>
      <c r="AD44" s="42"/>
      <c r="AE44" s="43"/>
      <c r="AF44" s="19">
        <f t="shared" si="10"/>
        <v>6693.1</v>
      </c>
      <c r="AG44" s="19"/>
      <c r="AH44" s="19">
        <f t="shared" si="11"/>
        <v>6693.1</v>
      </c>
      <c r="AI44" s="1"/>
      <c r="AJ44" s="1"/>
      <c r="AK44" s="1"/>
      <c r="AL44" s="1"/>
      <c r="AM44" s="1"/>
      <c r="AN44" s="1"/>
      <c r="AO44" s="1"/>
    </row>
    <row r="45" spans="1:41" s="2" customFormat="1" ht="17.100000000000001" customHeight="1">
      <c r="A45" s="6" t="s">
        <v>3</v>
      </c>
      <c r="B45" s="4">
        <v>1</v>
      </c>
      <c r="C45" s="4">
        <v>10</v>
      </c>
      <c r="D45" s="19">
        <v>3000</v>
      </c>
      <c r="E45" s="19">
        <v>3453</v>
      </c>
      <c r="F45" s="52">
        <f t="shared" si="2"/>
        <v>1.151</v>
      </c>
      <c r="G45" s="4">
        <v>10</v>
      </c>
      <c r="H45" s="51">
        <v>10.5</v>
      </c>
      <c r="I45" s="51">
        <v>0.4</v>
      </c>
      <c r="J45" s="52">
        <f t="shared" si="3"/>
        <v>1.3</v>
      </c>
      <c r="K45" s="4">
        <v>15</v>
      </c>
      <c r="L45" s="62">
        <v>20</v>
      </c>
      <c r="M45" s="65">
        <v>117.3</v>
      </c>
      <c r="N45" s="52">
        <f t="shared" si="4"/>
        <v>1.3</v>
      </c>
      <c r="O45" s="4">
        <v>15</v>
      </c>
      <c r="P45" s="24">
        <f t="shared" si="5"/>
        <v>1.2101999999999999</v>
      </c>
      <c r="Q45" s="47">
        <v>47179</v>
      </c>
      <c r="R45" s="19">
        <f t="shared" si="6"/>
        <v>30023</v>
      </c>
      <c r="S45" s="19">
        <f t="shared" si="7"/>
        <v>36333.800000000003</v>
      </c>
      <c r="T45" s="19">
        <f t="shared" si="8"/>
        <v>6310.8000000000029</v>
      </c>
      <c r="U45" s="19">
        <v>4214.5</v>
      </c>
      <c r="V45" s="19">
        <v>4214.6000000000004</v>
      </c>
      <c r="W45" s="19">
        <v>5283.1</v>
      </c>
      <c r="X45" s="19">
        <v>3868.4</v>
      </c>
      <c r="Y45" s="19">
        <v>3868.3</v>
      </c>
      <c r="Z45" s="19">
        <v>3966.2</v>
      </c>
      <c r="AA45" s="19">
        <v>4214.3999999999996</v>
      </c>
      <c r="AB45" s="19">
        <f t="shared" si="9"/>
        <v>6704.3</v>
      </c>
      <c r="AC45" s="43"/>
      <c r="AD45" s="42"/>
      <c r="AE45" s="43"/>
      <c r="AF45" s="19">
        <f t="shared" si="10"/>
        <v>6704.3</v>
      </c>
      <c r="AG45" s="19">
        <f>MIN(AF45,424.8)</f>
        <v>424.8</v>
      </c>
      <c r="AH45" s="19">
        <f t="shared" si="11"/>
        <v>6279.5</v>
      </c>
      <c r="AI45" s="1"/>
      <c r="AJ45" s="1"/>
      <c r="AK45" s="1"/>
      <c r="AL45" s="1"/>
      <c r="AM45" s="1"/>
      <c r="AN45" s="1"/>
      <c r="AO45" s="1"/>
    </row>
    <row r="46" spans="1:41" s="2" customFormat="1" ht="17.100000000000001" customHeight="1">
      <c r="A46" s="6" t="s">
        <v>40</v>
      </c>
      <c r="B46" s="4">
        <v>1</v>
      </c>
      <c r="C46" s="4">
        <v>10</v>
      </c>
      <c r="D46" s="19">
        <v>4574</v>
      </c>
      <c r="E46" s="19">
        <v>5020.8</v>
      </c>
      <c r="F46" s="52">
        <f t="shared" si="2"/>
        <v>1.0976825535636205</v>
      </c>
      <c r="G46" s="4">
        <v>10</v>
      </c>
      <c r="H46" s="51">
        <v>9.1</v>
      </c>
      <c r="I46" s="51">
        <v>5.6</v>
      </c>
      <c r="J46" s="52">
        <f t="shared" si="3"/>
        <v>1.2424999999999999</v>
      </c>
      <c r="K46" s="4">
        <v>15</v>
      </c>
      <c r="L46" s="62">
        <v>20</v>
      </c>
      <c r="M46" s="65">
        <v>65.099999999999994</v>
      </c>
      <c r="N46" s="52">
        <f t="shared" si="4"/>
        <v>1.3</v>
      </c>
      <c r="O46" s="4">
        <v>15</v>
      </c>
      <c r="P46" s="24">
        <f>(B46*C46+F46*G46+J46*K46+N46*O46)/(C46+G46+K46+O46)</f>
        <v>1.1822865107127241</v>
      </c>
      <c r="Q46" s="47">
        <v>63492</v>
      </c>
      <c r="R46" s="19">
        <f>ROUND(Q46/11*7,1)</f>
        <v>40404</v>
      </c>
      <c r="S46" s="19">
        <f t="shared" si="7"/>
        <v>47769.1</v>
      </c>
      <c r="T46" s="19">
        <f t="shared" si="8"/>
        <v>7365.0999999999985</v>
      </c>
      <c r="U46" s="19">
        <v>5677.3</v>
      </c>
      <c r="V46" s="19">
        <v>5677.2</v>
      </c>
      <c r="W46" s="19">
        <v>5871.3</v>
      </c>
      <c r="X46" s="19">
        <v>4795.7</v>
      </c>
      <c r="Y46" s="19">
        <v>4795.8</v>
      </c>
      <c r="Z46" s="19">
        <v>6919.6</v>
      </c>
      <c r="AA46" s="19">
        <v>4817.5999999999995</v>
      </c>
      <c r="AB46" s="19">
        <f>ROUND(S46-SUM(U46:AA46),1)</f>
        <v>9214.6</v>
      </c>
      <c r="AC46" s="42"/>
      <c r="AD46" s="42"/>
      <c r="AE46" s="43"/>
      <c r="AF46" s="19">
        <f>IF(OR(AC46="+",AD46="+",AE46="+",AB46&lt;0),0,AB46)</f>
        <v>9214.6</v>
      </c>
      <c r="AG46" s="19"/>
      <c r="AH46" s="19">
        <f t="shared" si="11"/>
        <v>9214.6</v>
      </c>
      <c r="AI46" s="1"/>
      <c r="AJ46" s="1"/>
      <c r="AK46" s="1"/>
      <c r="AL46" s="1"/>
      <c r="AM46" s="1"/>
      <c r="AN46" s="1"/>
      <c r="AO46" s="1"/>
    </row>
    <row r="47" spans="1:41" s="22" customFormat="1" ht="17.100000000000001" customHeight="1">
      <c r="A47" s="21" t="s">
        <v>45</v>
      </c>
      <c r="B47" s="21"/>
      <c r="C47" s="21"/>
      <c r="D47" s="23">
        <f>D8+D19</f>
        <v>944426</v>
      </c>
      <c r="E47" s="23">
        <f>E8+E19</f>
        <v>1007575</v>
      </c>
      <c r="F47" s="53">
        <f>IF(E47/D47&gt;1.2,IF((E47/D47-1.2)*0.1+1.2&gt;1.3,1.3,(E47/D47-1.2)*0.1+1.2),E47/D47)</f>
        <v>1.0668649528920211</v>
      </c>
      <c r="G47" s="21"/>
      <c r="H47" s="23">
        <f>H8+H19</f>
        <v>2705.1</v>
      </c>
      <c r="I47" s="23">
        <f>I8+I19</f>
        <v>2029.7000000000003</v>
      </c>
      <c r="J47" s="53">
        <f>IF(H47/I47&gt;1.2,IF((H47/I47-1.2)*0.1+1.2&gt;1.3,1.3,(H47/I47-1.2)*0.1+1.2),H47/I47)</f>
        <v>1.2132758535744199</v>
      </c>
      <c r="K47" s="21"/>
      <c r="L47" s="64"/>
      <c r="M47" s="67"/>
      <c r="N47" s="53"/>
      <c r="O47" s="21"/>
      <c r="P47" s="57">
        <f>S47/R47</f>
        <v>1.1149551453049651</v>
      </c>
      <c r="Q47" s="48">
        <f>Q8+Q19</f>
        <v>3989697</v>
      </c>
      <c r="R47" s="23">
        <f>R8+R19</f>
        <v>2538898.1</v>
      </c>
      <c r="S47" s="23">
        <f>S8+S19</f>
        <v>2830757.5</v>
      </c>
      <c r="T47" s="23">
        <f>T8+T19</f>
        <v>291859.39999999991</v>
      </c>
      <c r="U47" s="23">
        <f t="shared" ref="U47" si="14">U8+U19</f>
        <v>325946.49999999994</v>
      </c>
      <c r="V47" s="23">
        <f t="shared" ref="V47:AB47" si="15">V8+V19</f>
        <v>325946.7</v>
      </c>
      <c r="W47" s="23">
        <f t="shared" si="15"/>
        <v>380417.5</v>
      </c>
      <c r="X47" s="23">
        <f t="shared" si="15"/>
        <v>338522.60000000003</v>
      </c>
      <c r="Y47" s="23">
        <f t="shared" si="15"/>
        <v>331410</v>
      </c>
      <c r="Z47" s="23">
        <f t="shared" si="15"/>
        <v>440418.59999999992</v>
      </c>
      <c r="AA47" s="23">
        <f t="shared" si="15"/>
        <v>105443.5</v>
      </c>
      <c r="AB47" s="23">
        <f t="shared" si="15"/>
        <v>582652.1</v>
      </c>
      <c r="AC47" s="37">
        <f>COUNTIF(AC9:AC46,"+")</f>
        <v>0</v>
      </c>
      <c r="AD47" s="37">
        <f t="shared" ref="AD47" si="16">COUNTIF(AD9:AD46,"+")</f>
        <v>0</v>
      </c>
      <c r="AE47" s="37">
        <f>COUNTIF(AE9:AE46,"+")</f>
        <v>0</v>
      </c>
      <c r="AF47" s="23">
        <f>AF8+AF19</f>
        <v>582652.1</v>
      </c>
      <c r="AG47" s="61">
        <f>AG8+AG19</f>
        <v>865.1</v>
      </c>
      <c r="AH47" s="23">
        <f>AH8+AH19</f>
        <v>581787</v>
      </c>
      <c r="AI47" s="1"/>
      <c r="AJ47" s="1"/>
      <c r="AK47" s="1"/>
      <c r="AL47" s="1"/>
      <c r="AM47" s="1"/>
      <c r="AN47" s="1"/>
      <c r="AO47" s="1"/>
    </row>
    <row r="48" spans="1:41" ht="10.5" customHeight="1"/>
    <row r="49" spans="2:34" ht="17.25" customHeight="1">
      <c r="B49" s="40" t="s">
        <v>50</v>
      </c>
      <c r="C49" s="39"/>
      <c r="D49" s="68" t="s">
        <v>52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</row>
    <row r="50" spans="2:34" ht="17.25" customHeight="1">
      <c r="C50" s="41" t="s">
        <v>51</v>
      </c>
      <c r="D50" s="68" t="s">
        <v>55</v>
      </c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</row>
    <row r="52" spans="2:34" ht="15" customHeight="1"/>
  </sheetData>
  <mergeCells count="30">
    <mergeCell ref="AH3:AH6"/>
    <mergeCell ref="A3:A6"/>
    <mergeCell ref="Q3:Q6"/>
    <mergeCell ref="T3:T6"/>
    <mergeCell ref="S3:S6"/>
    <mergeCell ref="P3:P6"/>
    <mergeCell ref="R3:R6"/>
    <mergeCell ref="AC4:AD4"/>
    <mergeCell ref="AE4:AE6"/>
    <mergeCell ref="B3:C5"/>
    <mergeCell ref="D3:G5"/>
    <mergeCell ref="H3:K5"/>
    <mergeCell ref="W5:W6"/>
    <mergeCell ref="X5:X6"/>
    <mergeCell ref="L3:O5"/>
    <mergeCell ref="AC3:AE3"/>
    <mergeCell ref="D49:T49"/>
    <mergeCell ref="D50:T50"/>
    <mergeCell ref="B1:Q1"/>
    <mergeCell ref="AF3:AF6"/>
    <mergeCell ref="AG3:AG6"/>
    <mergeCell ref="AB3:AB6"/>
    <mergeCell ref="AC5:AC6"/>
    <mergeCell ref="AD5:AD6"/>
    <mergeCell ref="U5:U6"/>
    <mergeCell ref="V5:V6"/>
    <mergeCell ref="AA3:AA6"/>
    <mergeCell ref="Y5:Y6"/>
    <mergeCell ref="Z5:Z6"/>
    <mergeCell ref="U3:Z4"/>
  </mergeCells>
  <printOptions horizontalCentered="1"/>
  <pageMargins left="0.15748031496062992" right="0.15748031496062992" top="0.15748031496062992" bottom="0.15748031496062992" header="0.15748031496062992" footer="0.15748031496062992"/>
  <pageSetup paperSize="9" scale="55" fitToHeight="0" pageOrder="overThenDown" orientation="landscape" r:id="rId1"/>
  <headerFooter differentFirst="1" alignWithMargins="0">
    <oddHeader>&amp;C&amp;P</oddHeader>
  </headerFooter>
  <colBreaks count="1" manualBreakCount="1">
    <brk id="20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45"/>
  <sheetViews>
    <sheetView view="pageBreakPreview" zoomScale="70" zoomScaleNormal="70" zoomScaleSheetLayoutView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3" sqref="B3:B4"/>
    </sheetView>
  </sheetViews>
  <sheetFormatPr defaultColWidth="9.140625" defaultRowHeight="12.75"/>
  <cols>
    <col min="1" max="1" width="25" style="11" customWidth="1"/>
    <col min="2" max="2" width="11.7109375" style="11" customWidth="1"/>
    <col min="3" max="3" width="10.7109375" style="11" customWidth="1"/>
    <col min="4" max="4" width="11.7109375" style="11" customWidth="1"/>
    <col min="5" max="5" width="16.42578125" style="11" customWidth="1"/>
    <col min="6" max="7" width="15.28515625" style="11" customWidth="1"/>
    <col min="8" max="8" width="16.42578125" style="11" customWidth="1"/>
    <col min="9" max="10" width="15.28515625" style="11" customWidth="1"/>
    <col min="11" max="11" width="16.42578125" style="11" customWidth="1"/>
    <col min="12" max="13" width="15.28515625" style="11" customWidth="1"/>
    <col min="14" max="14" width="16.42578125" style="11" customWidth="1"/>
    <col min="15" max="15" width="12.140625" style="11" customWidth="1"/>
    <col min="16" max="16" width="63.7109375" style="11" customWidth="1"/>
    <col min="17" max="16384" width="9.140625" style="11"/>
  </cols>
  <sheetData>
    <row r="1" spans="1:15" ht="15.75">
      <c r="A1" s="89" t="s">
        <v>93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ht="15.6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8" t="s">
        <v>46</v>
      </c>
    </row>
    <row r="3" spans="1:15" ht="192" customHeight="1">
      <c r="A3" s="90" t="s">
        <v>15</v>
      </c>
      <c r="B3" s="91" t="s">
        <v>41</v>
      </c>
      <c r="C3" s="93" t="s">
        <v>54</v>
      </c>
      <c r="D3" s="93"/>
      <c r="E3" s="93"/>
      <c r="F3" s="94" t="s">
        <v>60</v>
      </c>
      <c r="G3" s="95"/>
      <c r="H3" s="95"/>
      <c r="I3" s="94" t="s">
        <v>61</v>
      </c>
      <c r="J3" s="95"/>
      <c r="K3" s="96"/>
      <c r="L3" s="94" t="s">
        <v>88</v>
      </c>
      <c r="M3" s="95"/>
      <c r="N3" s="96"/>
      <c r="O3" s="92" t="s">
        <v>44</v>
      </c>
    </row>
    <row r="4" spans="1:15" ht="32.1" customHeight="1">
      <c r="A4" s="90"/>
      <c r="B4" s="91"/>
      <c r="C4" s="12" t="s">
        <v>42</v>
      </c>
      <c r="D4" s="12" t="s">
        <v>43</v>
      </c>
      <c r="E4" s="59" t="s">
        <v>84</v>
      </c>
      <c r="F4" s="12" t="s">
        <v>42</v>
      </c>
      <c r="G4" s="12" t="s">
        <v>43</v>
      </c>
      <c r="H4" s="54" t="s">
        <v>85</v>
      </c>
      <c r="I4" s="12" t="s">
        <v>42</v>
      </c>
      <c r="J4" s="12" t="s">
        <v>43</v>
      </c>
      <c r="K4" s="54" t="s">
        <v>86</v>
      </c>
      <c r="L4" s="12" t="s">
        <v>42</v>
      </c>
      <c r="M4" s="12" t="s">
        <v>43</v>
      </c>
      <c r="N4" s="54" t="s">
        <v>87</v>
      </c>
      <c r="O4" s="92"/>
    </row>
    <row r="5" spans="1:15">
      <c r="A5" s="13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</row>
    <row r="6" spans="1:15" ht="15" customHeight="1">
      <c r="A6" s="14" t="s">
        <v>4</v>
      </c>
      <c r="B6" s="28">
        <f>SUM(B7:B16)</f>
        <v>166129.69999999995</v>
      </c>
      <c r="C6" s="28"/>
      <c r="D6" s="28"/>
      <c r="E6" s="28">
        <f>SUM(E7:E16)</f>
        <v>0</v>
      </c>
      <c r="F6" s="28"/>
      <c r="G6" s="28"/>
      <c r="H6" s="28">
        <f>SUM(H7:H16)</f>
        <v>24071.927926888246</v>
      </c>
      <c r="I6" s="28"/>
      <c r="J6" s="28"/>
      <c r="K6" s="28">
        <f>SUM(K7:K16)</f>
        <v>69122.324478019364</v>
      </c>
      <c r="L6" s="28"/>
      <c r="M6" s="28"/>
      <c r="N6" s="28">
        <f>SUM(N7:N16)</f>
        <v>72935.447595092308</v>
      </c>
      <c r="O6" s="28"/>
    </row>
    <row r="7" spans="1:15" ht="15" customHeight="1">
      <c r="A7" s="15" t="s">
        <v>5</v>
      </c>
      <c r="B7" s="29">
        <f>'Расчет дотаций'!T9</f>
        <v>16575.399999999965</v>
      </c>
      <c r="C7" s="33">
        <f>'Расчет дотаций'!B9-1</f>
        <v>0</v>
      </c>
      <c r="D7" s="33">
        <f>C7*'Расчет дотаций'!C9</f>
        <v>0</v>
      </c>
      <c r="E7" s="32">
        <f t="shared" ref="E7:E16" si="0">$B7*D7/$O7</f>
        <v>0</v>
      </c>
      <c r="F7" s="33">
        <f>'Расчет дотаций'!F9-1</f>
        <v>3.2453787894869635E-2</v>
      </c>
      <c r="G7" s="33">
        <f>F7*'Расчет дотаций'!G9</f>
        <v>0.48680681842304452</v>
      </c>
      <c r="H7" s="32">
        <f t="shared" ref="H7:H16" si="1">$B7*G7/O7</f>
        <v>2076.0017451454087</v>
      </c>
      <c r="I7" s="33">
        <f>'Расчет дотаций'!J9-1</f>
        <v>0.30000000000000004</v>
      </c>
      <c r="J7" s="33">
        <f>I7*'Расчет дотаций'!K9</f>
        <v>4.5000000000000009</v>
      </c>
      <c r="K7" s="32">
        <f>$B7*J7/O7</f>
        <v>19190.380043189856</v>
      </c>
      <c r="L7" s="33">
        <f>'Расчет дотаций'!N9-1</f>
        <v>-5.5000000000000049E-2</v>
      </c>
      <c r="M7" s="33">
        <f>L7*'Расчет дотаций'!O9</f>
        <v>-1.100000000000001</v>
      </c>
      <c r="N7" s="32">
        <f t="shared" ref="N7:N16" si="2">$B7*M7/O7</f>
        <v>-4690.9817883353016</v>
      </c>
      <c r="O7" s="31">
        <f>D7+G7+J7+M7</f>
        <v>3.8868068184230444</v>
      </c>
    </row>
    <row r="8" spans="1:15" ht="15" customHeight="1">
      <c r="A8" s="15" t="s">
        <v>6</v>
      </c>
      <c r="B8" s="29">
        <f>'Расчет дотаций'!T10</f>
        <v>80735.5</v>
      </c>
      <c r="C8" s="33">
        <f>'Расчет дотаций'!B10-1</f>
        <v>0</v>
      </c>
      <c r="D8" s="33">
        <f>C8*'Расчет дотаций'!C10</f>
        <v>0</v>
      </c>
      <c r="E8" s="32">
        <f t="shared" si="0"/>
        <v>0</v>
      </c>
      <c r="F8" s="33">
        <f>'Расчет дотаций'!F10-1</f>
        <v>7.2767094415141287E-2</v>
      </c>
      <c r="G8" s="33">
        <f>F8*'Расчет дотаций'!G10</f>
        <v>1.0915064162271193</v>
      </c>
      <c r="H8" s="32">
        <f t="shared" si="1"/>
        <v>9744.6095352343909</v>
      </c>
      <c r="I8" s="33">
        <f>'Расчет дотаций'!J10-1</f>
        <v>0.24811881188118812</v>
      </c>
      <c r="J8" s="33">
        <f>I8*'Расчет дотаций'!K10</f>
        <v>3.721782178217822</v>
      </c>
      <c r="K8" s="32">
        <f t="shared" ref="K8:K43" si="3">$B8*J8/O8</f>
        <v>33226.844627526545</v>
      </c>
      <c r="L8" s="33">
        <f>'Расчет дотаций'!N10-1</f>
        <v>0.21150000000000002</v>
      </c>
      <c r="M8" s="33">
        <f>L8*'Расчет дотаций'!O10</f>
        <v>4.2300000000000004</v>
      </c>
      <c r="N8" s="32">
        <f t="shared" si="2"/>
        <v>37764.045837239064</v>
      </c>
      <c r="O8" s="31">
        <f t="shared" ref="O8:O44" si="4">D8+G8+J8+M8</f>
        <v>9.0432885944449417</v>
      </c>
    </row>
    <row r="9" spans="1:15" ht="15" customHeight="1">
      <c r="A9" s="15" t="s">
        <v>7</v>
      </c>
      <c r="B9" s="29">
        <f>'Расчет дотаций'!T11</f>
        <v>22922.699999999983</v>
      </c>
      <c r="C9" s="33">
        <f>'Расчет дотаций'!B11-1</f>
        <v>0</v>
      </c>
      <c r="D9" s="33">
        <f>C9*'Расчет дотаций'!C11</f>
        <v>0</v>
      </c>
      <c r="E9" s="32">
        <f t="shared" si="0"/>
        <v>0</v>
      </c>
      <c r="F9" s="33">
        <f>'Расчет дотаций'!F11-1</f>
        <v>6.6923653869634059E-2</v>
      </c>
      <c r="G9" s="33">
        <f>F9*'Расчет дотаций'!G11</f>
        <v>1.0038548080445109</v>
      </c>
      <c r="H9" s="32">
        <f t="shared" si="1"/>
        <v>2645.7676067440957</v>
      </c>
      <c r="I9" s="33">
        <f>'Расчет дотаций'!J11-1</f>
        <v>0.17689705171580483</v>
      </c>
      <c r="J9" s="33">
        <f>I9*'Расчет дотаций'!K11</f>
        <v>2.6534557757370725</v>
      </c>
      <c r="K9" s="32">
        <f t="shared" si="3"/>
        <v>6993.4688573627736</v>
      </c>
      <c r="L9" s="33">
        <f>'Расчет дотаций'!N11-1</f>
        <v>0.252</v>
      </c>
      <c r="M9" s="33">
        <f>L9*'Расчет дотаций'!O11</f>
        <v>5.04</v>
      </c>
      <c r="N9" s="32">
        <f t="shared" si="2"/>
        <v>13283.463535893114</v>
      </c>
      <c r="O9" s="31">
        <f t="shared" si="4"/>
        <v>8.6973105837815829</v>
      </c>
    </row>
    <row r="10" spans="1:15" ht="15" customHeight="1">
      <c r="A10" s="15" t="s">
        <v>8</v>
      </c>
      <c r="B10" s="29">
        <f>'Расчет дотаций'!T12</f>
        <v>7892.8000000000029</v>
      </c>
      <c r="C10" s="33">
        <f>'Расчет дотаций'!B12-1</f>
        <v>0</v>
      </c>
      <c r="D10" s="33">
        <f>C10*'Расчет дотаций'!C12</f>
        <v>0</v>
      </c>
      <c r="E10" s="32">
        <f t="shared" si="0"/>
        <v>0</v>
      </c>
      <c r="F10" s="33">
        <f>'Расчет дотаций'!F12-1</f>
        <v>2.5609756097560998E-2</v>
      </c>
      <c r="G10" s="33">
        <f>F10*'Расчет дотаций'!G12</f>
        <v>0.38414634146341498</v>
      </c>
      <c r="H10" s="32">
        <f t="shared" si="1"/>
        <v>465.97825925894062</v>
      </c>
      <c r="I10" s="33">
        <f>'Расчет дотаций'!J12-1</f>
        <v>8.1716036772216949E-3</v>
      </c>
      <c r="J10" s="33">
        <f>I10*'Расчет дотаций'!K12</f>
        <v>0.12257405515832542</v>
      </c>
      <c r="K10" s="32">
        <f t="shared" si="3"/>
        <v>148.6851199347567</v>
      </c>
      <c r="L10" s="33">
        <f>'Расчет дотаций'!N12-1</f>
        <v>0.30000000000000004</v>
      </c>
      <c r="M10" s="33">
        <f>L10*'Расчет дотаций'!O12</f>
        <v>6.0000000000000009</v>
      </c>
      <c r="N10" s="32">
        <f t="shared" si="2"/>
        <v>7278.1366208063055</v>
      </c>
      <c r="O10" s="31">
        <f t="shared" si="4"/>
        <v>6.5067203966217413</v>
      </c>
    </row>
    <row r="11" spans="1:15" ht="15" customHeight="1">
      <c r="A11" s="15" t="s">
        <v>9</v>
      </c>
      <c r="B11" s="29">
        <f>'Расчет дотаций'!T13</f>
        <v>-2985.6000000000058</v>
      </c>
      <c r="C11" s="33">
        <f>'Расчет дотаций'!B13-1</f>
        <v>0</v>
      </c>
      <c r="D11" s="33">
        <f>C11*'Расчет дотаций'!C13</f>
        <v>0</v>
      </c>
      <c r="E11" s="32">
        <f t="shared" si="0"/>
        <v>0</v>
      </c>
      <c r="F11" s="33">
        <f>'Расчет дотаций'!F13-1</f>
        <v>8.0851295449597238E-2</v>
      </c>
      <c r="G11" s="33">
        <f>F11*'Расчет дотаций'!G13</f>
        <v>1.2127694317439586</v>
      </c>
      <c r="H11" s="32">
        <f t="shared" si="1"/>
        <v>1347.426029678066</v>
      </c>
      <c r="I11" s="33">
        <f>'Расчет дотаций'!J13-1</f>
        <v>0</v>
      </c>
      <c r="J11" s="33">
        <f>I11*'Расчет дотаций'!K13</f>
        <v>0</v>
      </c>
      <c r="K11" s="32">
        <f t="shared" si="3"/>
        <v>0</v>
      </c>
      <c r="L11" s="33">
        <f>'Расчет дотаций'!N13-1</f>
        <v>-0.19499999999999995</v>
      </c>
      <c r="M11" s="33">
        <f>L11*'Расчет дотаций'!O13</f>
        <v>-3.899999999999999</v>
      </c>
      <c r="N11" s="32">
        <f t="shared" si="2"/>
        <v>-4333.0260296780716</v>
      </c>
      <c r="O11" s="31">
        <f t="shared" si="4"/>
        <v>-2.6872305682560405</v>
      </c>
    </row>
    <row r="12" spans="1:15" ht="15" customHeight="1">
      <c r="A12" s="15" t="s">
        <v>10</v>
      </c>
      <c r="B12" s="29">
        <f>'Расчет дотаций'!T14</f>
        <v>4485.9000000000015</v>
      </c>
      <c r="C12" s="33">
        <f>'Расчет дотаций'!B14-1</f>
        <v>0</v>
      </c>
      <c r="D12" s="33">
        <f>C12*'Расчет дотаций'!C14</f>
        <v>0</v>
      </c>
      <c r="E12" s="32">
        <f t="shared" si="0"/>
        <v>0</v>
      </c>
      <c r="F12" s="33">
        <f>'Расчет дотаций'!F14-1</f>
        <v>6.857436014364704E-2</v>
      </c>
      <c r="G12" s="33">
        <f>F12*'Расчет дотаций'!G14</f>
        <v>1.0286154021547056</v>
      </c>
      <c r="H12" s="32">
        <f t="shared" si="1"/>
        <v>607.11114124006724</v>
      </c>
      <c r="I12" s="33">
        <f>'Расчет дотаций'!J14-1</f>
        <v>3.811659192825112E-2</v>
      </c>
      <c r="J12" s="33">
        <f>I12*'Расчет дотаций'!K14</f>
        <v>0.5717488789237668</v>
      </c>
      <c r="K12" s="32">
        <f t="shared" si="3"/>
        <v>337.45860081330028</v>
      </c>
      <c r="L12" s="33">
        <f>'Расчет дотаций'!N14-1</f>
        <v>0.30000000000000004</v>
      </c>
      <c r="M12" s="33">
        <f>L12*'Расчет дотаций'!O14</f>
        <v>6.0000000000000009</v>
      </c>
      <c r="N12" s="32">
        <f t="shared" si="2"/>
        <v>3541.330257946634</v>
      </c>
      <c r="O12" s="31">
        <f t="shared" si="4"/>
        <v>7.6003642810784733</v>
      </c>
    </row>
    <row r="13" spans="1:15" ht="15" customHeight="1">
      <c r="A13" s="15" t="s">
        <v>11</v>
      </c>
      <c r="B13" s="29">
        <f>'Расчет дотаций'!T15</f>
        <v>10749.300000000003</v>
      </c>
      <c r="C13" s="33">
        <f>'Расчет дотаций'!B15-1</f>
        <v>0</v>
      </c>
      <c r="D13" s="33">
        <f>C13*'Расчет дотаций'!C15</f>
        <v>0</v>
      </c>
      <c r="E13" s="32">
        <f t="shared" si="0"/>
        <v>0</v>
      </c>
      <c r="F13" s="33">
        <f>'Расчет дотаций'!F15-1</f>
        <v>0.20031611557185314</v>
      </c>
      <c r="G13" s="33">
        <f>F13*'Расчет дотаций'!G15</f>
        <v>3.0047417335777968</v>
      </c>
      <c r="H13" s="32">
        <f t="shared" si="1"/>
        <v>2922.4964747320751</v>
      </c>
      <c r="I13" s="33">
        <f>'Расчет дотаций'!J15-1</f>
        <v>0.20913776015857288</v>
      </c>
      <c r="J13" s="33">
        <f>I13*'Расчет дотаций'!K15</f>
        <v>3.1370664023785935</v>
      </c>
      <c r="K13" s="32">
        <f t="shared" si="3"/>
        <v>3051.1991761219697</v>
      </c>
      <c r="L13" s="33">
        <f>'Расчет дотаций'!N15-1</f>
        <v>0.24550000000000005</v>
      </c>
      <c r="M13" s="33">
        <f>L13*'Расчет дотаций'!O15</f>
        <v>4.910000000000001</v>
      </c>
      <c r="N13" s="32">
        <f t="shared" si="2"/>
        <v>4775.6043491459577</v>
      </c>
      <c r="O13" s="31">
        <f t="shared" si="4"/>
        <v>11.051808135956392</v>
      </c>
    </row>
    <row r="14" spans="1:15" ht="15" customHeight="1">
      <c r="A14" s="15" t="s">
        <v>12</v>
      </c>
      <c r="B14" s="29">
        <f>'Расчет дотаций'!T16</f>
        <v>8532.1999999999971</v>
      </c>
      <c r="C14" s="33">
        <f>'Расчет дотаций'!B16-1</f>
        <v>0</v>
      </c>
      <c r="D14" s="33">
        <f>C14*'Расчет дотаций'!C16</f>
        <v>0</v>
      </c>
      <c r="E14" s="32">
        <f t="shared" si="0"/>
        <v>0</v>
      </c>
      <c r="F14" s="33">
        <f>'Расчет дотаций'!F16-1</f>
        <v>0.14331615120274921</v>
      </c>
      <c r="G14" s="33">
        <f>F14*'Расчет дотаций'!G16</f>
        <v>2.1497422680412379</v>
      </c>
      <c r="H14" s="32">
        <f t="shared" si="1"/>
        <v>2200.2851411198271</v>
      </c>
      <c r="I14" s="33">
        <f>'Расчет дотаций'!J16-1</f>
        <v>1.2430939226519166E-2</v>
      </c>
      <c r="J14" s="33">
        <f>I14*'Расчет дотаций'!K16</f>
        <v>0.1864640883977875</v>
      </c>
      <c r="K14" s="32">
        <f t="shared" si="3"/>
        <v>190.84807009350558</v>
      </c>
      <c r="L14" s="33">
        <f>'Расчет дотаций'!N16-1</f>
        <v>0.30000000000000004</v>
      </c>
      <c r="M14" s="33">
        <f>L14*'Расчет дотаций'!O16</f>
        <v>6.0000000000000009</v>
      </c>
      <c r="N14" s="32">
        <f t="shared" si="2"/>
        <v>6141.0667887866639</v>
      </c>
      <c r="O14" s="31">
        <f t="shared" si="4"/>
        <v>8.3362063564390265</v>
      </c>
    </row>
    <row r="15" spans="1:15" ht="15" customHeight="1">
      <c r="A15" s="15" t="s">
        <v>13</v>
      </c>
      <c r="B15" s="29">
        <f>'Расчет дотаций'!T17</f>
        <v>11126.799999999996</v>
      </c>
      <c r="C15" s="33">
        <f>'Расчет дотаций'!B17-1</f>
        <v>0</v>
      </c>
      <c r="D15" s="33">
        <f>C15*'Расчет дотаций'!C17</f>
        <v>0</v>
      </c>
      <c r="E15" s="32">
        <f t="shared" si="0"/>
        <v>0</v>
      </c>
      <c r="F15" s="33">
        <f>'Расчет дотаций'!F17-1</f>
        <v>0.10763174145738996</v>
      </c>
      <c r="G15" s="33">
        <f>F15*'Расчет дотаций'!G17</f>
        <v>1.6144761218608494</v>
      </c>
      <c r="H15" s="32">
        <f t="shared" si="1"/>
        <v>1602.5805781949905</v>
      </c>
      <c r="I15" s="33">
        <f>'Расчет дотаций'!J17-1</f>
        <v>0.23966101694915243</v>
      </c>
      <c r="J15" s="33">
        <f>I15*'Расчет дотаций'!K17</f>
        <v>3.5949152542372866</v>
      </c>
      <c r="K15" s="32">
        <f t="shared" si="3"/>
        <v>3568.4277324939781</v>
      </c>
      <c r="L15" s="33">
        <f>'Расчет дотаций'!N17-1</f>
        <v>0.30000000000000004</v>
      </c>
      <c r="M15" s="33">
        <f>L15*'Расчет дотаций'!O17</f>
        <v>6.0000000000000009</v>
      </c>
      <c r="N15" s="32">
        <f t="shared" si="2"/>
        <v>5955.7916893110287</v>
      </c>
      <c r="O15" s="31">
        <f t="shared" si="4"/>
        <v>11.209391376098136</v>
      </c>
    </row>
    <row r="16" spans="1:15" ht="15" customHeight="1">
      <c r="A16" s="15" t="s">
        <v>14</v>
      </c>
      <c r="B16" s="29">
        <f>'Расчет дотаций'!T18</f>
        <v>6094.6999999999971</v>
      </c>
      <c r="C16" s="33">
        <f>'Расчет дотаций'!B18-1</f>
        <v>0</v>
      </c>
      <c r="D16" s="33">
        <f>C16*'Расчет дотаций'!C18</f>
        <v>0</v>
      </c>
      <c r="E16" s="32">
        <f t="shared" si="0"/>
        <v>0</v>
      </c>
      <c r="F16" s="33">
        <f>'Расчет дотаций'!F18-1</f>
        <v>5.7101749539594904E-2</v>
      </c>
      <c r="G16" s="33">
        <f>F16*'Расчет дотаций'!G18</f>
        <v>0.85652624309392356</v>
      </c>
      <c r="H16" s="32">
        <f t="shared" si="1"/>
        <v>459.6714155403867</v>
      </c>
      <c r="I16" s="33">
        <f>'Расчет дотаций'!J18-1</f>
        <v>0.30000000000000004</v>
      </c>
      <c r="J16" s="33">
        <f>I16*'Расчет дотаций'!K18</f>
        <v>4.5000000000000009</v>
      </c>
      <c r="K16" s="32">
        <f t="shared" si="3"/>
        <v>2415.0122504826904</v>
      </c>
      <c r="L16" s="33">
        <f>'Расчет дотаций'!N18-1</f>
        <v>0.30000000000000004</v>
      </c>
      <c r="M16" s="33">
        <f>L16*'Расчет дотаций'!O18</f>
        <v>6.0000000000000009</v>
      </c>
      <c r="N16" s="32">
        <f t="shared" si="2"/>
        <v>3220.0163339769206</v>
      </c>
      <c r="O16" s="31">
        <f t="shared" si="4"/>
        <v>11.356526243093924</v>
      </c>
    </row>
    <row r="17" spans="1:15" ht="15" customHeight="1">
      <c r="A17" s="16" t="s">
        <v>17</v>
      </c>
      <c r="B17" s="28">
        <f>SUM(B18:B44)</f>
        <v>125729.69999999998</v>
      </c>
      <c r="C17" s="28"/>
      <c r="D17" s="28"/>
      <c r="E17" s="28">
        <f>SUM(E18:E44)</f>
        <v>0</v>
      </c>
      <c r="F17" s="28"/>
      <c r="G17" s="28"/>
      <c r="H17" s="28">
        <f>SUM(H18:H44)</f>
        <v>25178.449122645343</v>
      </c>
      <c r="I17" s="28"/>
      <c r="J17" s="28"/>
      <c r="K17" s="28">
        <f>SUM(K18:K44)</f>
        <v>26962.885625780396</v>
      </c>
      <c r="L17" s="28"/>
      <c r="M17" s="28"/>
      <c r="N17" s="28">
        <f>SUM(N18:N44)</f>
        <v>73588.365251574258</v>
      </c>
      <c r="O17" s="28"/>
    </row>
    <row r="18" spans="1:15" ht="15" customHeight="1">
      <c r="A18" s="17" t="s">
        <v>0</v>
      </c>
      <c r="B18" s="29">
        <f>'Расчет дотаций'!T20</f>
        <v>980</v>
      </c>
      <c r="C18" s="33">
        <f>'Расчет дотаций'!B20-1</f>
        <v>0</v>
      </c>
      <c r="D18" s="33">
        <f>C18*'Расчет дотаций'!C20</f>
        <v>0</v>
      </c>
      <c r="E18" s="32">
        <f>$B18*D18/$O18</f>
        <v>0</v>
      </c>
      <c r="F18" s="33">
        <f>'Расчет дотаций'!F20-1</f>
        <v>0.20022881355932198</v>
      </c>
      <c r="G18" s="33">
        <f>F18*'Расчет дотаций'!G20</f>
        <v>2.0022881355932198</v>
      </c>
      <c r="H18" s="32">
        <f>$B18*G18/O18</f>
        <v>1012.9946872961127</v>
      </c>
      <c r="I18" s="33">
        <f>'Расчет дотаций'!J20-1</f>
        <v>-0.30434782608695654</v>
      </c>
      <c r="J18" s="33">
        <f>I18*'Расчет дотаций'!K20</f>
        <v>-4.5652173913043477</v>
      </c>
      <c r="K18" s="32">
        <f>$B18*J18/O18</f>
        <v>-2309.6281107279328</v>
      </c>
      <c r="L18" s="33">
        <f>'Расчет дотаций'!N20-1</f>
        <v>0.30000000000000004</v>
      </c>
      <c r="M18" s="33">
        <f>L18*'Расчет дотаций'!O20</f>
        <v>4.5000000000000009</v>
      </c>
      <c r="N18" s="32">
        <f>$B18*M18/O18</f>
        <v>2276.6334234318201</v>
      </c>
      <c r="O18" s="31">
        <f>D18+G18+J18+M18</f>
        <v>1.937070744288873</v>
      </c>
    </row>
    <row r="19" spans="1:15" ht="15" customHeight="1">
      <c r="A19" s="17" t="s">
        <v>18</v>
      </c>
      <c r="B19" s="29">
        <f>'Расчет дотаций'!T21</f>
        <v>-251.40000000000146</v>
      </c>
      <c r="C19" s="33">
        <f>'Расчет дотаций'!B21-1</f>
        <v>0</v>
      </c>
      <c r="D19" s="33">
        <f>C19*'Расчет дотаций'!C21</f>
        <v>0</v>
      </c>
      <c r="E19" s="32">
        <f t="shared" ref="E19:E44" si="5">$B19*D19/$O19</f>
        <v>0</v>
      </c>
      <c r="F19" s="33">
        <f>'Расчет дотаций'!F21-1</f>
        <v>7.7083333333333171E-2</v>
      </c>
      <c r="G19" s="33">
        <f>F19*'Расчет дотаций'!G21</f>
        <v>0.77083333333333171</v>
      </c>
      <c r="H19" s="32">
        <f t="shared" ref="H19:H44" si="6">$B19*G19/O19</f>
        <v>694.16417910447763</v>
      </c>
      <c r="I19" s="33">
        <f>'Расчет дотаций'!J21-1</f>
        <v>0.30000000000000004</v>
      </c>
      <c r="J19" s="33">
        <f>I19*'Расчет дотаций'!K21</f>
        <v>4.5000000000000009</v>
      </c>
      <c r="K19" s="32">
        <f t="shared" si="3"/>
        <v>4052.4179104477707</v>
      </c>
      <c r="L19" s="33">
        <f>'Расчет дотаций'!N21-1</f>
        <v>-0.37</v>
      </c>
      <c r="M19" s="33">
        <f>L19*'Расчет дотаций'!O21</f>
        <v>-5.55</v>
      </c>
      <c r="N19" s="32">
        <f t="shared" ref="N19:N44" si="7">$B19*M19/O19</f>
        <v>-4997.9820895522489</v>
      </c>
      <c r="O19" s="31">
        <f t="shared" si="4"/>
        <v>-0.27916666666666767</v>
      </c>
    </row>
    <row r="20" spans="1:15" ht="15" customHeight="1">
      <c r="A20" s="17" t="s">
        <v>19</v>
      </c>
      <c r="B20" s="29">
        <f>'Расчет дотаций'!T22</f>
        <v>5952.0999999999985</v>
      </c>
      <c r="C20" s="33">
        <f>'Расчет дотаций'!B22-1</f>
        <v>0</v>
      </c>
      <c r="D20" s="33">
        <f>C20*'Расчет дотаций'!C22</f>
        <v>0</v>
      </c>
      <c r="E20" s="32">
        <f t="shared" si="5"/>
        <v>0</v>
      </c>
      <c r="F20" s="33">
        <f>'Расчет дотаций'!F22-1</f>
        <v>0.13713111692192759</v>
      </c>
      <c r="G20" s="33">
        <f>F20*'Расчет дотаций'!G22</f>
        <v>1.3713111692192759</v>
      </c>
      <c r="H20" s="32">
        <f t="shared" si="6"/>
        <v>803.40015568265494</v>
      </c>
      <c r="I20" s="33">
        <f>'Расчет дотаций'!J22-1</f>
        <v>0.28588235294117648</v>
      </c>
      <c r="J20" s="33">
        <f>I20*'Расчет дотаций'!K22</f>
        <v>4.2882352941176469</v>
      </c>
      <c r="K20" s="32">
        <f t="shared" si="3"/>
        <v>2512.3173939138842</v>
      </c>
      <c r="L20" s="33">
        <f>'Расчет дотаций'!N22-1</f>
        <v>0.30000000000000004</v>
      </c>
      <c r="M20" s="33">
        <f>L20*'Расчет дотаций'!O22</f>
        <v>4.5000000000000009</v>
      </c>
      <c r="N20" s="32">
        <f t="shared" si="7"/>
        <v>2636.3824504034592</v>
      </c>
      <c r="O20" s="31">
        <f t="shared" si="4"/>
        <v>10.159546463336923</v>
      </c>
    </row>
    <row r="21" spans="1:15" ht="15" customHeight="1">
      <c r="A21" s="17" t="s">
        <v>20</v>
      </c>
      <c r="B21" s="29">
        <f>'Расчет дотаций'!T23</f>
        <v>6565.7000000000044</v>
      </c>
      <c r="C21" s="33">
        <f>'Расчет дотаций'!B23-1</f>
        <v>0</v>
      </c>
      <c r="D21" s="33">
        <f>C21*'Расчет дотаций'!C23</f>
        <v>0</v>
      </c>
      <c r="E21" s="32">
        <f t="shared" si="5"/>
        <v>0</v>
      </c>
      <c r="F21" s="33">
        <f>'Расчет дотаций'!F23-1</f>
        <v>0.16646030589949024</v>
      </c>
      <c r="G21" s="33">
        <f>F21*'Расчет дотаций'!G23</f>
        <v>1.6646030589949024</v>
      </c>
      <c r="H21" s="32">
        <f t="shared" si="6"/>
        <v>1096.0251490920409</v>
      </c>
      <c r="I21" s="33">
        <f>'Расчет дотаций'!J23-1</f>
        <v>0.25380952380952371</v>
      </c>
      <c r="J21" s="33">
        <f>I21*'Расчет дотаций'!K23</f>
        <v>3.8071428571428556</v>
      </c>
      <c r="K21" s="32">
        <f t="shared" si="3"/>
        <v>2506.7383452570448</v>
      </c>
      <c r="L21" s="33">
        <f>'Расчет дотаций'!N23-1</f>
        <v>0.30000000000000004</v>
      </c>
      <c r="M21" s="33">
        <f>L21*'Расчет дотаций'!O23</f>
        <v>4.5000000000000009</v>
      </c>
      <c r="N21" s="32">
        <f t="shared" si="7"/>
        <v>2962.9365056509182</v>
      </c>
      <c r="O21" s="31">
        <f t="shared" si="4"/>
        <v>9.9717459161377597</v>
      </c>
    </row>
    <row r="22" spans="1:15" ht="15" customHeight="1">
      <c r="A22" s="17" t="s">
        <v>21</v>
      </c>
      <c r="B22" s="29">
        <f>'Расчет дотаций'!T24</f>
        <v>-2663.8000000000029</v>
      </c>
      <c r="C22" s="33">
        <f>'Расчет дотаций'!B24-1</f>
        <v>0</v>
      </c>
      <c r="D22" s="33">
        <f>C22*'Расчет дотаций'!C24</f>
        <v>0</v>
      </c>
      <c r="E22" s="32">
        <f t="shared" si="5"/>
        <v>0</v>
      </c>
      <c r="F22" s="33">
        <f>'Расчет дотаций'!F24-1</f>
        <v>3.3799638989169711E-2</v>
      </c>
      <c r="G22" s="33">
        <f>F22*'Расчет дотаций'!G24</f>
        <v>0.33799638989169711</v>
      </c>
      <c r="H22" s="32">
        <f t="shared" si="6"/>
        <v>242.92501521944561</v>
      </c>
      <c r="I22" s="33">
        <f>'Расчет дотаций'!J24-1</f>
        <v>-0.569620253164557</v>
      </c>
      <c r="J22" s="33">
        <f>I22*'Расчет дотаций'!K24</f>
        <v>-8.5443037974683556</v>
      </c>
      <c r="K22" s="32">
        <f t="shared" si="3"/>
        <v>-6140.9683420129186</v>
      </c>
      <c r="L22" s="33">
        <f>'Расчет дотаций'!N24-1</f>
        <v>0.30000000000000004</v>
      </c>
      <c r="M22" s="33">
        <f>L22*'Расчет дотаций'!O24</f>
        <v>4.5000000000000009</v>
      </c>
      <c r="N22" s="32">
        <f t="shared" si="7"/>
        <v>3234.2433267934703</v>
      </c>
      <c r="O22" s="31">
        <f t="shared" si="4"/>
        <v>-3.7063074075766584</v>
      </c>
    </row>
    <row r="23" spans="1:15" ht="15" customHeight="1">
      <c r="A23" s="17" t="s">
        <v>22</v>
      </c>
      <c r="B23" s="29">
        <f>'Расчет дотаций'!T25</f>
        <v>8570.5</v>
      </c>
      <c r="C23" s="33">
        <f>'Расчет дотаций'!B25-1</f>
        <v>0</v>
      </c>
      <c r="D23" s="33">
        <f>C23*'Расчет дотаций'!C25</f>
        <v>0</v>
      </c>
      <c r="E23" s="32">
        <f t="shared" si="5"/>
        <v>0</v>
      </c>
      <c r="F23" s="33">
        <f>'Расчет дотаций'!F25-1</f>
        <v>0.15488989637305695</v>
      </c>
      <c r="G23" s="33">
        <f>F23*'Расчет дотаций'!G25</f>
        <v>1.5488989637305695</v>
      </c>
      <c r="H23" s="32">
        <f t="shared" si="6"/>
        <v>1258.4098695318489</v>
      </c>
      <c r="I23" s="33">
        <f>'Расчет дотаций'!J25-1</f>
        <v>0.30000000000000004</v>
      </c>
      <c r="J23" s="33">
        <f>I23*'Расчет дотаций'!K25</f>
        <v>4.5000000000000009</v>
      </c>
      <c r="K23" s="32">
        <f t="shared" si="3"/>
        <v>3656.0450652340751</v>
      </c>
      <c r="L23" s="33">
        <f>'Расчет дотаций'!N25-1</f>
        <v>0.30000000000000004</v>
      </c>
      <c r="M23" s="33">
        <f>L23*'Расчет дотаций'!O25</f>
        <v>4.5000000000000009</v>
      </c>
      <c r="N23" s="32">
        <f t="shared" si="7"/>
        <v>3656.0450652340751</v>
      </c>
      <c r="O23" s="31">
        <f t="shared" si="4"/>
        <v>10.548898963730572</v>
      </c>
    </row>
    <row r="24" spans="1:15" ht="15" customHeight="1">
      <c r="A24" s="17" t="s">
        <v>23</v>
      </c>
      <c r="B24" s="29">
        <f>'Расчет дотаций'!T26</f>
        <v>16549.199999999997</v>
      </c>
      <c r="C24" s="33">
        <f>'Расчет дотаций'!B26-1</f>
        <v>0</v>
      </c>
      <c r="D24" s="33">
        <f>C24*'Расчет дотаций'!C26</f>
        <v>0</v>
      </c>
      <c r="E24" s="32">
        <f t="shared" si="5"/>
        <v>0</v>
      </c>
      <c r="F24" s="33">
        <f>'Расчет дотаций'!F26-1</f>
        <v>0.13973697975042954</v>
      </c>
      <c r="G24" s="33">
        <f>F24*'Расчет дотаций'!G26</f>
        <v>1.3973697975042954</v>
      </c>
      <c r="H24" s="32">
        <f t="shared" si="6"/>
        <v>2751.8506109968603</v>
      </c>
      <c r="I24" s="33">
        <f>'Расчет дотаций'!J26-1</f>
        <v>0.18407960199004969</v>
      </c>
      <c r="J24" s="33">
        <f>I24*'Расчет дотаций'!K26</f>
        <v>2.7611940298507456</v>
      </c>
      <c r="K24" s="32">
        <f t="shared" si="3"/>
        <v>5437.6396940139966</v>
      </c>
      <c r="L24" s="33">
        <f>'Расчет дотаций'!N26-1</f>
        <v>0.28299999999999992</v>
      </c>
      <c r="M24" s="33">
        <f>L24*'Расчет дотаций'!O26</f>
        <v>4.2449999999999992</v>
      </c>
      <c r="N24" s="32">
        <f t="shared" si="7"/>
        <v>8359.7096949891402</v>
      </c>
      <c r="O24" s="31">
        <f t="shared" si="4"/>
        <v>8.4035638273550397</v>
      </c>
    </row>
    <row r="25" spans="1:15" ht="15" customHeight="1">
      <c r="A25" s="17" t="s">
        <v>24</v>
      </c>
      <c r="B25" s="29">
        <f>'Расчет дотаций'!T27</f>
        <v>2494.1000000000022</v>
      </c>
      <c r="C25" s="33">
        <f>'Расчет дотаций'!B27-1</f>
        <v>0</v>
      </c>
      <c r="D25" s="33">
        <f>C25*'Расчет дотаций'!C27</f>
        <v>0</v>
      </c>
      <c r="E25" s="32">
        <f t="shared" si="5"/>
        <v>0</v>
      </c>
      <c r="F25" s="33">
        <f>'Расчет дотаций'!F27-1</f>
        <v>0.22285454545454542</v>
      </c>
      <c r="G25" s="33">
        <f>F25*'Расчет дотаций'!G27</f>
        <v>2.2285454545454542</v>
      </c>
      <c r="H25" s="32">
        <f t="shared" si="6"/>
        <v>808.39661408467373</v>
      </c>
      <c r="I25" s="33">
        <f>'Расчет дотаций'!J27-1</f>
        <v>9.8039215686276382E-3</v>
      </c>
      <c r="J25" s="33">
        <f>I25*'Расчет дотаций'!K27</f>
        <v>0.14705882352941457</v>
      </c>
      <c r="K25" s="32">
        <f t="shared" si="3"/>
        <v>53.345043858080984</v>
      </c>
      <c r="L25" s="33">
        <f>'Расчет дотаций'!N27-1</f>
        <v>0.30000000000000004</v>
      </c>
      <c r="M25" s="33">
        <f>L25*'Расчет дотаций'!O27</f>
        <v>4.5000000000000009</v>
      </c>
      <c r="N25" s="32">
        <f t="shared" si="7"/>
        <v>1632.3583420572475</v>
      </c>
      <c r="O25" s="31">
        <f t="shared" si="4"/>
        <v>6.8756042780748698</v>
      </c>
    </row>
    <row r="26" spans="1:15" ht="15" customHeight="1">
      <c r="A26" s="17" t="s">
        <v>25</v>
      </c>
      <c r="B26" s="29">
        <f>'Расчет дотаций'!T28</f>
        <v>4769</v>
      </c>
      <c r="C26" s="33">
        <f>'Расчет дотаций'!B28-1</f>
        <v>0</v>
      </c>
      <c r="D26" s="33">
        <f>C26*'Расчет дотаций'!C28</f>
        <v>0</v>
      </c>
      <c r="E26" s="32">
        <f t="shared" si="5"/>
        <v>0</v>
      </c>
      <c r="F26" s="33">
        <f>'Расчет дотаций'!F28-1</f>
        <v>0.12057613168724268</v>
      </c>
      <c r="G26" s="33">
        <f>F26*'Расчет дотаций'!G28</f>
        <v>1.2057613168724268</v>
      </c>
      <c r="H26" s="32">
        <f t="shared" si="6"/>
        <v>848.47493060374666</v>
      </c>
      <c r="I26" s="33">
        <f>'Расчет дотаций'!J28-1</f>
        <v>7.1428571428571397E-2</v>
      </c>
      <c r="J26" s="33">
        <f>I26*'Расчет дотаций'!K28</f>
        <v>1.071428571428571</v>
      </c>
      <c r="K26" s="32">
        <f t="shared" si="3"/>
        <v>753.94712873004835</v>
      </c>
      <c r="L26" s="33">
        <f>'Расчет дотаций'!N28-1</f>
        <v>0.30000000000000004</v>
      </c>
      <c r="M26" s="33">
        <f>L26*'Расчет дотаций'!O28</f>
        <v>4.5000000000000009</v>
      </c>
      <c r="N26" s="32">
        <f t="shared" si="7"/>
        <v>3166.577940666205</v>
      </c>
      <c r="O26" s="31">
        <f t="shared" si="4"/>
        <v>6.7771898883009989</v>
      </c>
    </row>
    <row r="27" spans="1:15" ht="15" customHeight="1">
      <c r="A27" s="17" t="s">
        <v>26</v>
      </c>
      <c r="B27" s="29">
        <f>'Расчет дотаций'!T29</f>
        <v>4048.7999999999993</v>
      </c>
      <c r="C27" s="33">
        <f>'Расчет дотаций'!B29-1</f>
        <v>0</v>
      </c>
      <c r="D27" s="33">
        <f>C27*'Расчет дотаций'!C29</f>
        <v>0</v>
      </c>
      <c r="E27" s="32">
        <f t="shared" si="5"/>
        <v>0</v>
      </c>
      <c r="F27" s="33">
        <f>'Расчет дотаций'!F29-1</f>
        <v>4.5199409158050319E-2</v>
      </c>
      <c r="G27" s="33">
        <f>F27*'Расчет дотаций'!G29</f>
        <v>0.45199409158050319</v>
      </c>
      <c r="H27" s="32">
        <f t="shared" si="6"/>
        <v>193.61350210970497</v>
      </c>
      <c r="I27" s="33">
        <f>'Расчет дотаций'!J29-1</f>
        <v>0.30000000000000004</v>
      </c>
      <c r="J27" s="33">
        <f>I27*'Расчет дотаций'!K29</f>
        <v>4.5000000000000009</v>
      </c>
      <c r="K27" s="32">
        <f t="shared" si="3"/>
        <v>1927.5932489451468</v>
      </c>
      <c r="L27" s="33">
        <f>'Расчет дотаций'!N29-1</f>
        <v>0.30000000000000004</v>
      </c>
      <c r="M27" s="33">
        <f>L27*'Расчет дотаций'!O29</f>
        <v>4.5000000000000009</v>
      </c>
      <c r="N27" s="32">
        <f t="shared" si="7"/>
        <v>1927.5932489451468</v>
      </c>
      <c r="O27" s="31">
        <f t="shared" si="4"/>
        <v>9.4519940915805059</v>
      </c>
    </row>
    <row r="28" spans="1:15" ht="15" customHeight="1">
      <c r="A28" s="17" t="s">
        <v>27</v>
      </c>
      <c r="B28" s="29">
        <f>'Расчет дотаций'!T30</f>
        <v>2576.2999999999993</v>
      </c>
      <c r="C28" s="33">
        <f>'Расчет дотаций'!B30-1</f>
        <v>0</v>
      </c>
      <c r="D28" s="33">
        <f>C28*'Расчет дотаций'!C30</f>
        <v>0</v>
      </c>
      <c r="E28" s="32">
        <f t="shared" si="5"/>
        <v>0</v>
      </c>
      <c r="F28" s="33">
        <f>'Расчет дотаций'!F30-1</f>
        <v>0.21192112676056341</v>
      </c>
      <c r="G28" s="33">
        <f>F28*'Расчет дотаций'!G30</f>
        <v>2.1192112676056341</v>
      </c>
      <c r="H28" s="32">
        <f t="shared" si="6"/>
        <v>1271.41485327447</v>
      </c>
      <c r="I28" s="33">
        <f>'Расчет дотаций'!J30-1</f>
        <v>0</v>
      </c>
      <c r="J28" s="33">
        <f>I28*'Расчет дотаций'!K30</f>
        <v>0</v>
      </c>
      <c r="K28" s="32">
        <f t="shared" si="3"/>
        <v>0</v>
      </c>
      <c r="L28" s="33">
        <f>'Расчет дотаций'!N30-1</f>
        <v>0.14500000000000002</v>
      </c>
      <c r="M28" s="33">
        <f>L28*'Расчет дотаций'!O30</f>
        <v>2.1750000000000003</v>
      </c>
      <c r="N28" s="32">
        <f t="shared" si="7"/>
        <v>1304.8851467255292</v>
      </c>
      <c r="O28" s="31">
        <f t="shared" si="4"/>
        <v>4.2942112676056343</v>
      </c>
    </row>
    <row r="29" spans="1:15" ht="15" customHeight="1">
      <c r="A29" s="17" t="s">
        <v>28</v>
      </c>
      <c r="B29" s="29">
        <f>'Расчет дотаций'!T31</f>
        <v>6326.8000000000029</v>
      </c>
      <c r="C29" s="33">
        <f>'Расчет дотаций'!B31-1</f>
        <v>0</v>
      </c>
      <c r="D29" s="33">
        <f>C29*'Расчет дотаций'!C31</f>
        <v>0</v>
      </c>
      <c r="E29" s="32">
        <f t="shared" si="5"/>
        <v>0</v>
      </c>
      <c r="F29" s="33">
        <f>'Расчет дотаций'!F31-1</f>
        <v>8.5406427221172088E-2</v>
      </c>
      <c r="G29" s="33">
        <f>F29*'Расчет дотаций'!G31</f>
        <v>0.85406427221172088</v>
      </c>
      <c r="H29" s="32">
        <f t="shared" si="6"/>
        <v>1009.2321576104235</v>
      </c>
      <c r="I29" s="33">
        <f>'Расчет дотаций'!J31-1</f>
        <v>0</v>
      </c>
      <c r="J29" s="33">
        <f>I29*'Расчет дотаций'!K31</f>
        <v>0</v>
      </c>
      <c r="K29" s="32">
        <f t="shared" si="3"/>
        <v>0</v>
      </c>
      <c r="L29" s="33">
        <f>'Расчет дотаций'!N31-1</f>
        <v>0.30000000000000004</v>
      </c>
      <c r="M29" s="33">
        <f>L29*'Расчет дотаций'!O31</f>
        <v>4.5000000000000009</v>
      </c>
      <c r="N29" s="32">
        <f t="shared" si="7"/>
        <v>5317.5678423895797</v>
      </c>
      <c r="O29" s="31">
        <f t="shared" si="4"/>
        <v>5.3540642722117218</v>
      </c>
    </row>
    <row r="30" spans="1:15" ht="15" customHeight="1">
      <c r="A30" s="17" t="s">
        <v>29</v>
      </c>
      <c r="B30" s="29">
        <f>'Расчет дотаций'!T32</f>
        <v>4910.3999999999978</v>
      </c>
      <c r="C30" s="33">
        <f>'Расчет дотаций'!B32-1</f>
        <v>0</v>
      </c>
      <c r="D30" s="33">
        <f>C30*'Расчет дотаций'!C32</f>
        <v>0</v>
      </c>
      <c r="E30" s="32">
        <f t="shared" si="5"/>
        <v>0</v>
      </c>
      <c r="F30" s="33">
        <f>'Расчет дотаций'!F32-1</f>
        <v>2.5971370143149208E-2</v>
      </c>
      <c r="G30" s="33">
        <f>F30*'Расчет дотаций'!G32</f>
        <v>0.25971370143149208</v>
      </c>
      <c r="H30" s="32">
        <f t="shared" si="6"/>
        <v>137.7254416961126</v>
      </c>
      <c r="I30" s="33">
        <f>'Расчет дотаций'!J32-1</f>
        <v>0.30000000000000004</v>
      </c>
      <c r="J30" s="33">
        <f>I30*'Расчет дотаций'!K32</f>
        <v>4.5000000000000009</v>
      </c>
      <c r="K30" s="32">
        <f t="shared" si="3"/>
        <v>2386.3372791519428</v>
      </c>
      <c r="L30" s="33">
        <f>'Расчет дотаций'!N32-1</f>
        <v>0.30000000000000004</v>
      </c>
      <c r="M30" s="33">
        <f>L30*'Расчет дотаций'!O32</f>
        <v>4.5000000000000009</v>
      </c>
      <c r="N30" s="32">
        <f t="shared" si="7"/>
        <v>2386.3372791519428</v>
      </c>
      <c r="O30" s="31">
        <f t="shared" si="4"/>
        <v>9.2597137014314939</v>
      </c>
    </row>
    <row r="31" spans="1:15" ht="15" customHeight="1">
      <c r="A31" s="17" t="s">
        <v>30</v>
      </c>
      <c r="B31" s="29">
        <f>'Расчет дотаций'!T33</f>
        <v>6997.2999999999956</v>
      </c>
      <c r="C31" s="33">
        <f>'Расчет дотаций'!B33-1</f>
        <v>0</v>
      </c>
      <c r="D31" s="33">
        <f>C31*'Расчет дотаций'!C33</f>
        <v>0</v>
      </c>
      <c r="E31" s="32">
        <f t="shared" si="5"/>
        <v>0</v>
      </c>
      <c r="F31" s="33">
        <f>'Расчет дотаций'!F33-1</f>
        <v>3.8277511961722466E-2</v>
      </c>
      <c r="G31" s="33">
        <f>F31*'Расчет дотаций'!G33</f>
        <v>0.38277511961722466</v>
      </c>
      <c r="H31" s="32">
        <f t="shared" si="6"/>
        <v>298.33586927846778</v>
      </c>
      <c r="I31" s="33">
        <f>'Расчет дотаций'!J33-1</f>
        <v>0.30000000000000004</v>
      </c>
      <c r="J31" s="33">
        <f>I31*'Расчет дотаций'!K33</f>
        <v>4.5000000000000009</v>
      </c>
      <c r="K31" s="32">
        <f t="shared" si="3"/>
        <v>3507.3110632049893</v>
      </c>
      <c r="L31" s="33">
        <f>'Расчет дотаций'!N33-1</f>
        <v>0.27299999999999991</v>
      </c>
      <c r="M31" s="33">
        <f>L31*'Расчет дотаций'!O33</f>
        <v>4.0949999999999989</v>
      </c>
      <c r="N31" s="32">
        <f t="shared" si="7"/>
        <v>3191.6530675165391</v>
      </c>
      <c r="O31" s="31">
        <f t="shared" si="4"/>
        <v>8.977775119617224</v>
      </c>
    </row>
    <row r="32" spans="1:15" ht="15" customHeight="1">
      <c r="A32" s="17" t="s">
        <v>31</v>
      </c>
      <c r="B32" s="29">
        <f>'Расчет дотаций'!T34</f>
        <v>4108.6999999999971</v>
      </c>
      <c r="C32" s="33">
        <f>'Расчет дотаций'!B34-1</f>
        <v>0</v>
      </c>
      <c r="D32" s="33">
        <f>C32*'Расчет дотаций'!C34</f>
        <v>0</v>
      </c>
      <c r="E32" s="32">
        <f t="shared" si="5"/>
        <v>0</v>
      </c>
      <c r="F32" s="33">
        <f>'Расчет дотаций'!F34-1</f>
        <v>3.3430596081700736E-2</v>
      </c>
      <c r="G32" s="33">
        <f>F32*'Расчет дотаций'!G34</f>
        <v>0.33430596081700736</v>
      </c>
      <c r="H32" s="32">
        <f t="shared" si="6"/>
        <v>266.96631545376664</v>
      </c>
      <c r="I32" s="33">
        <f>'Расчет дотаций'!J34-1</f>
        <v>2.0718232044198981E-2</v>
      </c>
      <c r="J32" s="33">
        <f>I32*'Расчет дотаций'!K34</f>
        <v>0.31077348066298471</v>
      </c>
      <c r="K32" s="32">
        <f t="shared" si="3"/>
        <v>248.17401062960235</v>
      </c>
      <c r="L32" s="33">
        <f>'Расчет дотаций'!N34-1</f>
        <v>0.30000000000000004</v>
      </c>
      <c r="M32" s="33">
        <f>L32*'Расчет дотаций'!O34</f>
        <v>4.5000000000000009</v>
      </c>
      <c r="N32" s="32">
        <f t="shared" si="7"/>
        <v>3593.5596739166281</v>
      </c>
      <c r="O32" s="31">
        <f t="shared" si="4"/>
        <v>5.145079441479993</v>
      </c>
    </row>
    <row r="33" spans="1:16" ht="15" customHeight="1">
      <c r="A33" s="17" t="s">
        <v>1</v>
      </c>
      <c r="B33" s="29">
        <f>'Расчет дотаций'!T35</f>
        <v>-2034.8999999999942</v>
      </c>
      <c r="C33" s="33">
        <f>'Расчет дотаций'!B35-1</f>
        <v>0</v>
      </c>
      <c r="D33" s="33">
        <f>C33*'Расчет дотаций'!C35</f>
        <v>0</v>
      </c>
      <c r="E33" s="32">
        <f t="shared" si="5"/>
        <v>0</v>
      </c>
      <c r="F33" s="33">
        <f>'Расчет дотаций'!F35-1</f>
        <v>5.6888368004687884E-2</v>
      </c>
      <c r="G33" s="33">
        <f>F33*'Расчет дотаций'!G35</f>
        <v>0.56888368004687884</v>
      </c>
      <c r="H33" s="32">
        <f t="shared" si="6"/>
        <v>680.54482434082718</v>
      </c>
      <c r="I33" s="33">
        <f>'Расчет дотаций'!J35-1</f>
        <v>0.20867298578199045</v>
      </c>
      <c r="J33" s="33">
        <f>I33*'Расчет дотаций'!K35</f>
        <v>3.130094786729857</v>
      </c>
      <c r="K33" s="32">
        <f t="shared" si="3"/>
        <v>3744.4733985507769</v>
      </c>
      <c r="L33" s="33">
        <f>'Расчет дотаций'!N35-1</f>
        <v>-0.36</v>
      </c>
      <c r="M33" s="33">
        <f>L33*'Расчет дотаций'!O35</f>
        <v>-5.3999999999999995</v>
      </c>
      <c r="N33" s="32">
        <f t="shared" si="7"/>
        <v>-6459.9182228915988</v>
      </c>
      <c r="O33" s="31">
        <f t="shared" si="4"/>
        <v>-1.7010215332232637</v>
      </c>
    </row>
    <row r="34" spans="1:16" ht="15" customHeight="1">
      <c r="A34" s="17" t="s">
        <v>32</v>
      </c>
      <c r="B34" s="29">
        <f>'Расчет дотаций'!T36</f>
        <v>3375.3999999999942</v>
      </c>
      <c r="C34" s="33">
        <f>'Расчет дотаций'!B36-1</f>
        <v>0</v>
      </c>
      <c r="D34" s="33">
        <f>C34*'Расчет дотаций'!C36</f>
        <v>0</v>
      </c>
      <c r="E34" s="32">
        <f t="shared" si="5"/>
        <v>0</v>
      </c>
      <c r="F34" s="33">
        <f>'Расчет дотаций'!F36-1</f>
        <v>0.20454920537897303</v>
      </c>
      <c r="G34" s="33">
        <f>F34*'Расчет дотаций'!G36</f>
        <v>2.0454920537897303</v>
      </c>
      <c r="H34" s="32">
        <f t="shared" si="6"/>
        <v>1688.8777668930202</v>
      </c>
      <c r="I34" s="33">
        <f>'Расчет дотаций'!J36-1</f>
        <v>-0.16382405745062834</v>
      </c>
      <c r="J34" s="33">
        <f>I34*'Расчет дотаций'!K36</f>
        <v>-2.4573608617594251</v>
      </c>
      <c r="K34" s="32">
        <f t="shared" si="3"/>
        <v>-2028.940722096391</v>
      </c>
      <c r="L34" s="33">
        <f>'Расчет дотаций'!N36-1</f>
        <v>0.30000000000000004</v>
      </c>
      <c r="M34" s="33">
        <f>L34*'Расчет дотаций'!O36</f>
        <v>4.5000000000000009</v>
      </c>
      <c r="N34" s="32">
        <f t="shared" si="7"/>
        <v>3715.4629552033653</v>
      </c>
      <c r="O34" s="31">
        <f t="shared" si="4"/>
        <v>4.0881311920303061</v>
      </c>
    </row>
    <row r="35" spans="1:16" ht="15" customHeight="1">
      <c r="A35" s="17" t="s">
        <v>33</v>
      </c>
      <c r="B35" s="29">
        <f>'Расчет дотаций'!T37</f>
        <v>3111.5</v>
      </c>
      <c r="C35" s="33">
        <f>'Расчет дотаций'!B37-1</f>
        <v>0</v>
      </c>
      <c r="D35" s="33">
        <f>C35*'Расчет дотаций'!C37</f>
        <v>0</v>
      </c>
      <c r="E35" s="32">
        <f t="shared" si="5"/>
        <v>0</v>
      </c>
      <c r="F35" s="33">
        <f>'Расчет дотаций'!F37-1</f>
        <v>9.7027892089620371E-2</v>
      </c>
      <c r="G35" s="33">
        <f>F35*'Расчет дотаций'!G37</f>
        <v>0.97027892089620371</v>
      </c>
      <c r="H35" s="32">
        <f t="shared" si="6"/>
        <v>467.54936915968341</v>
      </c>
      <c r="I35" s="33">
        <f>'Расчет дотаций'!J37-1</f>
        <v>6.578947368421062E-2</v>
      </c>
      <c r="J35" s="33">
        <f>I35*'Расчет дотаций'!K37</f>
        <v>0.9868421052631593</v>
      </c>
      <c r="K35" s="32">
        <f t="shared" si="3"/>
        <v>475.53068900005741</v>
      </c>
      <c r="L35" s="33">
        <f>'Расчет дотаций'!N37-1</f>
        <v>0.30000000000000004</v>
      </c>
      <c r="M35" s="33">
        <f>L35*'Расчет дотаций'!O37</f>
        <v>4.5000000000000009</v>
      </c>
      <c r="N35" s="32">
        <f t="shared" si="7"/>
        <v>2168.4199418402595</v>
      </c>
      <c r="O35" s="31">
        <f t="shared" si="4"/>
        <v>6.4571210261593635</v>
      </c>
    </row>
    <row r="36" spans="1:16" ht="15" customHeight="1">
      <c r="A36" s="17" t="s">
        <v>34</v>
      </c>
      <c r="B36" s="29">
        <f>'Расчет дотаций'!T38</f>
        <v>7410.0999999999985</v>
      </c>
      <c r="C36" s="33">
        <f>'Расчет дотаций'!B38-1</f>
        <v>0</v>
      </c>
      <c r="D36" s="33">
        <f>C36*'Расчет дотаций'!C38</f>
        <v>0</v>
      </c>
      <c r="E36" s="32">
        <f t="shared" si="5"/>
        <v>0</v>
      </c>
      <c r="F36" s="33">
        <f>'Расчет дотаций'!F38-1</f>
        <v>5.0508351488743664E-2</v>
      </c>
      <c r="G36" s="33">
        <f>F36*'Расчет дотаций'!G38</f>
        <v>0.50508351488743664</v>
      </c>
      <c r="H36" s="32">
        <f t="shared" si="6"/>
        <v>554.53694946087774</v>
      </c>
      <c r="I36" s="33">
        <f>'Расчет дотаций'!J38-1</f>
        <v>0.11627906976744184</v>
      </c>
      <c r="J36" s="33">
        <f>I36*'Расчет дотаций'!K38</f>
        <v>1.7441860465116277</v>
      </c>
      <c r="K36" s="32">
        <f t="shared" si="3"/>
        <v>1914.9617459606479</v>
      </c>
      <c r="L36" s="33">
        <f>'Расчет дотаций'!N38-1</f>
        <v>0.30000000000000004</v>
      </c>
      <c r="M36" s="33">
        <f>L36*'Расчет дотаций'!O38</f>
        <v>4.5000000000000009</v>
      </c>
      <c r="N36" s="32">
        <f t="shared" si="7"/>
        <v>4940.601304578473</v>
      </c>
      <c r="O36" s="31">
        <f t="shared" si="4"/>
        <v>6.749269561399065</v>
      </c>
    </row>
    <row r="37" spans="1:16" ht="15" customHeight="1">
      <c r="A37" s="17" t="s">
        <v>35</v>
      </c>
      <c r="B37" s="29">
        <f>'Расчет дотаций'!T39</f>
        <v>4224.0999999999985</v>
      </c>
      <c r="C37" s="33">
        <f>'Расчет дотаций'!B39-1</f>
        <v>0</v>
      </c>
      <c r="D37" s="33">
        <f>C37*'Расчет дотаций'!C39</f>
        <v>0</v>
      </c>
      <c r="E37" s="32">
        <f t="shared" si="5"/>
        <v>0</v>
      </c>
      <c r="F37" s="33">
        <f>'Расчет дотаций'!F39-1</f>
        <v>0.15379131561892412</v>
      </c>
      <c r="G37" s="33">
        <f>F37*'Расчет дотаций'!G39</f>
        <v>1.5379131561892412</v>
      </c>
      <c r="H37" s="32">
        <f t="shared" si="6"/>
        <v>1314.6641978160035</v>
      </c>
      <c r="I37" s="33">
        <f>'Расчет дотаций'!J39-1</f>
        <v>-1.6000000000000458E-3</v>
      </c>
      <c r="J37" s="33">
        <f>I37*'Расчет дотаций'!K39</f>
        <v>-2.4000000000000687E-2</v>
      </c>
      <c r="K37" s="32">
        <f t="shared" si="3"/>
        <v>-20.516074409407352</v>
      </c>
      <c r="L37" s="33">
        <f>'Расчет дотаций'!N39-1</f>
        <v>0.22849999999999993</v>
      </c>
      <c r="M37" s="33">
        <f>L37*'Расчет дотаций'!O39</f>
        <v>3.4274999999999989</v>
      </c>
      <c r="N37" s="32">
        <f t="shared" si="7"/>
        <v>2929.9518765934026</v>
      </c>
      <c r="O37" s="31">
        <f t="shared" si="4"/>
        <v>4.9414131561892392</v>
      </c>
    </row>
    <row r="38" spans="1:16" ht="15" customHeight="1">
      <c r="A38" s="17" t="s">
        <v>36</v>
      </c>
      <c r="B38" s="29">
        <f>'Расчет дотаций'!T40</f>
        <v>7861</v>
      </c>
      <c r="C38" s="33">
        <f>'Расчет дотаций'!B40-1</f>
        <v>0</v>
      </c>
      <c r="D38" s="33">
        <f>C38*'Расчет дотаций'!C40</f>
        <v>0</v>
      </c>
      <c r="E38" s="32">
        <f t="shared" si="5"/>
        <v>0</v>
      </c>
      <c r="F38" s="33">
        <f>'Расчет дотаций'!F40-1</f>
        <v>0.15081721915285451</v>
      </c>
      <c r="G38" s="33">
        <f>F38*'Расчет дотаций'!G40</f>
        <v>1.5081721915285451</v>
      </c>
      <c r="H38" s="32">
        <f t="shared" si="6"/>
        <v>1650.8400574884267</v>
      </c>
      <c r="I38" s="33">
        <f>'Расчет дотаций'!J40-1</f>
        <v>7.8231292517006779E-2</v>
      </c>
      <c r="J38" s="33">
        <f>I38*'Расчет дотаций'!K40</f>
        <v>1.1734693877551017</v>
      </c>
      <c r="K38" s="32">
        <f t="shared" si="3"/>
        <v>1284.475527677753</v>
      </c>
      <c r="L38" s="33">
        <f>'Расчет дотаций'!N40-1</f>
        <v>0.30000000000000004</v>
      </c>
      <c r="M38" s="33">
        <f>L38*'Расчет дотаций'!O40</f>
        <v>4.5000000000000009</v>
      </c>
      <c r="N38" s="32">
        <f t="shared" si="7"/>
        <v>4925.6844148338205</v>
      </c>
      <c r="O38" s="31">
        <f t="shared" si="4"/>
        <v>7.1816415792836477</v>
      </c>
    </row>
    <row r="39" spans="1:16" ht="15" customHeight="1">
      <c r="A39" s="17" t="s">
        <v>37</v>
      </c>
      <c r="B39" s="29">
        <f>'Расчет дотаций'!T41</f>
        <v>2369.3999999999942</v>
      </c>
      <c r="C39" s="33">
        <f>'Расчет дотаций'!B41-1</f>
        <v>0</v>
      </c>
      <c r="D39" s="33">
        <f>C39*'Расчет дотаций'!C41</f>
        <v>0</v>
      </c>
      <c r="E39" s="32">
        <f t="shared" si="5"/>
        <v>0</v>
      </c>
      <c r="F39" s="33">
        <f>'Расчет дотаций'!F41-1</f>
        <v>0.20823640449438208</v>
      </c>
      <c r="G39" s="33">
        <f>F39*'Расчет дотаций'!G41</f>
        <v>2.0823640449438208</v>
      </c>
      <c r="H39" s="32">
        <f t="shared" si="6"/>
        <v>2807.031169964665</v>
      </c>
      <c r="I39" s="33">
        <f>'Расчет дотаций'!J41-1</f>
        <v>-0.30214344600164877</v>
      </c>
      <c r="J39" s="33">
        <f>I39*'Расчет дотаций'!K41</f>
        <v>-4.5321516900247314</v>
      </c>
      <c r="K39" s="32">
        <f t="shared" si="3"/>
        <v>-6109.3501358695785</v>
      </c>
      <c r="L39" s="33">
        <f>'Расчет дотаций'!N41-1</f>
        <v>0.28049999999999997</v>
      </c>
      <c r="M39" s="33">
        <f>L39*'Расчет дотаций'!O41</f>
        <v>4.2074999999999996</v>
      </c>
      <c r="N39" s="32">
        <f t="shared" si="7"/>
        <v>5671.7189659049072</v>
      </c>
      <c r="O39" s="31">
        <f t="shared" si="4"/>
        <v>1.7577123549190889</v>
      </c>
    </row>
    <row r="40" spans="1:16" ht="15" customHeight="1">
      <c r="A40" s="17" t="s">
        <v>38</v>
      </c>
      <c r="B40" s="29">
        <f>'Расчет дотаций'!T42</f>
        <v>6151.4000000000015</v>
      </c>
      <c r="C40" s="33">
        <f>'Расчет дотаций'!B42-1</f>
        <v>0</v>
      </c>
      <c r="D40" s="33">
        <f>C40*'Расчет дотаций'!C42</f>
        <v>0</v>
      </c>
      <c r="E40" s="32">
        <f t="shared" si="5"/>
        <v>0</v>
      </c>
      <c r="F40" s="33">
        <f>'Расчет дотаций'!F42-1</f>
        <v>8.0779768177028588E-2</v>
      </c>
      <c r="G40" s="33">
        <f>F40*'Расчет дотаций'!G42</f>
        <v>0.80779768177028588</v>
      </c>
      <c r="H40" s="32">
        <f t="shared" si="6"/>
        <v>596.250953224152</v>
      </c>
      <c r="I40" s="33">
        <f>'Расчет дотаций'!J42-1</f>
        <v>0.20173913043478264</v>
      </c>
      <c r="J40" s="33">
        <f>I40*'Расчет дотаций'!K42</f>
        <v>3.0260869565217394</v>
      </c>
      <c r="K40" s="32">
        <f t="shared" si="3"/>
        <v>2233.6127883050208</v>
      </c>
      <c r="L40" s="33">
        <f>'Расчет дотаций'!N42-1</f>
        <v>0.30000000000000004</v>
      </c>
      <c r="M40" s="33">
        <f>L40*'Расчет дотаций'!O42</f>
        <v>4.5000000000000009</v>
      </c>
      <c r="N40" s="32">
        <f t="shared" si="7"/>
        <v>3321.5362584708287</v>
      </c>
      <c r="O40" s="31">
        <f t="shared" si="4"/>
        <v>8.3338846382920266</v>
      </c>
    </row>
    <row r="41" spans="1:16" ht="15" customHeight="1">
      <c r="A41" s="17" t="s">
        <v>2</v>
      </c>
      <c r="B41" s="29">
        <f>'Расчет дотаций'!T43</f>
        <v>1711.2000000000007</v>
      </c>
      <c r="C41" s="33">
        <f>'Расчет дотаций'!B43-1</f>
        <v>0</v>
      </c>
      <c r="D41" s="33">
        <f>C41*'Расчет дотаций'!C43</f>
        <v>0</v>
      </c>
      <c r="E41" s="32">
        <f t="shared" si="5"/>
        <v>0</v>
      </c>
      <c r="F41" s="33">
        <f>'Расчет дотаций'!F43-1</f>
        <v>6.8702651515151425E-2</v>
      </c>
      <c r="G41" s="33">
        <f>F41*'Расчет дотаций'!G43</f>
        <v>0.68702651515151425</v>
      </c>
      <c r="H41" s="32">
        <f t="shared" si="6"/>
        <v>448.47581375577482</v>
      </c>
      <c r="I41" s="33">
        <f>'Расчет дотаций'!J43-1</f>
        <v>-0.14754098360655732</v>
      </c>
      <c r="J41" s="33">
        <f>I41*'Расчет дотаций'!K43</f>
        <v>-2.2131147540983598</v>
      </c>
      <c r="K41" s="32">
        <f t="shared" si="3"/>
        <v>-1444.6726849549391</v>
      </c>
      <c r="L41" s="33">
        <f>'Расчет дотаций'!N43-1</f>
        <v>0.27649999999999997</v>
      </c>
      <c r="M41" s="33">
        <f>L41*'Расчет дотаций'!O43</f>
        <v>4.1474999999999991</v>
      </c>
      <c r="N41" s="32">
        <f t="shared" si="7"/>
        <v>2707.3968711991652</v>
      </c>
      <c r="O41" s="31">
        <f t="shared" si="4"/>
        <v>2.6214117610531535</v>
      </c>
    </row>
    <row r="42" spans="1:16" ht="15" customHeight="1">
      <c r="A42" s="17" t="s">
        <v>39</v>
      </c>
      <c r="B42" s="29">
        <f>'Расчет дотаций'!T44</f>
        <v>5940.9000000000015</v>
      </c>
      <c r="C42" s="33">
        <f>'Расчет дотаций'!B44-1</f>
        <v>0</v>
      </c>
      <c r="D42" s="33">
        <f>C42*'Расчет дотаций'!C44</f>
        <v>0</v>
      </c>
      <c r="E42" s="32">
        <f t="shared" si="5"/>
        <v>0</v>
      </c>
      <c r="F42" s="33">
        <f>'Расчет дотаций'!F44-1</f>
        <v>9.7317073170731794E-2</v>
      </c>
      <c r="G42" s="33">
        <f>F42*'Расчет дотаций'!G44</f>
        <v>0.97317073170731794</v>
      </c>
      <c r="H42" s="32">
        <f t="shared" si="6"/>
        <v>579.70630961115239</v>
      </c>
      <c r="I42" s="33">
        <f>'Расчет дотаций'!J44-1</f>
        <v>0.30000000000000004</v>
      </c>
      <c r="J42" s="33">
        <f>I42*'Расчет дотаций'!K44</f>
        <v>4.5000000000000009</v>
      </c>
      <c r="K42" s="32">
        <f t="shared" si="3"/>
        <v>2680.5968451944241</v>
      </c>
      <c r="L42" s="33">
        <f>'Расчет дотаций'!N44-1</f>
        <v>0.30000000000000004</v>
      </c>
      <c r="M42" s="33">
        <f>L42*'Расчет дотаций'!O44</f>
        <v>4.5000000000000009</v>
      </c>
      <c r="N42" s="32">
        <f t="shared" si="7"/>
        <v>2680.5968451944241</v>
      </c>
      <c r="O42" s="31">
        <f t="shared" si="4"/>
        <v>9.9731707317073202</v>
      </c>
    </row>
    <row r="43" spans="1:16" ht="15" customHeight="1">
      <c r="A43" s="17" t="s">
        <v>3</v>
      </c>
      <c r="B43" s="29">
        <f>'Расчет дотаций'!T45</f>
        <v>6310.8000000000029</v>
      </c>
      <c r="C43" s="33">
        <f>'Расчет дотаций'!B45-1</f>
        <v>0</v>
      </c>
      <c r="D43" s="33">
        <f>C43*'Расчет дотаций'!C45</f>
        <v>0</v>
      </c>
      <c r="E43" s="32">
        <f t="shared" si="5"/>
        <v>0</v>
      </c>
      <c r="F43" s="33">
        <f>'Расчет дотаций'!F45-1</f>
        <v>0.15100000000000002</v>
      </c>
      <c r="G43" s="33">
        <f>F43*'Расчет дотаций'!G45</f>
        <v>1.5100000000000002</v>
      </c>
      <c r="H43" s="32">
        <f t="shared" si="6"/>
        <v>906.68962892483398</v>
      </c>
      <c r="I43" s="33">
        <f>'Расчет дотаций'!J45-1</f>
        <v>0.30000000000000004</v>
      </c>
      <c r="J43" s="33">
        <f>I43*'Расчет дотаций'!K45</f>
        <v>4.5000000000000009</v>
      </c>
      <c r="K43" s="32">
        <f t="shared" si="3"/>
        <v>2702.0551855375847</v>
      </c>
      <c r="L43" s="33">
        <f>'Расчет дотаций'!N45-1</f>
        <v>0.30000000000000004</v>
      </c>
      <c r="M43" s="33">
        <f>L43*'Расчет дотаций'!O45</f>
        <v>4.5000000000000009</v>
      </c>
      <c r="N43" s="32">
        <f t="shared" si="7"/>
        <v>2702.0551855375847</v>
      </c>
      <c r="O43" s="31">
        <f t="shared" si="4"/>
        <v>10.510000000000002</v>
      </c>
    </row>
    <row r="44" spans="1:16" ht="15" customHeight="1">
      <c r="A44" s="17" t="s">
        <v>40</v>
      </c>
      <c r="B44" s="29">
        <f>'Расчет дотаций'!T46</f>
        <v>7365.0999999999985</v>
      </c>
      <c r="C44" s="33">
        <f>'Расчет дотаций'!B46-1</f>
        <v>0</v>
      </c>
      <c r="D44" s="33">
        <f>C44*'Расчет дотаций'!C46</f>
        <v>0</v>
      </c>
      <c r="E44" s="32">
        <f t="shared" si="5"/>
        <v>0</v>
      </c>
      <c r="F44" s="33">
        <f>'Расчет дотаций'!F46-1</f>
        <v>9.7682553563620544E-2</v>
      </c>
      <c r="G44" s="33">
        <f>F44*'Расчет дотаций'!G46</f>
        <v>0.97682553563620544</v>
      </c>
      <c r="H44" s="32">
        <f t="shared" si="6"/>
        <v>789.35273097111565</v>
      </c>
      <c r="I44" s="33">
        <f>'Расчет дотаций'!J46-1</f>
        <v>0.24249999999999994</v>
      </c>
      <c r="J44" s="33">
        <f>I44*'Расчет дотаций'!K46</f>
        <v>3.6374999999999993</v>
      </c>
      <c r="K44" s="32">
        <f>$B44*J44/O44</f>
        <v>2939.3893322387171</v>
      </c>
      <c r="L44" s="33">
        <f>'Расчет дотаций'!N46-1</f>
        <v>0.30000000000000004</v>
      </c>
      <c r="M44" s="33">
        <f>L44*'Расчет дотаций'!O46</f>
        <v>4.5000000000000009</v>
      </c>
      <c r="N44" s="32">
        <f t="shared" si="7"/>
        <v>3636.3579367901661</v>
      </c>
      <c r="O44" s="31">
        <f t="shared" si="4"/>
        <v>9.1143255356362047</v>
      </c>
    </row>
    <row r="45" spans="1:16" s="27" customFormat="1" ht="15" customHeight="1">
      <c r="A45" s="26" t="s">
        <v>45</v>
      </c>
      <c r="B45" s="30">
        <f>B6+B17</f>
        <v>291859.39999999991</v>
      </c>
      <c r="C45" s="30"/>
      <c r="D45" s="30"/>
      <c r="E45" s="30">
        <f>E6+E17</f>
        <v>0</v>
      </c>
      <c r="F45" s="30"/>
      <c r="G45" s="30"/>
      <c r="H45" s="30">
        <f>H6+H17</f>
        <v>49250.377049533592</v>
      </c>
      <c r="I45" s="30"/>
      <c r="J45" s="30"/>
      <c r="K45" s="30">
        <f>K6+K17</f>
        <v>96085.210103799764</v>
      </c>
      <c r="L45" s="30"/>
      <c r="M45" s="30"/>
      <c r="N45" s="30">
        <f>N6+N17</f>
        <v>146523.81284666655</v>
      </c>
      <c r="O45" s="30"/>
      <c r="P45" s="11"/>
    </row>
  </sheetData>
  <mergeCells count="8">
    <mergeCell ref="A1:O1"/>
    <mergeCell ref="A3:A4"/>
    <mergeCell ref="B3:B4"/>
    <mergeCell ref="O3:O4"/>
    <mergeCell ref="C3:E3"/>
    <mergeCell ref="F3:H3"/>
    <mergeCell ref="I3:K3"/>
    <mergeCell ref="L3:N3"/>
  </mergeCells>
  <printOptions horizontalCentered="1"/>
  <pageMargins left="0.19685039370078741" right="0.19685039370078741" top="0.31496062992125984" bottom="0.15748031496062992" header="0.15748031496062992" footer="0.15748031496062992"/>
  <pageSetup paperSize="8" scale="91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Расчет дотаций</vt:lpstr>
      <vt:lpstr>Плюсы и минусы</vt:lpstr>
      <vt:lpstr>'Плюсы и минусы'!Заголовки_для_печати</vt:lpstr>
      <vt:lpstr>'Расчет дотаций'!Заголовки_для_печати</vt:lpstr>
      <vt:lpstr>'Расчет дотаций'!Область_печати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kozlovaoi</dc:creator>
  <cp:lastModifiedBy>Радченко</cp:lastModifiedBy>
  <cp:lastPrinted>2022-07-01T10:30:07Z</cp:lastPrinted>
  <dcterms:created xsi:type="dcterms:W3CDTF">2010-02-05T14:48:49Z</dcterms:created>
  <dcterms:modified xsi:type="dcterms:W3CDTF">2022-08-22T07:41:20Z</dcterms:modified>
</cp:coreProperties>
</file>