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 tabRatio="605"/>
  </bookViews>
  <sheets>
    <sheet name="Расчет субсидий" sheetId="7" r:id="rId1"/>
    <sheet name="Плюсы и минусы" sheetId="8" r:id="rId2"/>
  </sheets>
  <externalReferences>
    <externalReference r:id="rId3"/>
  </externalReferences>
  <definedNames>
    <definedName name="_xlnm._FilterDatabase" localSheetId="0" hidden="1">'Расчет субсидий'!$A$1:$E$355</definedName>
    <definedName name="_xlnm.Print_Titles" localSheetId="1">'Плюсы и минусы'!$3:$4</definedName>
    <definedName name="_xlnm.Print_Titles" localSheetId="0">'Расчет субсидий'!$A:$A,'Расчет субсидий'!$3:$7</definedName>
  </definedNames>
  <calcPr calcId="125725"/>
</workbook>
</file>

<file path=xl/calcChain.xml><?xml version="1.0" encoding="utf-8"?>
<calcChain xmlns="http://schemas.openxmlformats.org/spreadsheetml/2006/main">
  <c r="F249" i="8"/>
  <c r="G249" s="1"/>
  <c r="Z32" i="7" l="1"/>
  <c r="U30" i="8" s="1"/>
  <c r="V30" s="1"/>
  <c r="Z30" i="7"/>
  <c r="U28" i="8" s="1"/>
  <c r="V28" s="1"/>
  <c r="Z9" i="7"/>
  <c r="U7" i="8" s="1"/>
  <c r="V7" s="1"/>
  <c r="Z81" i="7"/>
  <c r="U79" i="8" s="1"/>
  <c r="V79" s="1"/>
  <c r="Z80" i="7"/>
  <c r="U78" i="8" s="1"/>
  <c r="V78" s="1"/>
  <c r="Z79" i="7"/>
  <c r="U77" i="8" s="1"/>
  <c r="V77" s="1"/>
  <c r="Z63" i="7"/>
  <c r="U61" i="8" s="1"/>
  <c r="V61" s="1"/>
  <c r="Z62" i="7"/>
  <c r="U60" i="8" s="1"/>
  <c r="V60" s="1"/>
  <c r="Z61" i="7"/>
  <c r="U59" i="8" s="1"/>
  <c r="V59" s="1"/>
  <c r="Z60" i="7"/>
  <c r="U58" i="8" s="1"/>
  <c r="V58" s="1"/>
  <c r="Z59" i="7"/>
  <c r="U57" i="8" s="1"/>
  <c r="V57" s="1"/>
  <c r="Z23" i="7"/>
  <c r="U21" i="8" s="1"/>
  <c r="V21" s="1"/>
  <c r="Z27" i="7"/>
  <c r="U25" i="8" s="1"/>
  <c r="V25" s="1"/>
  <c r="Z25" i="7" l="1"/>
  <c r="U23" i="8" s="1"/>
  <c r="V23" s="1"/>
  <c r="Z21" i="7"/>
  <c r="U19" i="8" s="1"/>
  <c r="V19" s="1"/>
  <c r="Z26" i="7"/>
  <c r="U24" i="8" s="1"/>
  <c r="V24" s="1"/>
  <c r="Z22" i="7"/>
  <c r="U20" i="8" s="1"/>
  <c r="V20" s="1"/>
  <c r="Z78" i="7"/>
  <c r="U76" i="8" s="1"/>
  <c r="V76" s="1"/>
  <c r="Z82" i="7"/>
  <c r="U80" i="8" s="1"/>
  <c r="V80" s="1"/>
  <c r="Z20" i="7"/>
  <c r="U18" i="8" s="1"/>
  <c r="V18" s="1"/>
  <c r="Z24" i="7"/>
  <c r="U22" i="8" s="1"/>
  <c r="V22" s="1"/>
  <c r="Z28" i="7"/>
  <c r="U26" i="8" s="1"/>
  <c r="V26" s="1"/>
  <c r="Y29" i="7"/>
  <c r="X29"/>
  <c r="Y8"/>
  <c r="X8"/>
  <c r="Y381" l="1"/>
  <c r="Z8"/>
  <c r="X381"/>
  <c r="Z381" s="1"/>
  <c r="Z29"/>
  <c r="D373"/>
  <c r="D38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30"/>
  <c r="J10"/>
  <c r="J11"/>
  <c r="J12"/>
  <c r="J13"/>
  <c r="J14"/>
  <c r="J15"/>
  <c r="J16"/>
  <c r="J17"/>
  <c r="J18"/>
  <c r="J9"/>
  <c r="D379"/>
  <c r="D378"/>
  <c r="D377"/>
  <c r="D376"/>
  <c r="D375"/>
  <c r="D374"/>
  <c r="D372"/>
  <c r="D371"/>
  <c r="D370"/>
  <c r="D369"/>
  <c r="D367"/>
  <c r="D366"/>
  <c r="D365"/>
  <c r="D364"/>
  <c r="D363"/>
  <c r="D362"/>
  <c r="D361"/>
  <c r="D360"/>
  <c r="D359"/>
  <c r="D358"/>
  <c r="D356"/>
  <c r="D355"/>
  <c r="D354"/>
  <c r="D353"/>
  <c r="D352"/>
  <c r="D351"/>
  <c r="D350"/>
  <c r="D349"/>
  <c r="D348"/>
  <c r="D347"/>
  <c r="D346"/>
  <c r="D344"/>
  <c r="D343"/>
  <c r="D342"/>
  <c r="D341"/>
  <c r="D340"/>
  <c r="D339"/>
  <c r="D338"/>
  <c r="D337"/>
  <c r="D336"/>
  <c r="D335"/>
  <c r="D334"/>
  <c r="D332"/>
  <c r="D331"/>
  <c r="D330"/>
  <c r="D329"/>
  <c r="D328"/>
  <c r="D327"/>
  <c r="D326"/>
  <c r="D325"/>
  <c r="D324"/>
  <c r="D323"/>
  <c r="D322"/>
  <c r="D321"/>
  <c r="D320"/>
  <c r="D319"/>
  <c r="D318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3"/>
  <c r="D272"/>
  <c r="D271"/>
  <c r="D270"/>
  <c r="D269"/>
  <c r="D268"/>
  <c r="D267"/>
  <c r="D265"/>
  <c r="D264"/>
  <c r="D263"/>
  <c r="D262"/>
  <c r="D261"/>
  <c r="D260"/>
  <c r="D259"/>
  <c r="D258"/>
  <c r="D257"/>
  <c r="D256"/>
  <c r="D255"/>
  <c r="D254"/>
  <c r="D253"/>
  <c r="D252"/>
  <c r="D251"/>
  <c r="D249"/>
  <c r="D248"/>
  <c r="D247"/>
  <c r="D246"/>
  <c r="D245"/>
  <c r="D244"/>
  <c r="D243"/>
  <c r="D242"/>
  <c r="D240"/>
  <c r="D239"/>
  <c r="D238"/>
  <c r="D237"/>
  <c r="D236"/>
  <c r="D235"/>
  <c r="D234"/>
  <c r="D233"/>
  <c r="D232"/>
  <c r="D230"/>
  <c r="D229"/>
  <c r="D228"/>
  <c r="D227"/>
  <c r="D226"/>
  <c r="D225"/>
  <c r="D224"/>
  <c r="D223"/>
  <c r="D222"/>
  <c r="D221"/>
  <c r="D220"/>
  <c r="D219"/>
  <c r="D218"/>
  <c r="D216"/>
  <c r="D215"/>
  <c r="D214"/>
  <c r="D213"/>
  <c r="D212"/>
  <c r="D211"/>
  <c r="D210"/>
  <c r="D209"/>
  <c r="D208"/>
  <c r="D207"/>
  <c r="D206"/>
  <c r="D205"/>
  <c r="D203"/>
  <c r="D202"/>
  <c r="D201"/>
  <c r="D200"/>
  <c r="D199"/>
  <c r="D198"/>
  <c r="D197"/>
  <c r="D196"/>
  <c r="D195"/>
  <c r="D194"/>
  <c r="D193"/>
  <c r="D192"/>
  <c r="D191"/>
  <c r="D189"/>
  <c r="D188"/>
  <c r="D187"/>
  <c r="D186"/>
  <c r="D185"/>
  <c r="D184"/>
  <c r="D182"/>
  <c r="D181"/>
  <c r="D180"/>
  <c r="D179"/>
  <c r="D178"/>
  <c r="D177"/>
  <c r="D176"/>
  <c r="D175"/>
  <c r="D174"/>
  <c r="D173"/>
  <c r="D172"/>
  <c r="D171"/>
  <c r="D170"/>
  <c r="D168"/>
  <c r="D167"/>
  <c r="D166"/>
  <c r="D165"/>
  <c r="D164"/>
  <c r="D163"/>
  <c r="D162"/>
  <c r="D161"/>
  <c r="D160"/>
  <c r="D159"/>
  <c r="D158"/>
  <c r="D157"/>
  <c r="D155"/>
  <c r="D154"/>
  <c r="D153"/>
  <c r="D152"/>
  <c r="D151"/>
  <c r="D150"/>
  <c r="D148"/>
  <c r="D147"/>
  <c r="D146"/>
  <c r="D145"/>
  <c r="D144"/>
  <c r="D143"/>
  <c r="D142"/>
  <c r="D141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5"/>
  <c r="D114"/>
  <c r="D113"/>
  <c r="D112"/>
  <c r="D111"/>
  <c r="D110"/>
  <c r="D109"/>
  <c r="D108"/>
  <c r="D107"/>
  <c r="D106"/>
  <c r="D105"/>
  <c r="D104"/>
  <c r="D103"/>
  <c r="D101"/>
  <c r="D100"/>
  <c r="D99"/>
  <c r="D98"/>
  <c r="D97"/>
  <c r="D96"/>
  <c r="D95"/>
  <c r="D94"/>
  <c r="D93"/>
  <c r="D91"/>
  <c r="D90"/>
  <c r="D89"/>
  <c r="D88"/>
  <c r="D87"/>
  <c r="D86"/>
  <c r="D85"/>
  <c r="D84"/>
  <c r="D82"/>
  <c r="D81"/>
  <c r="D80"/>
  <c r="D79"/>
  <c r="D78"/>
  <c r="D76"/>
  <c r="D75"/>
  <c r="D74"/>
  <c r="D73"/>
  <c r="D72"/>
  <c r="D71"/>
  <c r="D70"/>
  <c r="D69"/>
  <c r="D68"/>
  <c r="D67"/>
  <c r="D66"/>
  <c r="D65"/>
  <c r="D63"/>
  <c r="D62"/>
  <c r="D61"/>
  <c r="D60"/>
  <c r="D59"/>
  <c r="D56"/>
  <c r="AB56" s="1"/>
  <c r="D55"/>
  <c r="D54"/>
  <c r="D53"/>
  <c r="D52"/>
  <c r="AB52" s="1"/>
  <c r="D51"/>
  <c r="D50"/>
  <c r="D49"/>
  <c r="D48"/>
  <c r="AB48" s="1"/>
  <c r="D47"/>
  <c r="D46"/>
  <c r="D45"/>
  <c r="D44"/>
  <c r="AB44" s="1"/>
  <c r="D43"/>
  <c r="D42"/>
  <c r="D41"/>
  <c r="D40"/>
  <c r="AB40" s="1"/>
  <c r="D39"/>
  <c r="D38"/>
  <c r="D37"/>
  <c r="D36"/>
  <c r="AB36" s="1"/>
  <c r="D35"/>
  <c r="D34"/>
  <c r="D33"/>
  <c r="D32"/>
  <c r="AB32" s="1"/>
  <c r="D31"/>
  <c r="AB31" s="1"/>
  <c r="D30"/>
  <c r="AB30" s="1"/>
  <c r="D28"/>
  <c r="D27"/>
  <c r="D26"/>
  <c r="D25"/>
  <c r="D24"/>
  <c r="D23"/>
  <c r="D22"/>
  <c r="D21"/>
  <c r="D20"/>
  <c r="D10"/>
  <c r="D11"/>
  <c r="D12"/>
  <c r="D13"/>
  <c r="D14"/>
  <c r="D15"/>
  <c r="D16"/>
  <c r="D17"/>
  <c r="D18"/>
  <c r="AB18" s="1"/>
  <c r="D9"/>
  <c r="AB9" s="1"/>
  <c r="Z16"/>
  <c r="U14" i="8" s="1"/>
  <c r="V14" s="1"/>
  <c r="Z56" i="7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1"/>
  <c r="Z10"/>
  <c r="U8" i="8" s="1"/>
  <c r="V8" s="1"/>
  <c r="Z11" i="7"/>
  <c r="U9" i="8" s="1"/>
  <c r="V9" s="1"/>
  <c r="Z12" i="7"/>
  <c r="U10" i="8" s="1"/>
  <c r="V10" s="1"/>
  <c r="Z13" i="7"/>
  <c r="U11" i="8" s="1"/>
  <c r="V11" s="1"/>
  <c r="Z14" i="7"/>
  <c r="U12" i="8" s="1"/>
  <c r="V12" s="1"/>
  <c r="Z15" i="7"/>
  <c r="U13" i="8" s="1"/>
  <c r="V13" s="1"/>
  <c r="Z17" i="7"/>
  <c r="U15" i="8" s="1"/>
  <c r="V15" s="1"/>
  <c r="Z18" i="7"/>
  <c r="U16" i="8" s="1"/>
  <c r="V16" s="1"/>
  <c r="U37" l="1"/>
  <c r="V37" s="1"/>
  <c r="Z155" i="7"/>
  <c r="U153" i="8" s="1"/>
  <c r="V153" s="1"/>
  <c r="Z151" i="7"/>
  <c r="U149" i="8" s="1"/>
  <c r="V149" s="1"/>
  <c r="Z152" i="7"/>
  <c r="U150" i="8" s="1"/>
  <c r="V150" s="1"/>
  <c r="Z153" i="7"/>
  <c r="U151" i="8" s="1"/>
  <c r="V151" s="1"/>
  <c r="Z154" i="7"/>
  <c r="U152" i="8" s="1"/>
  <c r="V152" s="1"/>
  <c r="Z150" i="7"/>
  <c r="U148" i="8" s="1"/>
  <c r="V148" s="1"/>
  <c r="U41"/>
  <c r="V41" s="1"/>
  <c r="Z194" i="7"/>
  <c r="U192" i="8" s="1"/>
  <c r="V192" s="1"/>
  <c r="Z203" i="7"/>
  <c r="U201" i="8" s="1"/>
  <c r="V201" s="1"/>
  <c r="Z199" i="7"/>
  <c r="U197" i="8" s="1"/>
  <c r="V197" s="1"/>
  <c r="Z195" i="7"/>
  <c r="U193" i="8" s="1"/>
  <c r="V193" s="1"/>
  <c r="Z191" i="7"/>
  <c r="U189" i="8" s="1"/>
  <c r="V189" s="1"/>
  <c r="Z200" i="7"/>
  <c r="U198" i="8" s="1"/>
  <c r="V198" s="1"/>
  <c r="Z196" i="7"/>
  <c r="U194" i="8" s="1"/>
  <c r="V194" s="1"/>
  <c r="Z192" i="7"/>
  <c r="U190" i="8" s="1"/>
  <c r="V190" s="1"/>
  <c r="Z201" i="7"/>
  <c r="U199" i="8" s="1"/>
  <c r="V199" s="1"/>
  <c r="Z197" i="7"/>
  <c r="U195" i="8" s="1"/>
  <c r="V195" s="1"/>
  <c r="Z193" i="7"/>
  <c r="U191" i="8" s="1"/>
  <c r="V191" s="1"/>
  <c r="Z202" i="7"/>
  <c r="U200" i="8" s="1"/>
  <c r="V200" s="1"/>
  <c r="Z198" i="7"/>
  <c r="U196" i="8" s="1"/>
  <c r="V196" s="1"/>
  <c r="U49"/>
  <c r="V49" s="1"/>
  <c r="Z307" i="7"/>
  <c r="U305" i="8" s="1"/>
  <c r="V305" s="1"/>
  <c r="Z299" i="7"/>
  <c r="U297" i="8" s="1"/>
  <c r="V297" s="1"/>
  <c r="Z316" i="7"/>
  <c r="U314" i="8" s="1"/>
  <c r="V314" s="1"/>
  <c r="Z312" i="7"/>
  <c r="U310" i="8" s="1"/>
  <c r="V310" s="1"/>
  <c r="Z308" i="7"/>
  <c r="U306" i="8" s="1"/>
  <c r="V306" s="1"/>
  <c r="Z304" i="7"/>
  <c r="U302" i="8" s="1"/>
  <c r="V302" s="1"/>
  <c r="Z300" i="7"/>
  <c r="U298" i="8" s="1"/>
  <c r="V298" s="1"/>
  <c r="Z296" i="7"/>
  <c r="U294" i="8" s="1"/>
  <c r="V294" s="1"/>
  <c r="Z313" i="7"/>
  <c r="U311" i="8" s="1"/>
  <c r="V311" s="1"/>
  <c r="Z309" i="7"/>
  <c r="U307" i="8" s="1"/>
  <c r="V307" s="1"/>
  <c r="Z305" i="7"/>
  <c r="U303" i="8" s="1"/>
  <c r="V303" s="1"/>
  <c r="Z301" i="7"/>
  <c r="U299" i="8" s="1"/>
  <c r="V299" s="1"/>
  <c r="Z297" i="7"/>
  <c r="U295" i="8" s="1"/>
  <c r="V295" s="1"/>
  <c r="Z293" i="7"/>
  <c r="U291" i="8" s="1"/>
  <c r="V291" s="1"/>
  <c r="Z314" i="7"/>
  <c r="U312" i="8" s="1"/>
  <c r="V312" s="1"/>
  <c r="Z310" i="7"/>
  <c r="U308" i="8" s="1"/>
  <c r="V308" s="1"/>
  <c r="Z306" i="7"/>
  <c r="U304" i="8" s="1"/>
  <c r="V304" s="1"/>
  <c r="Z302" i="7"/>
  <c r="U300" i="8" s="1"/>
  <c r="V300" s="1"/>
  <c r="Z298" i="7"/>
  <c r="U296" i="8" s="1"/>
  <c r="V296" s="1"/>
  <c r="Z294" i="7"/>
  <c r="U292" i="8" s="1"/>
  <c r="V292" s="1"/>
  <c r="Z315" i="7"/>
  <c r="U313" i="8" s="1"/>
  <c r="V313" s="1"/>
  <c r="Z311" i="7"/>
  <c r="U309" i="8" s="1"/>
  <c r="V309" s="1"/>
  <c r="Z303" i="7"/>
  <c r="U301" i="8" s="1"/>
  <c r="V301" s="1"/>
  <c r="Z295" i="7"/>
  <c r="U293" i="8" s="1"/>
  <c r="V293" s="1"/>
  <c r="U53"/>
  <c r="V53" s="1"/>
  <c r="Z364" i="7"/>
  <c r="U362" i="8" s="1"/>
  <c r="V362" s="1"/>
  <c r="Z360" i="7"/>
  <c r="U358" i="8" s="1"/>
  <c r="V358" s="1"/>
  <c r="Z365" i="7"/>
  <c r="U363" i="8" s="1"/>
  <c r="V363" s="1"/>
  <c r="Z361" i="7"/>
  <c r="U359" i="8" s="1"/>
  <c r="V359" s="1"/>
  <c r="Z366" i="7"/>
  <c r="U364" i="8" s="1"/>
  <c r="V364" s="1"/>
  <c r="Z362" i="7"/>
  <c r="U360" i="8" s="1"/>
  <c r="V360" s="1"/>
  <c r="Z358" i="7"/>
  <c r="U356" i="8" s="1"/>
  <c r="V356" s="1"/>
  <c r="Z367" i="7"/>
  <c r="U365" i="8" s="1"/>
  <c r="V365" s="1"/>
  <c r="Z363" i="7"/>
  <c r="U361" i="8" s="1"/>
  <c r="V361" s="1"/>
  <c r="Z359" i="7"/>
  <c r="U357" i="8" s="1"/>
  <c r="V357" s="1"/>
  <c r="U32"/>
  <c r="V32" s="1"/>
  <c r="Z101" i="7"/>
  <c r="U99" i="8" s="1"/>
  <c r="V99" s="1"/>
  <c r="Z98" i="7"/>
  <c r="U96" i="8" s="1"/>
  <c r="V96" s="1"/>
  <c r="Z94" i="7"/>
  <c r="U92" i="8" s="1"/>
  <c r="V92" s="1"/>
  <c r="Z99" i="7"/>
  <c r="U97" i="8" s="1"/>
  <c r="V97" s="1"/>
  <c r="Z95" i="7"/>
  <c r="U93" i="8" s="1"/>
  <c r="V93" s="1"/>
  <c r="Z100" i="7"/>
  <c r="U98" i="8" s="1"/>
  <c r="V98" s="1"/>
  <c r="Z96" i="7"/>
  <c r="U94" i="8" s="1"/>
  <c r="V94" s="1"/>
  <c r="Z97" i="7"/>
  <c r="U95" i="8" s="1"/>
  <c r="V95" s="1"/>
  <c r="Z93" i="7"/>
  <c r="U91" i="8" s="1"/>
  <c r="V91" s="1"/>
  <c r="U40"/>
  <c r="V40" s="1"/>
  <c r="Z186" i="7"/>
  <c r="U184" i="8" s="1"/>
  <c r="V184" s="1"/>
  <c r="Z187" i="7"/>
  <c r="U185" i="8" s="1"/>
  <c r="V185" s="1"/>
  <c r="Z188" i="7"/>
  <c r="U186" i="8" s="1"/>
  <c r="V186" s="1"/>
  <c r="Z184" i="7"/>
  <c r="U182" i="8" s="1"/>
  <c r="V182" s="1"/>
  <c r="Z189" i="7"/>
  <c r="U187" i="8" s="1"/>
  <c r="V187" s="1"/>
  <c r="Z185" i="7"/>
  <c r="U183" i="8" s="1"/>
  <c r="V183" s="1"/>
  <c r="U48"/>
  <c r="V48" s="1"/>
  <c r="Z290" i="7"/>
  <c r="U288" i="8" s="1"/>
  <c r="V288" s="1"/>
  <c r="Z282" i="7"/>
  <c r="U280" i="8" s="1"/>
  <c r="V280" s="1"/>
  <c r="Z291" i="7"/>
  <c r="U289" i="8" s="1"/>
  <c r="V289" s="1"/>
  <c r="Z287" i="7"/>
  <c r="U285" i="8" s="1"/>
  <c r="V285" s="1"/>
  <c r="Z283" i="7"/>
  <c r="U281" i="8" s="1"/>
  <c r="V281" s="1"/>
  <c r="Z279" i="7"/>
  <c r="U277" i="8" s="1"/>
  <c r="V277" s="1"/>
  <c r="Z275" i="7"/>
  <c r="U273" i="8" s="1"/>
  <c r="V273" s="1"/>
  <c r="Z288" i="7"/>
  <c r="U286" i="8" s="1"/>
  <c r="V286" s="1"/>
  <c r="Z284" i="7"/>
  <c r="U282" i="8" s="1"/>
  <c r="V282" s="1"/>
  <c r="Z280" i="7"/>
  <c r="U278" i="8" s="1"/>
  <c r="V278" s="1"/>
  <c r="Z276" i="7"/>
  <c r="U274" i="8" s="1"/>
  <c r="V274" s="1"/>
  <c r="Z289" i="7"/>
  <c r="U287" i="8" s="1"/>
  <c r="V287" s="1"/>
  <c r="Z285" i="7"/>
  <c r="U283" i="8" s="1"/>
  <c r="V283" s="1"/>
  <c r="Z281" i="7"/>
  <c r="U279" i="8" s="1"/>
  <c r="V279" s="1"/>
  <c r="Z277" i="7"/>
  <c r="U275" i="8" s="1"/>
  <c r="V275" s="1"/>
  <c r="Z286" i="7"/>
  <c r="U284" i="8" s="1"/>
  <c r="V284" s="1"/>
  <c r="Z278" i="7"/>
  <c r="U276" i="8" s="1"/>
  <c r="V276" s="1"/>
  <c r="U52"/>
  <c r="V52" s="1"/>
  <c r="Z355" i="7"/>
  <c r="U353" i="8" s="1"/>
  <c r="V353" s="1"/>
  <c r="Z351" i="7"/>
  <c r="U349" i="8" s="1"/>
  <c r="V349" s="1"/>
  <c r="Z347" i="7"/>
  <c r="U345" i="8" s="1"/>
  <c r="V345" s="1"/>
  <c r="Z356" i="7"/>
  <c r="U354" i="8" s="1"/>
  <c r="V354" s="1"/>
  <c r="Z352" i="7"/>
  <c r="U350" i="8" s="1"/>
  <c r="V350" s="1"/>
  <c r="Z348" i="7"/>
  <c r="U346" i="8" s="1"/>
  <c r="V346" s="1"/>
  <c r="Z353" i="7"/>
  <c r="U351" i="8" s="1"/>
  <c r="V351" s="1"/>
  <c r="Z349" i="7"/>
  <c r="U347" i="8" s="1"/>
  <c r="V347" s="1"/>
  <c r="Z354" i="7"/>
  <c r="U352" i="8" s="1"/>
  <c r="V352" s="1"/>
  <c r="Z350" i="7"/>
  <c r="U348" i="8" s="1"/>
  <c r="V348" s="1"/>
  <c r="Z346" i="7"/>
  <c r="U344" i="8" s="1"/>
  <c r="V344" s="1"/>
  <c r="C249"/>
  <c r="D249" s="1"/>
  <c r="U35"/>
  <c r="V35" s="1"/>
  <c r="Z137" i="7"/>
  <c r="U135" i="8" s="1"/>
  <c r="V135" s="1"/>
  <c r="Z133" i="7"/>
  <c r="U131" i="8" s="1"/>
  <c r="V131" s="1"/>
  <c r="Z138" i="7"/>
  <c r="U136" i="8" s="1"/>
  <c r="V136" s="1"/>
  <c r="Z134" i="7"/>
  <c r="U132" i="8" s="1"/>
  <c r="V132" s="1"/>
  <c r="Z139" i="7"/>
  <c r="U137" i="8" s="1"/>
  <c r="V137" s="1"/>
  <c r="Z135" i="7"/>
  <c r="U133" i="8" s="1"/>
  <c r="V133" s="1"/>
  <c r="Z136" i="7"/>
  <c r="U134" i="8" s="1"/>
  <c r="V134" s="1"/>
  <c r="U43"/>
  <c r="V43" s="1"/>
  <c r="Z229" i="7"/>
  <c r="U227" i="8" s="1"/>
  <c r="V227" s="1"/>
  <c r="Z225" i="7"/>
  <c r="U223" i="8" s="1"/>
  <c r="V223" s="1"/>
  <c r="Z221" i="7"/>
  <c r="U219" i="8" s="1"/>
  <c r="V219" s="1"/>
  <c r="Z230" i="7"/>
  <c r="U228" i="8" s="1"/>
  <c r="V228" s="1"/>
  <c r="Z226" i="7"/>
  <c r="U224" i="8" s="1"/>
  <c r="V224" s="1"/>
  <c r="Z222" i="7"/>
  <c r="U220" i="8" s="1"/>
  <c r="V220" s="1"/>
  <c r="Z218" i="7"/>
  <c r="U216" i="8" s="1"/>
  <c r="V216" s="1"/>
  <c r="Z227" i="7"/>
  <c r="U225" i="8" s="1"/>
  <c r="V225" s="1"/>
  <c r="Z223" i="7"/>
  <c r="U221" i="8" s="1"/>
  <c r="V221" s="1"/>
  <c r="Z219" i="7"/>
  <c r="U217" i="8" s="1"/>
  <c r="V217" s="1"/>
  <c r="Z228" i="7"/>
  <c r="U226" i="8" s="1"/>
  <c r="V226" s="1"/>
  <c r="Z224" i="7"/>
  <c r="U222" i="8" s="1"/>
  <c r="V222" s="1"/>
  <c r="Z220" i="7"/>
  <c r="U218" i="8" s="1"/>
  <c r="V218" s="1"/>
  <c r="U29"/>
  <c r="V29" s="1"/>
  <c r="Z74" i="7"/>
  <c r="U72" i="8" s="1"/>
  <c r="V72" s="1"/>
  <c r="Z66" i="7"/>
  <c r="U64" i="8" s="1"/>
  <c r="V64" s="1"/>
  <c r="Z75" i="7"/>
  <c r="U73" i="8" s="1"/>
  <c r="V73" s="1"/>
  <c r="Z71" i="7"/>
  <c r="U69" i="8" s="1"/>
  <c r="V69" s="1"/>
  <c r="Z67" i="7"/>
  <c r="U65" i="8" s="1"/>
  <c r="V65" s="1"/>
  <c r="Z76" i="7"/>
  <c r="U74" i="8" s="1"/>
  <c r="V74" s="1"/>
  <c r="Z72" i="7"/>
  <c r="U70" i="8" s="1"/>
  <c r="V70" s="1"/>
  <c r="Z68" i="7"/>
  <c r="U66" i="8" s="1"/>
  <c r="V66" s="1"/>
  <c r="Z73" i="7"/>
  <c r="U71" i="8" s="1"/>
  <c r="V71" s="1"/>
  <c r="Z69" i="7"/>
  <c r="U67" i="8" s="1"/>
  <c r="V67" s="1"/>
  <c r="Z65" i="7"/>
  <c r="U63" i="8" s="1"/>
  <c r="V63" s="1"/>
  <c r="Z70" i="7"/>
  <c r="U68" i="8" s="1"/>
  <c r="V68" s="1"/>
  <c r="U34"/>
  <c r="V34" s="1"/>
  <c r="Z128" i="7"/>
  <c r="U126" i="8" s="1"/>
  <c r="V126" s="1"/>
  <c r="Z124" i="7"/>
  <c r="U122" i="8" s="1"/>
  <c r="V122" s="1"/>
  <c r="Z120" i="7"/>
  <c r="U118" i="8" s="1"/>
  <c r="V118" s="1"/>
  <c r="Z129" i="7"/>
  <c r="U127" i="8" s="1"/>
  <c r="V127" s="1"/>
  <c r="Z125" i="7"/>
  <c r="U123" i="8" s="1"/>
  <c r="V123" s="1"/>
  <c r="Z121" i="7"/>
  <c r="U119" i="8" s="1"/>
  <c r="V119" s="1"/>
  <c r="Z117" i="7"/>
  <c r="U115" i="8" s="1"/>
  <c r="V115" s="1"/>
  <c r="Z130" i="7"/>
  <c r="U128" i="8" s="1"/>
  <c r="V128" s="1"/>
  <c r="Z126" i="7"/>
  <c r="U124" i="8" s="1"/>
  <c r="V124" s="1"/>
  <c r="Z122" i="7"/>
  <c r="U120" i="8" s="1"/>
  <c r="V120" s="1"/>
  <c r="Z118" i="7"/>
  <c r="U116" i="8" s="1"/>
  <c r="V116" s="1"/>
  <c r="Z131" i="7"/>
  <c r="U129" i="8" s="1"/>
  <c r="V129" s="1"/>
  <c r="Z127" i="7"/>
  <c r="U125" i="8" s="1"/>
  <c r="V125" s="1"/>
  <c r="Z123" i="7"/>
  <c r="U121" i="8" s="1"/>
  <c r="V121" s="1"/>
  <c r="Z119" i="7"/>
  <c r="U117" i="8" s="1"/>
  <c r="V117" s="1"/>
  <c r="U38"/>
  <c r="V38" s="1"/>
  <c r="Z168" i="7"/>
  <c r="U166" i="8" s="1"/>
  <c r="V166" s="1"/>
  <c r="Z164" i="7"/>
  <c r="U162" i="8" s="1"/>
  <c r="V162" s="1"/>
  <c r="Z160" i="7"/>
  <c r="U158" i="8" s="1"/>
  <c r="V158" s="1"/>
  <c r="Z165" i="7"/>
  <c r="U163" i="8" s="1"/>
  <c r="V163" s="1"/>
  <c r="Z161" i="7"/>
  <c r="U159" i="8" s="1"/>
  <c r="V159" s="1"/>
  <c r="Z157" i="7"/>
  <c r="U155" i="8" s="1"/>
  <c r="V155" s="1"/>
  <c r="Z166" i="7"/>
  <c r="U164" i="8" s="1"/>
  <c r="V164" s="1"/>
  <c r="Z162" i="7"/>
  <c r="U160" i="8" s="1"/>
  <c r="V160" s="1"/>
  <c r="Z158" i="7"/>
  <c r="U156" i="8" s="1"/>
  <c r="V156" s="1"/>
  <c r="Z167" i="7"/>
  <c r="U165" i="8" s="1"/>
  <c r="V165" s="1"/>
  <c r="Z163" i="7"/>
  <c r="U161" i="8" s="1"/>
  <c r="V161" s="1"/>
  <c r="Z159" i="7"/>
  <c r="U157" i="8" s="1"/>
  <c r="V157" s="1"/>
  <c r="U42"/>
  <c r="V42" s="1"/>
  <c r="Z216" i="7"/>
  <c r="U214" i="8" s="1"/>
  <c r="V214" s="1"/>
  <c r="Z212" i="7"/>
  <c r="U210" i="8" s="1"/>
  <c r="V210" s="1"/>
  <c r="Z208" i="7"/>
  <c r="U206" i="8" s="1"/>
  <c r="V206" s="1"/>
  <c r="Z213" i="7"/>
  <c r="U211" i="8" s="1"/>
  <c r="V211" s="1"/>
  <c r="Z209" i="7"/>
  <c r="U207" i="8" s="1"/>
  <c r="V207" s="1"/>
  <c r="Z205" i="7"/>
  <c r="U203" i="8" s="1"/>
  <c r="V203" s="1"/>
  <c r="Z214" i="7"/>
  <c r="U212" i="8" s="1"/>
  <c r="V212" s="1"/>
  <c r="Z210" i="7"/>
  <c r="U208" i="8" s="1"/>
  <c r="V208" s="1"/>
  <c r="Z206" i="7"/>
  <c r="U204" i="8" s="1"/>
  <c r="V204" s="1"/>
  <c r="Z215" i="7"/>
  <c r="U213" i="8" s="1"/>
  <c r="V213" s="1"/>
  <c r="Z211" i="7"/>
  <c r="U209" i="8" s="1"/>
  <c r="V209" s="1"/>
  <c r="Z207" i="7"/>
  <c r="U205" i="8" s="1"/>
  <c r="V205" s="1"/>
  <c r="U46"/>
  <c r="V46" s="1"/>
  <c r="Z251" i="7"/>
  <c r="U249" i="8" s="1"/>
  <c r="V249" s="1"/>
  <c r="Z264" i="7"/>
  <c r="U262" i="8" s="1"/>
  <c r="V262" s="1"/>
  <c r="Z256" i="7"/>
  <c r="U254" i="8" s="1"/>
  <c r="V254" s="1"/>
  <c r="Z265" i="7"/>
  <c r="U263" i="8" s="1"/>
  <c r="V263" s="1"/>
  <c r="Z261" i="7"/>
  <c r="U259" i="8" s="1"/>
  <c r="V259" s="1"/>
  <c r="Z257" i="7"/>
  <c r="U255" i="8" s="1"/>
  <c r="V255" s="1"/>
  <c r="Z253" i="7"/>
  <c r="U251" i="8" s="1"/>
  <c r="V251" s="1"/>
  <c r="Z262" i="7"/>
  <c r="U260" i="8" s="1"/>
  <c r="V260" s="1"/>
  <c r="Z258" i="7"/>
  <c r="U256" i="8" s="1"/>
  <c r="V256" s="1"/>
  <c r="Z254" i="7"/>
  <c r="U252" i="8" s="1"/>
  <c r="V252" s="1"/>
  <c r="Z263" i="7"/>
  <c r="U261" i="8" s="1"/>
  <c r="V261" s="1"/>
  <c r="Z259" i="7"/>
  <c r="U257" i="8" s="1"/>
  <c r="V257" s="1"/>
  <c r="Z255" i="7"/>
  <c r="U253" i="8" s="1"/>
  <c r="V253" s="1"/>
  <c r="Z260" i="7"/>
  <c r="U258" i="8" s="1"/>
  <c r="V258" s="1"/>
  <c r="Z252" i="7"/>
  <c r="U250" i="8" s="1"/>
  <c r="V250" s="1"/>
  <c r="U50"/>
  <c r="V50" s="1"/>
  <c r="Z323" i="7"/>
  <c r="U321" i="8" s="1"/>
  <c r="V321" s="1"/>
  <c r="Z320" i="7"/>
  <c r="U318" i="8" s="1"/>
  <c r="V318" s="1"/>
  <c r="Z329" i="7"/>
  <c r="U327" i="8" s="1"/>
  <c r="V327" s="1"/>
  <c r="Z325" i="7"/>
  <c r="U323" i="8" s="1"/>
  <c r="V323" s="1"/>
  <c r="Z321" i="7"/>
  <c r="U319" i="8" s="1"/>
  <c r="V319" s="1"/>
  <c r="Z330" i="7"/>
  <c r="U328" i="8" s="1"/>
  <c r="V328" s="1"/>
  <c r="Z326" i="7"/>
  <c r="U324" i="8" s="1"/>
  <c r="V324" s="1"/>
  <c r="Z322" i="7"/>
  <c r="U320" i="8" s="1"/>
  <c r="V320" s="1"/>
  <c r="Z318" i="7"/>
  <c r="U316" i="8" s="1"/>
  <c r="V316" s="1"/>
  <c r="Z331" i="7"/>
  <c r="U329" i="8" s="1"/>
  <c r="V329" s="1"/>
  <c r="Z327" i="7"/>
  <c r="U325" i="8" s="1"/>
  <c r="V325" s="1"/>
  <c r="Z319" i="7"/>
  <c r="U317" i="8" s="1"/>
  <c r="V317" s="1"/>
  <c r="Z332" i="7"/>
  <c r="U330" i="8" s="1"/>
  <c r="V330" s="1"/>
  <c r="Z328" i="7"/>
  <c r="U326" i="8" s="1"/>
  <c r="V326" s="1"/>
  <c r="Z324" i="7"/>
  <c r="U322" i="8" s="1"/>
  <c r="V322" s="1"/>
  <c r="U54"/>
  <c r="V54" s="1"/>
  <c r="Z380" i="7"/>
  <c r="U378" i="8" s="1"/>
  <c r="V378" s="1"/>
  <c r="Z377" i="7"/>
  <c r="U375" i="8" s="1"/>
  <c r="V375" s="1"/>
  <c r="Z373" i="7"/>
  <c r="U371" i="8" s="1"/>
  <c r="V371" s="1"/>
  <c r="Z369" i="7"/>
  <c r="U367" i="8" s="1"/>
  <c r="V367" s="1"/>
  <c r="Z378" i="7"/>
  <c r="U376" i="8" s="1"/>
  <c r="V376" s="1"/>
  <c r="Z374" i="7"/>
  <c r="U372" i="8" s="1"/>
  <c r="V372" s="1"/>
  <c r="Z370" i="7"/>
  <c r="U368" i="8" s="1"/>
  <c r="V368" s="1"/>
  <c r="Z379" i="7"/>
  <c r="U377" i="8" s="1"/>
  <c r="V377" s="1"/>
  <c r="Z375" i="7"/>
  <c r="U373" i="8" s="1"/>
  <c r="V373" s="1"/>
  <c r="Z371" i="7"/>
  <c r="U369" i="8" s="1"/>
  <c r="V369" s="1"/>
  <c r="Z376" i="7"/>
  <c r="U374" i="8" s="1"/>
  <c r="V374" s="1"/>
  <c r="Z372" i="7"/>
  <c r="U370" i="8" s="1"/>
  <c r="V370" s="1"/>
  <c r="AB14" i="7"/>
  <c r="AB15"/>
  <c r="AB39"/>
  <c r="AB47"/>
  <c r="AB55"/>
  <c r="AB12"/>
  <c r="AB17"/>
  <c r="AB13"/>
  <c r="AB33"/>
  <c r="AB37"/>
  <c r="AB41"/>
  <c r="AB45"/>
  <c r="AB49"/>
  <c r="AB53"/>
  <c r="U33" i="8"/>
  <c r="V33" s="1"/>
  <c r="Z115" i="7"/>
  <c r="U113" i="8" s="1"/>
  <c r="V113" s="1"/>
  <c r="Z111" i="7"/>
  <c r="U109" i="8" s="1"/>
  <c r="V109" s="1"/>
  <c r="Z107" i="7"/>
  <c r="U105" i="8" s="1"/>
  <c r="V105" s="1"/>
  <c r="Z103" i="7"/>
  <c r="U101" i="8" s="1"/>
  <c r="V101" s="1"/>
  <c r="Z112" i="7"/>
  <c r="U110" i="8" s="1"/>
  <c r="V110" s="1"/>
  <c r="Z108" i="7"/>
  <c r="U106" i="8" s="1"/>
  <c r="V106" s="1"/>
  <c r="Z104" i="7"/>
  <c r="U102" i="8" s="1"/>
  <c r="V102" s="1"/>
  <c r="Z113" i="7"/>
  <c r="U111" i="8" s="1"/>
  <c r="V111" s="1"/>
  <c r="Z109" i="7"/>
  <c r="U107" i="8" s="1"/>
  <c r="V107" s="1"/>
  <c r="Z105" i="7"/>
  <c r="U103" i="8" s="1"/>
  <c r="V103" s="1"/>
  <c r="Z114" i="7"/>
  <c r="U112" i="8" s="1"/>
  <c r="V112" s="1"/>
  <c r="Z110" i="7"/>
  <c r="U108" i="8" s="1"/>
  <c r="V108" s="1"/>
  <c r="Z106" i="7"/>
  <c r="U104" i="8" s="1"/>
  <c r="V104" s="1"/>
  <c r="U45"/>
  <c r="V45" s="1"/>
  <c r="Z247" i="7"/>
  <c r="U245" i="8" s="1"/>
  <c r="V245" s="1"/>
  <c r="Z248" i="7"/>
  <c r="U246" i="8" s="1"/>
  <c r="V246" s="1"/>
  <c r="Z244" i="7"/>
  <c r="U242" i="8" s="1"/>
  <c r="V242" s="1"/>
  <c r="Z249" i="7"/>
  <c r="U247" i="8" s="1"/>
  <c r="V247" s="1"/>
  <c r="Z245" i="7"/>
  <c r="U243" i="8" s="1"/>
  <c r="V243" s="1"/>
  <c r="Z246" i="7"/>
  <c r="U244" i="8" s="1"/>
  <c r="V244" s="1"/>
  <c r="Z242" i="7"/>
  <c r="U240" i="8" s="1"/>
  <c r="V240" s="1"/>
  <c r="Z243" i="7"/>
  <c r="U241" i="8" s="1"/>
  <c r="V241" s="1"/>
  <c r="U36"/>
  <c r="V36" s="1"/>
  <c r="Z145" i="7"/>
  <c r="U143" i="8" s="1"/>
  <c r="V143" s="1"/>
  <c r="Z146" i="7"/>
  <c r="U144" i="8" s="1"/>
  <c r="V144" s="1"/>
  <c r="Z142" i="7"/>
  <c r="U140" i="8" s="1"/>
  <c r="V140" s="1"/>
  <c r="Z147" i="7"/>
  <c r="U145" i="8" s="1"/>
  <c r="V145" s="1"/>
  <c r="Z143" i="7"/>
  <c r="U141" i="8" s="1"/>
  <c r="V141" s="1"/>
  <c r="Z148" i="7"/>
  <c r="U146" i="8" s="1"/>
  <c r="V146" s="1"/>
  <c r="Z144" i="7"/>
  <c r="U142" i="8" s="1"/>
  <c r="V142" s="1"/>
  <c r="Z141" i="7"/>
  <c r="U139" i="8" s="1"/>
  <c r="V139" s="1"/>
  <c r="U44"/>
  <c r="V44" s="1"/>
  <c r="Z238" i="7"/>
  <c r="U236" i="8" s="1"/>
  <c r="V236" s="1"/>
  <c r="Z239" i="7"/>
  <c r="U237" i="8" s="1"/>
  <c r="V237" s="1"/>
  <c r="Z235" i="7"/>
  <c r="U233" i="8" s="1"/>
  <c r="V233" s="1"/>
  <c r="Z240" i="7"/>
  <c r="U238" i="8" s="1"/>
  <c r="V238" s="1"/>
  <c r="Z236" i="7"/>
  <c r="U234" i="8" s="1"/>
  <c r="V234" s="1"/>
  <c r="Z232" i="7"/>
  <c r="U230" i="8" s="1"/>
  <c r="V230" s="1"/>
  <c r="Z237" i="7"/>
  <c r="U235" i="8" s="1"/>
  <c r="V235" s="1"/>
  <c r="Z233" i="7"/>
  <c r="U231" i="8" s="1"/>
  <c r="V231" s="1"/>
  <c r="Z234" i="7"/>
  <c r="U232" i="8" s="1"/>
  <c r="V232" s="1"/>
  <c r="U31"/>
  <c r="V31" s="1"/>
  <c r="Z89" i="7"/>
  <c r="U87" i="8" s="1"/>
  <c r="V87" s="1"/>
  <c r="Z85" i="7"/>
  <c r="U83" i="8" s="1"/>
  <c r="V83" s="1"/>
  <c r="Z90" i="7"/>
  <c r="U88" i="8" s="1"/>
  <c r="V88" s="1"/>
  <c r="Z86" i="7"/>
  <c r="U84" i="8" s="1"/>
  <c r="V84" s="1"/>
  <c r="Z91" i="7"/>
  <c r="U89" i="8" s="1"/>
  <c r="V89" s="1"/>
  <c r="Z87" i="7"/>
  <c r="U85" i="8" s="1"/>
  <c r="V85" s="1"/>
  <c r="Z88" i="7"/>
  <c r="U86" i="8" s="1"/>
  <c r="V86" s="1"/>
  <c r="Z84" i="7"/>
  <c r="U82" i="8" s="1"/>
  <c r="V82" s="1"/>
  <c r="U39"/>
  <c r="V39" s="1"/>
  <c r="Z181" i="7"/>
  <c r="U179" i="8" s="1"/>
  <c r="V179" s="1"/>
  <c r="Z177" i="7"/>
  <c r="U175" i="8" s="1"/>
  <c r="V175" s="1"/>
  <c r="Z173" i="7"/>
  <c r="U171" i="8" s="1"/>
  <c r="V171" s="1"/>
  <c r="Z182" i="7"/>
  <c r="U180" i="8" s="1"/>
  <c r="V180" s="1"/>
  <c r="Z178" i="7"/>
  <c r="U176" i="8" s="1"/>
  <c r="V176" s="1"/>
  <c r="Z174" i="7"/>
  <c r="U172" i="8" s="1"/>
  <c r="V172" s="1"/>
  <c r="Z170" i="7"/>
  <c r="U168" i="8" s="1"/>
  <c r="V168" s="1"/>
  <c r="Z179" i="7"/>
  <c r="U177" i="8" s="1"/>
  <c r="V177" s="1"/>
  <c r="Z175" i="7"/>
  <c r="U173" i="8" s="1"/>
  <c r="V173" s="1"/>
  <c r="Z171" i="7"/>
  <c r="U169" i="8" s="1"/>
  <c r="V169" s="1"/>
  <c r="Z180" i="7"/>
  <c r="U178" i="8" s="1"/>
  <c r="V178" s="1"/>
  <c r="Z176" i="7"/>
  <c r="U174" i="8" s="1"/>
  <c r="V174" s="1"/>
  <c r="Z172" i="7"/>
  <c r="U170" i="8" s="1"/>
  <c r="V170" s="1"/>
  <c r="U47"/>
  <c r="V47" s="1"/>
  <c r="Z273" i="7"/>
  <c r="U271" i="8" s="1"/>
  <c r="V271" s="1"/>
  <c r="Z270" i="7"/>
  <c r="U268" i="8" s="1"/>
  <c r="V268" s="1"/>
  <c r="Z271" i="7"/>
  <c r="U269" i="8" s="1"/>
  <c r="V269" s="1"/>
  <c r="Z267" i="7"/>
  <c r="U265" i="8" s="1"/>
  <c r="V265" s="1"/>
  <c r="Z272" i="7"/>
  <c r="U270" i="8" s="1"/>
  <c r="V270" s="1"/>
  <c r="Z268" i="7"/>
  <c r="U266" i="8" s="1"/>
  <c r="V266" s="1"/>
  <c r="Z269" i="7"/>
  <c r="U267" i="8" s="1"/>
  <c r="V267" s="1"/>
  <c r="U51"/>
  <c r="V51" s="1"/>
  <c r="Z337" i="7"/>
  <c r="U335" i="8" s="1"/>
  <c r="V335" s="1"/>
  <c r="Z342" i="7"/>
  <c r="U340" i="8" s="1"/>
  <c r="V340" s="1"/>
  <c r="Z338" i="7"/>
  <c r="U336" i="8" s="1"/>
  <c r="V336" s="1"/>
  <c r="Z334" i="7"/>
  <c r="U332" i="8" s="1"/>
  <c r="V332" s="1"/>
  <c r="Z343" i="7"/>
  <c r="U341" i="8" s="1"/>
  <c r="V341" s="1"/>
  <c r="Z339" i="7"/>
  <c r="U337" i="8" s="1"/>
  <c r="V337" s="1"/>
  <c r="Z335" i="7"/>
  <c r="U333" i="8" s="1"/>
  <c r="V333" s="1"/>
  <c r="Z344" i="7"/>
  <c r="U342" i="8" s="1"/>
  <c r="V342" s="1"/>
  <c r="Z340" i="7"/>
  <c r="U338" i="8" s="1"/>
  <c r="V338" s="1"/>
  <c r="Z336" i="7"/>
  <c r="U334" i="8" s="1"/>
  <c r="V334" s="1"/>
  <c r="Z341" i="7"/>
  <c r="U339" i="8" s="1"/>
  <c r="V339" s="1"/>
  <c r="AB10" i="7"/>
  <c r="AB11"/>
  <c r="AB35"/>
  <c r="AB43"/>
  <c r="AB51"/>
  <c r="AB16"/>
  <c r="AB34"/>
  <c r="AB38"/>
  <c r="AB42"/>
  <c r="AB46"/>
  <c r="AB50"/>
  <c r="AB54"/>
  <c r="AK381"/>
  <c r="AL381"/>
  <c r="AO381"/>
  <c r="AN381"/>
  <c r="AM381"/>
  <c r="AG57" l="1"/>
  <c r="AG29"/>
  <c r="AG19"/>
  <c r="AG8"/>
  <c r="AG381" l="1"/>
  <c r="AD31"/>
  <c r="AD380"/>
  <c r="AD379"/>
  <c r="AD378"/>
  <c r="AD377"/>
  <c r="AD376"/>
  <c r="AD375"/>
  <c r="AD374"/>
  <c r="AD373"/>
  <c r="AD372"/>
  <c r="AD371"/>
  <c r="AD370"/>
  <c r="AD369"/>
  <c r="AD367"/>
  <c r="AD366"/>
  <c r="AD365"/>
  <c r="AD364"/>
  <c r="AD363"/>
  <c r="AD362"/>
  <c r="AD361"/>
  <c r="AD360"/>
  <c r="AD359"/>
  <c r="AD358"/>
  <c r="AD356"/>
  <c r="AD355"/>
  <c r="AD354"/>
  <c r="AD353"/>
  <c r="AD352"/>
  <c r="AD351"/>
  <c r="AD350"/>
  <c r="AD349"/>
  <c r="AD348"/>
  <c r="AD347"/>
  <c r="AD346"/>
  <c r="AD344"/>
  <c r="AD343"/>
  <c r="AD342"/>
  <c r="AD341"/>
  <c r="AD340"/>
  <c r="AD339"/>
  <c r="AD338"/>
  <c r="AD337"/>
  <c r="AD336"/>
  <c r="AD335"/>
  <c r="AD334"/>
  <c r="AD332"/>
  <c r="AD331"/>
  <c r="AD330"/>
  <c r="AD329"/>
  <c r="AD328"/>
  <c r="AD327"/>
  <c r="AD326"/>
  <c r="AD325"/>
  <c r="AD324"/>
  <c r="AD323"/>
  <c r="AD322"/>
  <c r="AD321"/>
  <c r="AD320"/>
  <c r="AD319"/>
  <c r="AD318"/>
  <c r="AD316"/>
  <c r="AD315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3"/>
  <c r="AD272"/>
  <c r="AD271"/>
  <c r="AD270"/>
  <c r="AD269"/>
  <c r="AD268"/>
  <c r="AD267"/>
  <c r="AD265"/>
  <c r="AD264"/>
  <c r="AD263"/>
  <c r="AD262"/>
  <c r="AD261"/>
  <c r="AD260"/>
  <c r="AD259"/>
  <c r="AD258"/>
  <c r="AD257"/>
  <c r="AD256"/>
  <c r="AD255"/>
  <c r="AD254"/>
  <c r="AD253"/>
  <c r="AD252"/>
  <c r="AD251"/>
  <c r="AD249"/>
  <c r="AD248"/>
  <c r="AD247"/>
  <c r="AD246"/>
  <c r="AD245"/>
  <c r="AD244"/>
  <c r="AD243"/>
  <c r="AD242"/>
  <c r="AD240"/>
  <c r="AD239"/>
  <c r="AD238"/>
  <c r="AD237"/>
  <c r="AD236"/>
  <c r="AD235"/>
  <c r="AD234"/>
  <c r="AD233"/>
  <c r="AD232"/>
  <c r="AD230"/>
  <c r="AD229"/>
  <c r="AD228"/>
  <c r="AD227"/>
  <c r="AD226"/>
  <c r="AD225"/>
  <c r="AD224"/>
  <c r="AD223"/>
  <c r="AD222"/>
  <c r="AD221"/>
  <c r="AD220"/>
  <c r="AD219"/>
  <c r="AD218"/>
  <c r="AD216"/>
  <c r="AD215"/>
  <c r="AD214"/>
  <c r="AD213"/>
  <c r="AD212"/>
  <c r="AD211"/>
  <c r="AD210"/>
  <c r="AD209"/>
  <c r="AD208"/>
  <c r="AD207"/>
  <c r="AD206"/>
  <c r="AD205"/>
  <c r="AD203"/>
  <c r="AD202"/>
  <c r="AD201"/>
  <c r="AD200"/>
  <c r="AD199"/>
  <c r="AD198"/>
  <c r="AD197"/>
  <c r="AD196"/>
  <c r="AD195"/>
  <c r="AD194"/>
  <c r="AD193"/>
  <c r="AD192"/>
  <c r="AD191"/>
  <c r="AD189"/>
  <c r="AD188"/>
  <c r="AD187"/>
  <c r="AD186"/>
  <c r="AD185"/>
  <c r="AD184"/>
  <c r="AD182"/>
  <c r="AD181"/>
  <c r="AD180"/>
  <c r="AD179"/>
  <c r="AD178"/>
  <c r="AD177"/>
  <c r="AD176"/>
  <c r="AD175"/>
  <c r="AD174"/>
  <c r="AD173"/>
  <c r="AD172"/>
  <c r="AD171"/>
  <c r="AD170"/>
  <c r="AD168"/>
  <c r="AD167"/>
  <c r="AD166"/>
  <c r="AD165"/>
  <c r="AD164"/>
  <c r="AD163"/>
  <c r="AD162"/>
  <c r="AD161"/>
  <c r="AD160"/>
  <c r="AD159"/>
  <c r="AD158"/>
  <c r="AD157"/>
  <c r="AD155"/>
  <c r="AD154"/>
  <c r="AD153"/>
  <c r="AD152"/>
  <c r="AD151"/>
  <c r="AD150"/>
  <c r="AD148"/>
  <c r="AD147"/>
  <c r="AD146"/>
  <c r="AD145"/>
  <c r="AD144"/>
  <c r="AD143"/>
  <c r="AD142"/>
  <c r="AD141"/>
  <c r="AD139"/>
  <c r="AD138"/>
  <c r="AD137"/>
  <c r="AD136"/>
  <c r="AD135"/>
  <c r="AD134"/>
  <c r="AD133"/>
  <c r="AD131"/>
  <c r="AD130"/>
  <c r="AD129"/>
  <c r="AD128"/>
  <c r="AD127"/>
  <c r="AD126"/>
  <c r="AD125"/>
  <c r="AD124"/>
  <c r="AD123"/>
  <c r="AD122"/>
  <c r="AD121"/>
  <c r="AD120"/>
  <c r="AD119"/>
  <c r="AD118"/>
  <c r="AD117"/>
  <c r="AD115"/>
  <c r="AD114"/>
  <c r="AD113"/>
  <c r="AD112"/>
  <c r="AD111"/>
  <c r="AD110"/>
  <c r="AD109"/>
  <c r="AD108"/>
  <c r="AD107"/>
  <c r="AD106"/>
  <c r="AD105"/>
  <c r="AD104"/>
  <c r="AD103"/>
  <c r="AD101"/>
  <c r="AD100"/>
  <c r="AD99"/>
  <c r="AD98"/>
  <c r="AD97"/>
  <c r="AD96"/>
  <c r="AD95"/>
  <c r="AD94"/>
  <c r="AD93"/>
  <c r="AD91"/>
  <c r="AD90"/>
  <c r="AD89"/>
  <c r="AD88"/>
  <c r="AD87"/>
  <c r="AD86"/>
  <c r="AD85"/>
  <c r="AD84"/>
  <c r="AD82"/>
  <c r="AD81"/>
  <c r="AD80"/>
  <c r="AD79"/>
  <c r="AD78"/>
  <c r="AD76"/>
  <c r="AD75"/>
  <c r="AD74"/>
  <c r="AD73"/>
  <c r="AD72"/>
  <c r="AD71"/>
  <c r="AD70"/>
  <c r="AD69"/>
  <c r="AD68"/>
  <c r="AD67"/>
  <c r="AD66"/>
  <c r="AD65"/>
  <c r="AD63"/>
  <c r="AD62"/>
  <c r="AD61"/>
  <c r="AD60"/>
  <c r="AD59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0"/>
  <c r="AD28"/>
  <c r="AD27"/>
  <c r="AD26"/>
  <c r="AD25"/>
  <c r="AD24"/>
  <c r="AD23"/>
  <c r="AD22"/>
  <c r="AD21"/>
  <c r="AD20"/>
  <c r="AD10"/>
  <c r="AD11"/>
  <c r="AD12"/>
  <c r="AD13"/>
  <c r="AD14"/>
  <c r="AD15"/>
  <c r="AD16"/>
  <c r="AD17"/>
  <c r="AD18"/>
  <c r="AD9"/>
  <c r="H8"/>
  <c r="H29"/>
  <c r="J142" l="1"/>
  <c r="AB142" s="1"/>
  <c r="AE55"/>
  <c r="AE48"/>
  <c r="AE34"/>
  <c r="AJ34" s="1"/>
  <c r="AP34" s="1"/>
  <c r="AR34" s="1"/>
  <c r="F54" i="8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7"/>
  <c r="G7" s="1"/>
  <c r="AE32" i="7" l="1"/>
  <c r="AF32" s="1"/>
  <c r="AE36"/>
  <c r="AF36" s="1"/>
  <c r="AE40"/>
  <c r="AF40" s="1"/>
  <c r="AE44"/>
  <c r="AJ44" s="1"/>
  <c r="AP44" s="1"/>
  <c r="AE52"/>
  <c r="AJ52" s="1"/>
  <c r="AP52" s="1"/>
  <c r="AF48"/>
  <c r="AJ48"/>
  <c r="AP48" s="1"/>
  <c r="AR48" s="1"/>
  <c r="AE13"/>
  <c r="AE37"/>
  <c r="AE41"/>
  <c r="AE56"/>
  <c r="AE54"/>
  <c r="AF55"/>
  <c r="AJ55"/>
  <c r="AP55" s="1"/>
  <c r="AR55" s="1"/>
  <c r="AE17"/>
  <c r="AE33"/>
  <c r="AE45"/>
  <c r="AE30"/>
  <c r="AE53"/>
  <c r="AE16"/>
  <c r="AF34"/>
  <c r="AE42"/>
  <c r="AE50"/>
  <c r="AE14"/>
  <c r="AE46"/>
  <c r="AE18"/>
  <c r="AE10"/>
  <c r="AE31"/>
  <c r="AE35"/>
  <c r="AE39"/>
  <c r="AE43"/>
  <c r="AE47"/>
  <c r="AE51"/>
  <c r="B55" i="8"/>
  <c r="B27"/>
  <c r="B6"/>
  <c r="AF44" i="7" l="1"/>
  <c r="AJ40"/>
  <c r="AP40" s="1"/>
  <c r="AR40" s="1"/>
  <c r="AJ36"/>
  <c r="AP36" s="1"/>
  <c r="AQ36" s="1"/>
  <c r="AR36" s="1"/>
  <c r="AF52"/>
  <c r="AJ32"/>
  <c r="AP32" s="1"/>
  <c r="AR32" s="1"/>
  <c r="AQ44"/>
  <c r="AR44" s="1"/>
  <c r="AQ52"/>
  <c r="AR52" s="1"/>
  <c r="AF33"/>
  <c r="AJ33"/>
  <c r="AP33" s="1"/>
  <c r="AR33" s="1"/>
  <c r="AF54"/>
  <c r="AJ54"/>
  <c r="AP54" s="1"/>
  <c r="AR54" s="1"/>
  <c r="AF18"/>
  <c r="AJ18"/>
  <c r="AP18" s="1"/>
  <c r="AF30"/>
  <c r="AJ30"/>
  <c r="AP30" s="1"/>
  <c r="AR30" s="1"/>
  <c r="AF13"/>
  <c r="AJ13"/>
  <c r="AP13" s="1"/>
  <c r="AR13" s="1"/>
  <c r="AF31"/>
  <c r="AJ31"/>
  <c r="AP31" s="1"/>
  <c r="AR31" s="1"/>
  <c r="AF10"/>
  <c r="AJ10"/>
  <c r="AP10" s="1"/>
  <c r="AR10" s="1"/>
  <c r="AF53"/>
  <c r="AJ53"/>
  <c r="AP53" s="1"/>
  <c r="AQ53" s="1"/>
  <c r="AR53" s="1"/>
  <c r="AF51"/>
  <c r="AJ51"/>
  <c r="AP51" s="1"/>
  <c r="AR51" s="1"/>
  <c r="AF35"/>
  <c r="AJ35"/>
  <c r="AP35" s="1"/>
  <c r="AR35" s="1"/>
  <c r="AF50"/>
  <c r="AJ50"/>
  <c r="AP50" s="1"/>
  <c r="AF41"/>
  <c r="AJ41"/>
  <c r="AP41" s="1"/>
  <c r="AR41" s="1"/>
  <c r="AF43"/>
  <c r="AJ43"/>
  <c r="AP43" s="1"/>
  <c r="AR43" s="1"/>
  <c r="AF45"/>
  <c r="AJ45"/>
  <c r="AP45" s="1"/>
  <c r="AR45" s="1"/>
  <c r="AF47"/>
  <c r="AJ47"/>
  <c r="AP47" s="1"/>
  <c r="AF37"/>
  <c r="AJ37"/>
  <c r="AP37" s="1"/>
  <c r="AR37" s="1"/>
  <c r="AF39"/>
  <c r="AJ39"/>
  <c r="AP39" s="1"/>
  <c r="AR39" s="1"/>
  <c r="AF46"/>
  <c r="AJ46"/>
  <c r="AP46" s="1"/>
  <c r="AR46" s="1"/>
  <c r="AF14"/>
  <c r="AJ14"/>
  <c r="AP14" s="1"/>
  <c r="AR14" s="1"/>
  <c r="AF42"/>
  <c r="AJ42"/>
  <c r="AP42" s="1"/>
  <c r="AR42" s="1"/>
  <c r="AF16"/>
  <c r="AJ16"/>
  <c r="AP16" s="1"/>
  <c r="AR16" s="1"/>
  <c r="AF17"/>
  <c r="AJ17"/>
  <c r="AP17" s="1"/>
  <c r="AR17" s="1"/>
  <c r="AF56"/>
  <c r="AJ56"/>
  <c r="AP56" s="1"/>
  <c r="AE38"/>
  <c r="AE49"/>
  <c r="AE11"/>
  <c r="AE9"/>
  <c r="AJ9" s="1"/>
  <c r="AP9" s="1"/>
  <c r="AE12"/>
  <c r="AE15"/>
  <c r="T55" i="8"/>
  <c r="N55"/>
  <c r="Q55"/>
  <c r="AQ56" i="7" l="1"/>
  <c r="AR56" s="1"/>
  <c r="AR47"/>
  <c r="AQ47"/>
  <c r="AQ50"/>
  <c r="AR50"/>
  <c r="AQ9"/>
  <c r="AR9" s="1"/>
  <c r="AQ18"/>
  <c r="AR18" s="1"/>
  <c r="AF12"/>
  <c r="AJ12"/>
  <c r="AP12" s="1"/>
  <c r="AR12" s="1"/>
  <c r="AF15"/>
  <c r="AJ15"/>
  <c r="AP15" s="1"/>
  <c r="AF38"/>
  <c r="AJ38"/>
  <c r="AP38" s="1"/>
  <c r="AR38" s="1"/>
  <c r="AF49"/>
  <c r="AJ49"/>
  <c r="AP49" s="1"/>
  <c r="AF11"/>
  <c r="AJ11"/>
  <c r="AP11" s="1"/>
  <c r="AF9"/>
  <c r="N17" i="8"/>
  <c r="T27"/>
  <c r="T379" s="1"/>
  <c r="Q27"/>
  <c r="Q379" s="1"/>
  <c r="N27"/>
  <c r="N6"/>
  <c r="AQ49" i="7" l="1"/>
  <c r="AR49" s="1"/>
  <c r="AF29"/>
  <c r="AQ11"/>
  <c r="AR11" s="1"/>
  <c r="AQ15"/>
  <c r="AR15" s="1"/>
  <c r="N379" i="8"/>
  <c r="AQ8" i="7" l="1"/>
  <c r="AQ29"/>
  <c r="I29" i="8" l="1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7"/>
  <c r="J7" s="1"/>
  <c r="C25"/>
  <c r="D25" s="1"/>
  <c r="C24"/>
  <c r="D24" s="1"/>
  <c r="C23"/>
  <c r="D23" s="1"/>
  <c r="C22"/>
  <c r="D22" s="1"/>
  <c r="C21"/>
  <c r="D21" s="1"/>
  <c r="C20"/>
  <c r="D20" s="1"/>
  <c r="C19"/>
  <c r="D19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X12" l="1"/>
  <c r="X8"/>
  <c r="X13"/>
  <c r="X9"/>
  <c r="X14"/>
  <c r="X10"/>
  <c r="X15"/>
  <c r="X11"/>
  <c r="I28"/>
  <c r="J28" s="1"/>
  <c r="J59" i="7"/>
  <c r="AB59" s="1"/>
  <c r="C28" i="8"/>
  <c r="D28" s="1"/>
  <c r="C36"/>
  <c r="D36" s="1"/>
  <c r="X36" s="1"/>
  <c r="C44"/>
  <c r="D44" s="1"/>
  <c r="X44" s="1"/>
  <c r="C52"/>
  <c r="D52" s="1"/>
  <c r="X52" s="1"/>
  <c r="C63"/>
  <c r="D63" s="1"/>
  <c r="C71"/>
  <c r="D71" s="1"/>
  <c r="C80"/>
  <c r="D80" s="1"/>
  <c r="C89"/>
  <c r="D89" s="1"/>
  <c r="C98"/>
  <c r="D98" s="1"/>
  <c r="C107"/>
  <c r="D107" s="1"/>
  <c r="C116"/>
  <c r="D116" s="1"/>
  <c r="C124"/>
  <c r="D124" s="1"/>
  <c r="C133"/>
  <c r="D133" s="1"/>
  <c r="C142"/>
  <c r="D142" s="1"/>
  <c r="C151"/>
  <c r="D151" s="1"/>
  <c r="C160"/>
  <c r="D160" s="1"/>
  <c r="C169"/>
  <c r="D169" s="1"/>
  <c r="C177"/>
  <c r="D177" s="1"/>
  <c r="C186"/>
  <c r="D186" s="1"/>
  <c r="C195"/>
  <c r="D195" s="1"/>
  <c r="C204"/>
  <c r="D204" s="1"/>
  <c r="C212"/>
  <c r="D212" s="1"/>
  <c r="C221"/>
  <c r="D221" s="1"/>
  <c r="C230"/>
  <c r="D230" s="1"/>
  <c r="C238"/>
  <c r="D238" s="1"/>
  <c r="C247"/>
  <c r="D247" s="1"/>
  <c r="C256"/>
  <c r="D256" s="1"/>
  <c r="C265"/>
  <c r="D265" s="1"/>
  <c r="C274"/>
  <c r="D274" s="1"/>
  <c r="C282"/>
  <c r="D282" s="1"/>
  <c r="C291"/>
  <c r="D291" s="1"/>
  <c r="C299"/>
  <c r="D299" s="1"/>
  <c r="C307"/>
  <c r="D307" s="1"/>
  <c r="C316"/>
  <c r="D316" s="1"/>
  <c r="C328"/>
  <c r="D328" s="1"/>
  <c r="C337"/>
  <c r="D337" s="1"/>
  <c r="C341"/>
  <c r="D341" s="1"/>
  <c r="C350"/>
  <c r="D350" s="1"/>
  <c r="C359"/>
  <c r="D359" s="1"/>
  <c r="C369"/>
  <c r="D369" s="1"/>
  <c r="C18"/>
  <c r="D18" s="1"/>
  <c r="C26"/>
  <c r="D26" s="1"/>
  <c r="C35"/>
  <c r="D35" s="1"/>
  <c r="X35" s="1"/>
  <c r="C43"/>
  <c r="D43" s="1"/>
  <c r="X43" s="1"/>
  <c r="C51"/>
  <c r="D51" s="1"/>
  <c r="X51" s="1"/>
  <c r="C61"/>
  <c r="D61" s="1"/>
  <c r="C74"/>
  <c r="D74" s="1"/>
  <c r="C84"/>
  <c r="D84" s="1"/>
  <c r="C88"/>
  <c r="D88" s="1"/>
  <c r="C97"/>
  <c r="D97" s="1"/>
  <c r="C110"/>
  <c r="D110" s="1"/>
  <c r="C119"/>
  <c r="D119" s="1"/>
  <c r="C123"/>
  <c r="D123" s="1"/>
  <c r="C132"/>
  <c r="D132" s="1"/>
  <c r="C141"/>
  <c r="D141" s="1"/>
  <c r="C155"/>
  <c r="D155" s="1"/>
  <c r="C159"/>
  <c r="D159" s="1"/>
  <c r="C168"/>
  <c r="D168" s="1"/>
  <c r="C176"/>
  <c r="D176" s="1"/>
  <c r="C185"/>
  <c r="D185" s="1"/>
  <c r="C194"/>
  <c r="D194" s="1"/>
  <c r="C203"/>
  <c r="D203" s="1"/>
  <c r="C211"/>
  <c r="D211" s="1"/>
  <c r="C220"/>
  <c r="D220" s="1"/>
  <c r="C233"/>
  <c r="D233" s="1"/>
  <c r="C237"/>
  <c r="D237" s="1"/>
  <c r="C246"/>
  <c r="D246" s="1"/>
  <c r="C259"/>
  <c r="D259" s="1"/>
  <c r="C263"/>
  <c r="D263" s="1"/>
  <c r="C277"/>
  <c r="D277" s="1"/>
  <c r="C285"/>
  <c r="D285" s="1"/>
  <c r="C294"/>
  <c r="D294" s="1"/>
  <c r="C302"/>
  <c r="D302" s="1"/>
  <c r="C310"/>
  <c r="D310" s="1"/>
  <c r="C319"/>
  <c r="D319" s="1"/>
  <c r="C327"/>
  <c r="D327" s="1"/>
  <c r="C336"/>
  <c r="D336" s="1"/>
  <c r="C345"/>
  <c r="D345" s="1"/>
  <c r="C353"/>
  <c r="D353" s="1"/>
  <c r="C362"/>
  <c r="D362" s="1"/>
  <c r="C372"/>
  <c r="D372" s="1"/>
  <c r="C16"/>
  <c r="D16" s="1"/>
  <c r="X16" s="1"/>
  <c r="C30"/>
  <c r="D30" s="1"/>
  <c r="X30" s="1"/>
  <c r="C34"/>
  <c r="D34" s="1"/>
  <c r="X34" s="1"/>
  <c r="C38"/>
  <c r="D38" s="1"/>
  <c r="X38" s="1"/>
  <c r="C42"/>
  <c r="D42" s="1"/>
  <c r="X42" s="1"/>
  <c r="C46"/>
  <c r="D46" s="1"/>
  <c r="X46" s="1"/>
  <c r="C50"/>
  <c r="D50" s="1"/>
  <c r="X50" s="1"/>
  <c r="C54"/>
  <c r="D54" s="1"/>
  <c r="X54" s="1"/>
  <c r="C60"/>
  <c r="D60" s="1"/>
  <c r="C65"/>
  <c r="D65" s="1"/>
  <c r="C69"/>
  <c r="D69" s="1"/>
  <c r="C73"/>
  <c r="D73" s="1"/>
  <c r="C78"/>
  <c r="D78" s="1"/>
  <c r="C83"/>
  <c r="D83" s="1"/>
  <c r="C87"/>
  <c r="D87" s="1"/>
  <c r="C92"/>
  <c r="D92" s="1"/>
  <c r="C96"/>
  <c r="D96" s="1"/>
  <c r="C101"/>
  <c r="D101" s="1"/>
  <c r="C105"/>
  <c r="D105" s="1"/>
  <c r="C109"/>
  <c r="D109" s="1"/>
  <c r="C113"/>
  <c r="D113" s="1"/>
  <c r="C118"/>
  <c r="D118" s="1"/>
  <c r="C122"/>
  <c r="D122" s="1"/>
  <c r="C126"/>
  <c r="D126" s="1"/>
  <c r="C131"/>
  <c r="D131" s="1"/>
  <c r="C135"/>
  <c r="D135" s="1"/>
  <c r="C140"/>
  <c r="D140" s="1"/>
  <c r="C144"/>
  <c r="D144" s="1"/>
  <c r="C149"/>
  <c r="D149" s="1"/>
  <c r="C153"/>
  <c r="D153" s="1"/>
  <c r="C158"/>
  <c r="D158" s="1"/>
  <c r="C162"/>
  <c r="D162" s="1"/>
  <c r="C166"/>
  <c r="D166" s="1"/>
  <c r="C171"/>
  <c r="D171" s="1"/>
  <c r="C175"/>
  <c r="D175" s="1"/>
  <c r="C179"/>
  <c r="D179" s="1"/>
  <c r="C184"/>
  <c r="D184" s="1"/>
  <c r="C189"/>
  <c r="D189" s="1"/>
  <c r="C193"/>
  <c r="D193" s="1"/>
  <c r="C197"/>
  <c r="D197" s="1"/>
  <c r="C201"/>
  <c r="D201" s="1"/>
  <c r="C206"/>
  <c r="D206" s="1"/>
  <c r="C210"/>
  <c r="D210" s="1"/>
  <c r="C214"/>
  <c r="D214" s="1"/>
  <c r="C219"/>
  <c r="D219" s="1"/>
  <c r="C223"/>
  <c r="D223" s="1"/>
  <c r="C227"/>
  <c r="D227" s="1"/>
  <c r="C232"/>
  <c r="D232" s="1"/>
  <c r="C236"/>
  <c r="D236" s="1"/>
  <c r="C241"/>
  <c r="D241" s="1"/>
  <c r="C245"/>
  <c r="D245" s="1"/>
  <c r="C250"/>
  <c r="D250" s="1"/>
  <c r="C254"/>
  <c r="D254" s="1"/>
  <c r="C258"/>
  <c r="D258" s="1"/>
  <c r="C262"/>
  <c r="D262" s="1"/>
  <c r="C267"/>
  <c r="D267" s="1"/>
  <c r="C271"/>
  <c r="D271" s="1"/>
  <c r="C276"/>
  <c r="D276" s="1"/>
  <c r="C280"/>
  <c r="D280" s="1"/>
  <c r="C284"/>
  <c r="D284" s="1"/>
  <c r="C288"/>
  <c r="D288" s="1"/>
  <c r="C293"/>
  <c r="D293" s="1"/>
  <c r="C297"/>
  <c r="D297" s="1"/>
  <c r="C301"/>
  <c r="D301" s="1"/>
  <c r="C305"/>
  <c r="D305" s="1"/>
  <c r="C309"/>
  <c r="D309" s="1"/>
  <c r="C313"/>
  <c r="D313" s="1"/>
  <c r="C318"/>
  <c r="D318" s="1"/>
  <c r="C322"/>
  <c r="D322" s="1"/>
  <c r="C326"/>
  <c r="D326" s="1"/>
  <c r="C330"/>
  <c r="D330" s="1"/>
  <c r="C335"/>
  <c r="D335" s="1"/>
  <c r="C339"/>
  <c r="D339" s="1"/>
  <c r="C344"/>
  <c r="D344" s="1"/>
  <c r="C348"/>
  <c r="D348" s="1"/>
  <c r="C352"/>
  <c r="D352" s="1"/>
  <c r="C357"/>
  <c r="D357" s="1"/>
  <c r="C361"/>
  <c r="D361" s="1"/>
  <c r="C365"/>
  <c r="D365" s="1"/>
  <c r="C371"/>
  <c r="D371" s="1"/>
  <c r="C375"/>
  <c r="D375" s="1"/>
  <c r="C367"/>
  <c r="D367" s="1"/>
  <c r="C32"/>
  <c r="D32" s="1"/>
  <c r="X32" s="1"/>
  <c r="C40"/>
  <c r="D40" s="1"/>
  <c r="X40" s="1"/>
  <c r="C48"/>
  <c r="D48" s="1"/>
  <c r="X48" s="1"/>
  <c r="C58"/>
  <c r="D58" s="1"/>
  <c r="C67"/>
  <c r="D67" s="1"/>
  <c r="C76"/>
  <c r="D76" s="1"/>
  <c r="C85"/>
  <c r="D85" s="1"/>
  <c r="C94"/>
  <c r="D94" s="1"/>
  <c r="C103"/>
  <c r="D103" s="1"/>
  <c r="C111"/>
  <c r="D111" s="1"/>
  <c r="C120"/>
  <c r="D120" s="1"/>
  <c r="C128"/>
  <c r="D128" s="1"/>
  <c r="C137"/>
  <c r="D137" s="1"/>
  <c r="C146"/>
  <c r="D146" s="1"/>
  <c r="C156"/>
  <c r="D156" s="1"/>
  <c r="C164"/>
  <c r="D164" s="1"/>
  <c r="C173"/>
  <c r="D173" s="1"/>
  <c r="C182"/>
  <c r="D182" s="1"/>
  <c r="C191"/>
  <c r="D191" s="1"/>
  <c r="C199"/>
  <c r="D199" s="1"/>
  <c r="C208"/>
  <c r="D208" s="1"/>
  <c r="C217"/>
  <c r="D217" s="1"/>
  <c r="C225"/>
  <c r="D225" s="1"/>
  <c r="C234"/>
  <c r="D234" s="1"/>
  <c r="C243"/>
  <c r="D243" s="1"/>
  <c r="C252"/>
  <c r="D252" s="1"/>
  <c r="C260"/>
  <c r="D260" s="1"/>
  <c r="C269"/>
  <c r="D269" s="1"/>
  <c r="C278"/>
  <c r="D278" s="1"/>
  <c r="C286"/>
  <c r="D286" s="1"/>
  <c r="C295"/>
  <c r="D295" s="1"/>
  <c r="C303"/>
  <c r="D303" s="1"/>
  <c r="C311"/>
  <c r="D311" s="1"/>
  <c r="C320"/>
  <c r="D320" s="1"/>
  <c r="C324"/>
  <c r="D324" s="1"/>
  <c r="C333"/>
  <c r="D333" s="1"/>
  <c r="C346"/>
  <c r="D346" s="1"/>
  <c r="C354"/>
  <c r="D354" s="1"/>
  <c r="C363"/>
  <c r="D363" s="1"/>
  <c r="C373"/>
  <c r="D373" s="1"/>
  <c r="C377"/>
  <c r="D377" s="1"/>
  <c r="C31"/>
  <c r="D31" s="1"/>
  <c r="X31" s="1"/>
  <c r="C39"/>
  <c r="D39" s="1"/>
  <c r="X39" s="1"/>
  <c r="C47"/>
  <c r="D47" s="1"/>
  <c r="X47" s="1"/>
  <c r="C57"/>
  <c r="D57" s="1"/>
  <c r="C66"/>
  <c r="D66" s="1"/>
  <c r="C70"/>
  <c r="D70" s="1"/>
  <c r="C79"/>
  <c r="D79" s="1"/>
  <c r="C93"/>
  <c r="D93" s="1"/>
  <c r="C102"/>
  <c r="D102" s="1"/>
  <c r="C106"/>
  <c r="D106" s="1"/>
  <c r="C115"/>
  <c r="D115" s="1"/>
  <c r="C127"/>
  <c r="D127" s="1"/>
  <c r="C136"/>
  <c r="D136" s="1"/>
  <c r="C145"/>
  <c r="D145" s="1"/>
  <c r="C150"/>
  <c r="D150" s="1"/>
  <c r="C163"/>
  <c r="D163" s="1"/>
  <c r="C172"/>
  <c r="D172" s="1"/>
  <c r="C180"/>
  <c r="D180" s="1"/>
  <c r="C190"/>
  <c r="D190" s="1"/>
  <c r="C198"/>
  <c r="D198" s="1"/>
  <c r="C207"/>
  <c r="D207" s="1"/>
  <c r="C216"/>
  <c r="D216" s="1"/>
  <c r="C224"/>
  <c r="D224" s="1"/>
  <c r="C228"/>
  <c r="D228" s="1"/>
  <c r="C242"/>
  <c r="D242" s="1"/>
  <c r="C251"/>
  <c r="D251" s="1"/>
  <c r="C255"/>
  <c r="D255" s="1"/>
  <c r="C268"/>
  <c r="D268" s="1"/>
  <c r="C273"/>
  <c r="D273" s="1"/>
  <c r="C281"/>
  <c r="D281" s="1"/>
  <c r="C289"/>
  <c r="D289" s="1"/>
  <c r="C298"/>
  <c r="D298" s="1"/>
  <c r="C306"/>
  <c r="D306" s="1"/>
  <c r="C314"/>
  <c r="D314" s="1"/>
  <c r="C323"/>
  <c r="D323" s="1"/>
  <c r="C332"/>
  <c r="D332" s="1"/>
  <c r="C340"/>
  <c r="D340" s="1"/>
  <c r="C349"/>
  <c r="D349" s="1"/>
  <c r="C358"/>
  <c r="D358" s="1"/>
  <c r="C368"/>
  <c r="D368" s="1"/>
  <c r="C376"/>
  <c r="D376" s="1"/>
  <c r="C7"/>
  <c r="D7" s="1"/>
  <c r="X7" s="1"/>
  <c r="C29"/>
  <c r="D29" s="1"/>
  <c r="X29" s="1"/>
  <c r="C33"/>
  <c r="D33" s="1"/>
  <c r="X33" s="1"/>
  <c r="C37"/>
  <c r="D37" s="1"/>
  <c r="X37" s="1"/>
  <c r="C41"/>
  <c r="D41" s="1"/>
  <c r="X41" s="1"/>
  <c r="C45"/>
  <c r="D45" s="1"/>
  <c r="X45" s="1"/>
  <c r="C49"/>
  <c r="D49" s="1"/>
  <c r="X49" s="1"/>
  <c r="C53"/>
  <c r="D53" s="1"/>
  <c r="X53" s="1"/>
  <c r="C59"/>
  <c r="D59" s="1"/>
  <c r="C64"/>
  <c r="D64" s="1"/>
  <c r="C68"/>
  <c r="D68" s="1"/>
  <c r="C72"/>
  <c r="D72" s="1"/>
  <c r="C77"/>
  <c r="D77" s="1"/>
  <c r="C82"/>
  <c r="D82" s="1"/>
  <c r="C86"/>
  <c r="D86" s="1"/>
  <c r="C91"/>
  <c r="D91" s="1"/>
  <c r="C95"/>
  <c r="D95" s="1"/>
  <c r="C99"/>
  <c r="D99" s="1"/>
  <c r="C104"/>
  <c r="D104" s="1"/>
  <c r="C108"/>
  <c r="D108" s="1"/>
  <c r="C112"/>
  <c r="D112" s="1"/>
  <c r="C117"/>
  <c r="D117" s="1"/>
  <c r="C121"/>
  <c r="D121" s="1"/>
  <c r="C125"/>
  <c r="D125" s="1"/>
  <c r="C129"/>
  <c r="D129" s="1"/>
  <c r="C134"/>
  <c r="D134" s="1"/>
  <c r="C139"/>
  <c r="D139" s="1"/>
  <c r="C143"/>
  <c r="D143" s="1"/>
  <c r="C148"/>
  <c r="D148" s="1"/>
  <c r="C152"/>
  <c r="D152" s="1"/>
  <c r="C157"/>
  <c r="D157" s="1"/>
  <c r="C161"/>
  <c r="D161" s="1"/>
  <c r="C165"/>
  <c r="D165" s="1"/>
  <c r="C170"/>
  <c r="D170" s="1"/>
  <c r="C174"/>
  <c r="D174" s="1"/>
  <c r="C178"/>
  <c r="D178" s="1"/>
  <c r="C183"/>
  <c r="D183" s="1"/>
  <c r="C187"/>
  <c r="D187" s="1"/>
  <c r="C192"/>
  <c r="D192" s="1"/>
  <c r="C196"/>
  <c r="D196" s="1"/>
  <c r="C200"/>
  <c r="D200" s="1"/>
  <c r="C205"/>
  <c r="D205" s="1"/>
  <c r="C209"/>
  <c r="D209" s="1"/>
  <c r="C213"/>
  <c r="D213" s="1"/>
  <c r="C218"/>
  <c r="D218" s="1"/>
  <c r="C222"/>
  <c r="D222" s="1"/>
  <c r="C226"/>
  <c r="D226" s="1"/>
  <c r="C231"/>
  <c r="D231" s="1"/>
  <c r="C235"/>
  <c r="D235" s="1"/>
  <c r="C240"/>
  <c r="D240" s="1"/>
  <c r="C244"/>
  <c r="D244" s="1"/>
  <c r="C253"/>
  <c r="D253" s="1"/>
  <c r="C257"/>
  <c r="D257" s="1"/>
  <c r="C261"/>
  <c r="D261" s="1"/>
  <c r="C266"/>
  <c r="D266" s="1"/>
  <c r="C270"/>
  <c r="D270" s="1"/>
  <c r="C275"/>
  <c r="D275" s="1"/>
  <c r="C279"/>
  <c r="D279" s="1"/>
  <c r="C283"/>
  <c r="D283" s="1"/>
  <c r="C287"/>
  <c r="D287" s="1"/>
  <c r="C292"/>
  <c r="D292" s="1"/>
  <c r="C296"/>
  <c r="D296" s="1"/>
  <c r="C300"/>
  <c r="D300" s="1"/>
  <c r="C304"/>
  <c r="D304" s="1"/>
  <c r="C308"/>
  <c r="D308" s="1"/>
  <c r="C312"/>
  <c r="D312" s="1"/>
  <c r="C317"/>
  <c r="D317" s="1"/>
  <c r="C321"/>
  <c r="D321" s="1"/>
  <c r="C325"/>
  <c r="D325" s="1"/>
  <c r="C329"/>
  <c r="D329" s="1"/>
  <c r="C334"/>
  <c r="D334" s="1"/>
  <c r="C338"/>
  <c r="D338" s="1"/>
  <c r="C342"/>
  <c r="D342" s="1"/>
  <c r="C347"/>
  <c r="D347" s="1"/>
  <c r="C351"/>
  <c r="D351" s="1"/>
  <c r="C356"/>
  <c r="D356" s="1"/>
  <c r="C360"/>
  <c r="D360" s="1"/>
  <c r="C364"/>
  <c r="D364" s="1"/>
  <c r="C370"/>
  <c r="D370" s="1"/>
  <c r="C374"/>
  <c r="D374" s="1"/>
  <c r="C378"/>
  <c r="D378" s="1"/>
  <c r="X28" l="1"/>
  <c r="AI57" i="7"/>
  <c r="AI29"/>
  <c r="AI19"/>
  <c r="AH57"/>
  <c r="AH29"/>
  <c r="AH19"/>
  <c r="AI8"/>
  <c r="AH8"/>
  <c r="I29"/>
  <c r="J375"/>
  <c r="J103"/>
  <c r="J380"/>
  <c r="J216"/>
  <c r="J101"/>
  <c r="J93"/>
  <c r="J379"/>
  <c r="J378"/>
  <c r="J377"/>
  <c r="J376"/>
  <c r="J374"/>
  <c r="J373"/>
  <c r="J372"/>
  <c r="J371"/>
  <c r="J370"/>
  <c r="J369"/>
  <c r="J367"/>
  <c r="J366"/>
  <c r="J365"/>
  <c r="J364"/>
  <c r="J363"/>
  <c r="J362"/>
  <c r="J361"/>
  <c r="J360"/>
  <c r="J359"/>
  <c r="J358"/>
  <c r="J356"/>
  <c r="J355"/>
  <c r="J354"/>
  <c r="J353"/>
  <c r="J352"/>
  <c r="J351"/>
  <c r="J350"/>
  <c r="J349"/>
  <c r="J348"/>
  <c r="J347"/>
  <c r="J346"/>
  <c r="J344"/>
  <c r="J343"/>
  <c r="J342"/>
  <c r="J341"/>
  <c r="J340"/>
  <c r="J339"/>
  <c r="J338"/>
  <c r="J337"/>
  <c r="J336"/>
  <c r="J335"/>
  <c r="J334"/>
  <c r="J332"/>
  <c r="J331"/>
  <c r="J330"/>
  <c r="J329"/>
  <c r="J328"/>
  <c r="J327"/>
  <c r="J326"/>
  <c r="J325"/>
  <c r="J324"/>
  <c r="J323"/>
  <c r="J322"/>
  <c r="J321"/>
  <c r="J320"/>
  <c r="J319"/>
  <c r="J318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3"/>
  <c r="J272"/>
  <c r="J271"/>
  <c r="J270"/>
  <c r="J269"/>
  <c r="J268"/>
  <c r="J267"/>
  <c r="J265"/>
  <c r="J264"/>
  <c r="J263"/>
  <c r="J262"/>
  <c r="J261"/>
  <c r="J260"/>
  <c r="J259"/>
  <c r="J258"/>
  <c r="J257"/>
  <c r="J256"/>
  <c r="J255"/>
  <c r="J254"/>
  <c r="J253"/>
  <c r="J252"/>
  <c r="J251"/>
  <c r="J249"/>
  <c r="J248"/>
  <c r="J247"/>
  <c r="J246"/>
  <c r="J245"/>
  <c r="J244"/>
  <c r="J243"/>
  <c r="J242"/>
  <c r="J240"/>
  <c r="J239"/>
  <c r="J238"/>
  <c r="J237"/>
  <c r="J236"/>
  <c r="J235"/>
  <c r="J234"/>
  <c r="J233"/>
  <c r="J232"/>
  <c r="J230"/>
  <c r="J229"/>
  <c r="J228"/>
  <c r="J227"/>
  <c r="J226"/>
  <c r="J225"/>
  <c r="J224"/>
  <c r="J223"/>
  <c r="J222"/>
  <c r="J221"/>
  <c r="J220"/>
  <c r="J219"/>
  <c r="J218"/>
  <c r="J215"/>
  <c r="J214"/>
  <c r="J213"/>
  <c r="J212"/>
  <c r="J211"/>
  <c r="J210"/>
  <c r="J209"/>
  <c r="J208"/>
  <c r="J207"/>
  <c r="J206"/>
  <c r="J205"/>
  <c r="J203"/>
  <c r="J202"/>
  <c r="J201"/>
  <c r="J200"/>
  <c r="J199"/>
  <c r="J198"/>
  <c r="J197"/>
  <c r="J196"/>
  <c r="J195"/>
  <c r="J194"/>
  <c r="J193"/>
  <c r="J192"/>
  <c r="J191"/>
  <c r="J189"/>
  <c r="J188"/>
  <c r="J187"/>
  <c r="J186"/>
  <c r="J185"/>
  <c r="J184"/>
  <c r="J182"/>
  <c r="J181"/>
  <c r="J180"/>
  <c r="J179"/>
  <c r="J178"/>
  <c r="J177"/>
  <c r="J176"/>
  <c r="J175"/>
  <c r="J174"/>
  <c r="J173"/>
  <c r="J172"/>
  <c r="J171"/>
  <c r="J170"/>
  <c r="J168"/>
  <c r="J167"/>
  <c r="J166"/>
  <c r="J165"/>
  <c r="J164"/>
  <c r="J163"/>
  <c r="J162"/>
  <c r="J161"/>
  <c r="J160"/>
  <c r="J159"/>
  <c r="J158"/>
  <c r="J157"/>
  <c r="J155"/>
  <c r="J154"/>
  <c r="J153"/>
  <c r="J152"/>
  <c r="J151"/>
  <c r="J150"/>
  <c r="J148"/>
  <c r="J147"/>
  <c r="J146"/>
  <c r="J145"/>
  <c r="J144"/>
  <c r="J143"/>
  <c r="I140" i="8"/>
  <c r="J140" s="1"/>
  <c r="J141" i="7"/>
  <c r="J139"/>
  <c r="J138"/>
  <c r="J137"/>
  <c r="J136"/>
  <c r="J135"/>
  <c r="J134"/>
  <c r="J133"/>
  <c r="J131"/>
  <c r="J130"/>
  <c r="J129"/>
  <c r="J128"/>
  <c r="J127"/>
  <c r="J126"/>
  <c r="J125"/>
  <c r="J124"/>
  <c r="J123"/>
  <c r="J122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0"/>
  <c r="J99"/>
  <c r="J98"/>
  <c r="J97"/>
  <c r="J96"/>
  <c r="J95"/>
  <c r="J94"/>
  <c r="J91"/>
  <c r="J90"/>
  <c r="J89"/>
  <c r="J88"/>
  <c r="J87"/>
  <c r="J86"/>
  <c r="J85"/>
  <c r="J84"/>
  <c r="J82"/>
  <c r="J81"/>
  <c r="J80"/>
  <c r="J79"/>
  <c r="J78"/>
  <c r="J76"/>
  <c r="J75"/>
  <c r="J74"/>
  <c r="J73"/>
  <c r="J72"/>
  <c r="J71"/>
  <c r="J70"/>
  <c r="J69"/>
  <c r="J68"/>
  <c r="J67"/>
  <c r="J66"/>
  <c r="J65"/>
  <c r="J63"/>
  <c r="J62"/>
  <c r="J61"/>
  <c r="J60"/>
  <c r="I57" i="8"/>
  <c r="J57" s="1"/>
  <c r="AE59" i="7"/>
  <c r="J28"/>
  <c r="I26" i="8" s="1"/>
  <c r="J26" s="1"/>
  <c r="J21" i="7"/>
  <c r="I19" i="8" s="1"/>
  <c r="J19" s="1"/>
  <c r="J22" i="7"/>
  <c r="I20" i="8" s="1"/>
  <c r="J20" s="1"/>
  <c r="J23" i="7"/>
  <c r="I21" i="8" s="1"/>
  <c r="J21" s="1"/>
  <c r="J24" i="7"/>
  <c r="I22" i="8" s="1"/>
  <c r="J22" s="1"/>
  <c r="J25" i="7"/>
  <c r="I23" i="8" s="1"/>
  <c r="J23" s="1"/>
  <c r="J26" i="7"/>
  <c r="I24" i="8" s="1"/>
  <c r="J24" s="1"/>
  <c r="J27" i="7"/>
  <c r="I25" i="8" s="1"/>
  <c r="J25" s="1"/>
  <c r="J20" i="7"/>
  <c r="I18" i="8" s="1"/>
  <c r="J18" s="1"/>
  <c r="F20" i="7"/>
  <c r="I8"/>
  <c r="B8"/>
  <c r="I150" i="8" l="1"/>
  <c r="J150" s="1"/>
  <c r="AB152" i="7"/>
  <c r="I61" i="8"/>
  <c r="J61" s="1"/>
  <c r="AB63" i="7"/>
  <c r="I66" i="8"/>
  <c r="J66" s="1"/>
  <c r="AB68" i="7"/>
  <c r="I70" i="8"/>
  <c r="J70" s="1"/>
  <c r="AB72" i="7"/>
  <c r="I74" i="8"/>
  <c r="J74" s="1"/>
  <c r="AB76" i="7"/>
  <c r="I79" i="8"/>
  <c r="J79" s="1"/>
  <c r="AB81" i="7"/>
  <c r="I84" i="8"/>
  <c r="J84" s="1"/>
  <c r="AB86" i="7"/>
  <c r="I88" i="8"/>
  <c r="J88" s="1"/>
  <c r="AB90" i="7"/>
  <c r="I94" i="8"/>
  <c r="J94" s="1"/>
  <c r="AB96" i="7"/>
  <c r="I98" i="8"/>
  <c r="J98" s="1"/>
  <c r="AB100" i="7"/>
  <c r="I105" i="8"/>
  <c r="J105" s="1"/>
  <c r="AB107" i="7"/>
  <c r="I109" i="8"/>
  <c r="J109" s="1"/>
  <c r="AB111" i="7"/>
  <c r="I113" i="8"/>
  <c r="J113" s="1"/>
  <c r="AB115" i="7"/>
  <c r="I118" i="8"/>
  <c r="J118" s="1"/>
  <c r="AB120" i="7"/>
  <c r="I122" i="8"/>
  <c r="J122" s="1"/>
  <c r="AB124" i="7"/>
  <c r="I126" i="8"/>
  <c r="J126" s="1"/>
  <c r="AB128" i="7"/>
  <c r="I131" i="8"/>
  <c r="J131" s="1"/>
  <c r="AB133" i="7"/>
  <c r="I144" i="8"/>
  <c r="J144" s="1"/>
  <c r="AB146" i="7"/>
  <c r="I149" i="8"/>
  <c r="J149" s="1"/>
  <c r="AB151" i="7"/>
  <c r="I153" i="8"/>
  <c r="J153" s="1"/>
  <c r="AB155" i="7"/>
  <c r="I158" i="8"/>
  <c r="J158" s="1"/>
  <c r="AB160" i="7"/>
  <c r="I162" i="8"/>
  <c r="J162" s="1"/>
  <c r="AB164" i="7"/>
  <c r="I166" i="8"/>
  <c r="J166" s="1"/>
  <c r="AB168" i="7"/>
  <c r="I171" i="8"/>
  <c r="J171" s="1"/>
  <c r="AB173" i="7"/>
  <c r="I175" i="8"/>
  <c r="J175" s="1"/>
  <c r="AB177" i="7"/>
  <c r="I179" i="8"/>
  <c r="J179" s="1"/>
  <c r="AB181" i="7"/>
  <c r="I184" i="8"/>
  <c r="J184" s="1"/>
  <c r="AB186" i="7"/>
  <c r="I189" i="8"/>
  <c r="J189" s="1"/>
  <c r="AB191" i="7"/>
  <c r="I193" i="8"/>
  <c r="J193" s="1"/>
  <c r="AB195" i="7"/>
  <c r="I197" i="8"/>
  <c r="J197" s="1"/>
  <c r="AB199" i="7"/>
  <c r="I201" i="8"/>
  <c r="J201" s="1"/>
  <c r="AB203" i="7"/>
  <c r="I206" i="8"/>
  <c r="J206" s="1"/>
  <c r="AB208" i="7"/>
  <c r="I210" i="8"/>
  <c r="J210" s="1"/>
  <c r="AB212" i="7"/>
  <c r="I216" i="8"/>
  <c r="J216" s="1"/>
  <c r="AB218" i="7"/>
  <c r="I220" i="8"/>
  <c r="J220" s="1"/>
  <c r="AB222" i="7"/>
  <c r="I224" i="8"/>
  <c r="J224" s="1"/>
  <c r="AB226" i="7"/>
  <c r="I228" i="8"/>
  <c r="J228" s="1"/>
  <c r="AB230" i="7"/>
  <c r="I233" i="8"/>
  <c r="J233" s="1"/>
  <c r="AB235" i="7"/>
  <c r="I237" i="8"/>
  <c r="J237" s="1"/>
  <c r="AB239" i="7"/>
  <c r="I242" i="8"/>
  <c r="J242" s="1"/>
  <c r="AB244" i="7"/>
  <c r="I246" i="8"/>
  <c r="J246" s="1"/>
  <c r="AB248" i="7"/>
  <c r="I251" i="8"/>
  <c r="J251" s="1"/>
  <c r="AB253" i="7"/>
  <c r="I255" i="8"/>
  <c r="J255" s="1"/>
  <c r="AB257" i="7"/>
  <c r="I259" i="8"/>
  <c r="J259" s="1"/>
  <c r="AB261" i="7"/>
  <c r="I263" i="8"/>
  <c r="J263" s="1"/>
  <c r="AB265" i="7"/>
  <c r="I268" i="8"/>
  <c r="J268" s="1"/>
  <c r="AB270" i="7"/>
  <c r="I273" i="8"/>
  <c r="J273" s="1"/>
  <c r="AB275" i="7"/>
  <c r="I277" i="8"/>
  <c r="J277" s="1"/>
  <c r="AB279" i="7"/>
  <c r="I281" i="8"/>
  <c r="J281" s="1"/>
  <c r="AB283" i="7"/>
  <c r="I285" i="8"/>
  <c r="J285" s="1"/>
  <c r="AB287" i="7"/>
  <c r="I289" i="8"/>
  <c r="J289" s="1"/>
  <c r="AB291" i="7"/>
  <c r="I294" i="8"/>
  <c r="J294" s="1"/>
  <c r="AB296" i="7"/>
  <c r="I298" i="8"/>
  <c r="J298" s="1"/>
  <c r="AB300" i="7"/>
  <c r="I302" i="8"/>
  <c r="J302" s="1"/>
  <c r="AB304" i="7"/>
  <c r="I306" i="8"/>
  <c r="J306" s="1"/>
  <c r="AB308" i="7"/>
  <c r="I310" i="8"/>
  <c r="J310" s="1"/>
  <c r="AB312" i="7"/>
  <c r="I314" i="8"/>
  <c r="J314" s="1"/>
  <c r="AB316" i="7"/>
  <c r="I319" i="8"/>
  <c r="J319" s="1"/>
  <c r="AB321" i="7"/>
  <c r="I323" i="8"/>
  <c r="J323" s="1"/>
  <c r="AB325" i="7"/>
  <c r="I327" i="8"/>
  <c r="J327" s="1"/>
  <c r="AB329" i="7"/>
  <c r="I332" i="8"/>
  <c r="J332" s="1"/>
  <c r="AB334" i="7"/>
  <c r="I336" i="8"/>
  <c r="J336" s="1"/>
  <c r="AB338" i="7"/>
  <c r="I340" i="8"/>
  <c r="J340" s="1"/>
  <c r="AB342" i="7"/>
  <c r="I345" i="8"/>
  <c r="J345" s="1"/>
  <c r="AB347" i="7"/>
  <c r="I349" i="8"/>
  <c r="J349" s="1"/>
  <c r="AB351" i="7"/>
  <c r="I353" i="8"/>
  <c r="J353" s="1"/>
  <c r="AB355" i="7"/>
  <c r="I358" i="8"/>
  <c r="J358" s="1"/>
  <c r="AB360" i="7"/>
  <c r="I362" i="8"/>
  <c r="J362" s="1"/>
  <c r="AB364" i="7"/>
  <c r="I367" i="8"/>
  <c r="J367" s="1"/>
  <c r="AB369" i="7"/>
  <c r="I371" i="8"/>
  <c r="J371" s="1"/>
  <c r="AB373" i="7"/>
  <c r="I376" i="8"/>
  <c r="J376" s="1"/>
  <c r="AB378" i="7"/>
  <c r="I214" i="8"/>
  <c r="J214" s="1"/>
  <c r="AB216" i="7"/>
  <c r="I65" i="8"/>
  <c r="J65" s="1"/>
  <c r="AB67" i="7"/>
  <c r="I78" i="8"/>
  <c r="J78" s="1"/>
  <c r="AB80" i="7"/>
  <c r="I87" i="8"/>
  <c r="J87" s="1"/>
  <c r="AB89" i="7"/>
  <c r="I104" i="8"/>
  <c r="J104" s="1"/>
  <c r="AB106" i="7"/>
  <c r="I108" i="8"/>
  <c r="J108" s="1"/>
  <c r="AB110" i="7"/>
  <c r="I117" i="8"/>
  <c r="J117" s="1"/>
  <c r="AB119" i="7"/>
  <c r="I121" i="8"/>
  <c r="J121" s="1"/>
  <c r="AB123" i="7"/>
  <c r="I125" i="8"/>
  <c r="J125" s="1"/>
  <c r="AB127" i="7"/>
  <c r="I129" i="8"/>
  <c r="J129" s="1"/>
  <c r="AB131" i="7"/>
  <c r="I134" i="8"/>
  <c r="J134" s="1"/>
  <c r="AB136" i="7"/>
  <c r="I139" i="8"/>
  <c r="J139" s="1"/>
  <c r="AB141" i="7"/>
  <c r="I143" i="8"/>
  <c r="J143" s="1"/>
  <c r="AB145" i="7"/>
  <c r="I148" i="8"/>
  <c r="J148" s="1"/>
  <c r="AB150" i="7"/>
  <c r="I152" i="8"/>
  <c r="J152" s="1"/>
  <c r="AB154" i="7"/>
  <c r="I157" i="8"/>
  <c r="J157" s="1"/>
  <c r="AB159" i="7"/>
  <c r="I161" i="8"/>
  <c r="J161" s="1"/>
  <c r="AB163" i="7"/>
  <c r="I165" i="8"/>
  <c r="J165" s="1"/>
  <c r="AB167" i="7"/>
  <c r="I170" i="8"/>
  <c r="J170" s="1"/>
  <c r="AB172" i="7"/>
  <c r="I174" i="8"/>
  <c r="J174" s="1"/>
  <c r="AB176" i="7"/>
  <c r="I178" i="8"/>
  <c r="J178" s="1"/>
  <c r="AB180" i="7"/>
  <c r="I183" i="8"/>
  <c r="J183" s="1"/>
  <c r="AB185" i="7"/>
  <c r="I187" i="8"/>
  <c r="J187" s="1"/>
  <c r="AB189" i="7"/>
  <c r="I192" i="8"/>
  <c r="J192" s="1"/>
  <c r="AB194" i="7"/>
  <c r="I196" i="8"/>
  <c r="J196" s="1"/>
  <c r="AB198" i="7"/>
  <c r="I200" i="8"/>
  <c r="J200" s="1"/>
  <c r="AB202" i="7"/>
  <c r="I205" i="8"/>
  <c r="J205" s="1"/>
  <c r="AB207" i="7"/>
  <c r="I209" i="8"/>
  <c r="J209" s="1"/>
  <c r="AB211" i="7"/>
  <c r="I213" i="8"/>
  <c r="J213" s="1"/>
  <c r="AB215" i="7"/>
  <c r="I219" i="8"/>
  <c r="J219" s="1"/>
  <c r="AB221" i="7"/>
  <c r="I223" i="8"/>
  <c r="J223" s="1"/>
  <c r="AB225" i="7"/>
  <c r="I227" i="8"/>
  <c r="J227" s="1"/>
  <c r="AB229" i="7"/>
  <c r="I232" i="8"/>
  <c r="J232" s="1"/>
  <c r="AB234" i="7"/>
  <c r="I236" i="8"/>
  <c r="J236" s="1"/>
  <c r="AB238" i="7"/>
  <c r="I241" i="8"/>
  <c r="J241" s="1"/>
  <c r="AB243" i="7"/>
  <c r="I245" i="8"/>
  <c r="J245" s="1"/>
  <c r="AB247" i="7"/>
  <c r="I250" i="8"/>
  <c r="J250" s="1"/>
  <c r="AB252" i="7"/>
  <c r="I254" i="8"/>
  <c r="J254" s="1"/>
  <c r="AB256" i="7"/>
  <c r="I258" i="8"/>
  <c r="J258" s="1"/>
  <c r="AB260" i="7"/>
  <c r="I262" i="8"/>
  <c r="J262" s="1"/>
  <c r="AB264" i="7"/>
  <c r="I267" i="8"/>
  <c r="J267" s="1"/>
  <c r="AB269" i="7"/>
  <c r="I271" i="8"/>
  <c r="J271" s="1"/>
  <c r="AB273" i="7"/>
  <c r="I276" i="8"/>
  <c r="J276" s="1"/>
  <c r="AB278" i="7"/>
  <c r="I280" i="8"/>
  <c r="J280" s="1"/>
  <c r="AB282" i="7"/>
  <c r="I284" i="8"/>
  <c r="J284" s="1"/>
  <c r="AB286" i="7"/>
  <c r="I288" i="8"/>
  <c r="J288" s="1"/>
  <c r="AB290" i="7"/>
  <c r="I293" i="8"/>
  <c r="J293" s="1"/>
  <c r="AB295" i="7"/>
  <c r="I297" i="8"/>
  <c r="J297" s="1"/>
  <c r="AB299" i="7"/>
  <c r="I301" i="8"/>
  <c r="J301" s="1"/>
  <c r="AB303" i="7"/>
  <c r="I305" i="8"/>
  <c r="J305" s="1"/>
  <c r="AB307" i="7"/>
  <c r="I309" i="8"/>
  <c r="J309" s="1"/>
  <c r="AB311" i="7"/>
  <c r="I313" i="8"/>
  <c r="J313" s="1"/>
  <c r="AB315" i="7"/>
  <c r="I318" i="8"/>
  <c r="J318" s="1"/>
  <c r="AB320" i="7"/>
  <c r="I322" i="8"/>
  <c r="J322" s="1"/>
  <c r="AB324" i="7"/>
  <c r="I326" i="8"/>
  <c r="J326" s="1"/>
  <c r="AB328" i="7"/>
  <c r="I330" i="8"/>
  <c r="J330" s="1"/>
  <c r="AB332" i="7"/>
  <c r="I335" i="8"/>
  <c r="J335" s="1"/>
  <c r="AB337" i="7"/>
  <c r="I339" i="8"/>
  <c r="J339" s="1"/>
  <c r="AB341" i="7"/>
  <c r="I344" i="8"/>
  <c r="J344" s="1"/>
  <c r="AB346" i="7"/>
  <c r="I348" i="8"/>
  <c r="J348" s="1"/>
  <c r="AB350" i="7"/>
  <c r="I352" i="8"/>
  <c r="J352" s="1"/>
  <c r="AB354" i="7"/>
  <c r="I357" i="8"/>
  <c r="J357" s="1"/>
  <c r="AB359" i="7"/>
  <c r="I361" i="8"/>
  <c r="J361" s="1"/>
  <c r="AB363" i="7"/>
  <c r="I365" i="8"/>
  <c r="J365" s="1"/>
  <c r="AB367" i="7"/>
  <c r="I370" i="8"/>
  <c r="J370" s="1"/>
  <c r="AB372" i="7"/>
  <c r="I375" i="8"/>
  <c r="J375" s="1"/>
  <c r="AB377" i="7"/>
  <c r="I99" i="8"/>
  <c r="J99" s="1"/>
  <c r="AB101" i="7"/>
  <c r="I373" i="8"/>
  <c r="J373" s="1"/>
  <c r="AB375" i="7"/>
  <c r="AE20"/>
  <c r="AJ20" s="1"/>
  <c r="AP20" s="1"/>
  <c r="AR20" s="1"/>
  <c r="AB20"/>
  <c r="I58" i="8"/>
  <c r="J58" s="1"/>
  <c r="AB60" i="7"/>
  <c r="I63" i="8"/>
  <c r="J63" s="1"/>
  <c r="AB65" i="7"/>
  <c r="I67" i="8"/>
  <c r="J67" s="1"/>
  <c r="AB69" i="7"/>
  <c r="I71" i="8"/>
  <c r="J71" s="1"/>
  <c r="AB73" i="7"/>
  <c r="I76" i="8"/>
  <c r="J76" s="1"/>
  <c r="AB78" i="7"/>
  <c r="I80" i="8"/>
  <c r="J80" s="1"/>
  <c r="AB82" i="7"/>
  <c r="I85" i="8"/>
  <c r="J85" s="1"/>
  <c r="AB87" i="7"/>
  <c r="I89" i="8"/>
  <c r="J89" s="1"/>
  <c r="AB91" i="7"/>
  <c r="I95" i="8"/>
  <c r="J95" s="1"/>
  <c r="AB97" i="7"/>
  <c r="I102" i="8"/>
  <c r="J102" s="1"/>
  <c r="AB104" i="7"/>
  <c r="I106" i="8"/>
  <c r="J106" s="1"/>
  <c r="AB108" i="7"/>
  <c r="I110" i="8"/>
  <c r="J110" s="1"/>
  <c r="AB112" i="7"/>
  <c r="I115" i="8"/>
  <c r="J115" s="1"/>
  <c r="AB117" i="7"/>
  <c r="I119" i="8"/>
  <c r="J119" s="1"/>
  <c r="AB121" i="7"/>
  <c r="I123" i="8"/>
  <c r="J123" s="1"/>
  <c r="AB125" i="7"/>
  <c r="I127" i="8"/>
  <c r="J127" s="1"/>
  <c r="AB129" i="7"/>
  <c r="I132" i="8"/>
  <c r="J132" s="1"/>
  <c r="AB134" i="7"/>
  <c r="I136" i="8"/>
  <c r="J136" s="1"/>
  <c r="AB138" i="7"/>
  <c r="I141" i="8"/>
  <c r="J141" s="1"/>
  <c r="AB143" i="7"/>
  <c r="I145" i="8"/>
  <c r="J145" s="1"/>
  <c r="AB147" i="7"/>
  <c r="I155" i="8"/>
  <c r="J155" s="1"/>
  <c r="AB157" i="7"/>
  <c r="I159" i="8"/>
  <c r="J159" s="1"/>
  <c r="AB161" i="7"/>
  <c r="I163" i="8"/>
  <c r="J163" s="1"/>
  <c r="AB165" i="7"/>
  <c r="I168" i="8"/>
  <c r="J168" s="1"/>
  <c r="AB170" i="7"/>
  <c r="I172" i="8"/>
  <c r="J172" s="1"/>
  <c r="AB174" i="7"/>
  <c r="I176" i="8"/>
  <c r="J176" s="1"/>
  <c r="AB178" i="7"/>
  <c r="I180" i="8"/>
  <c r="J180" s="1"/>
  <c r="AB182" i="7"/>
  <c r="I185" i="8"/>
  <c r="J185" s="1"/>
  <c r="AB187" i="7"/>
  <c r="I190" i="8"/>
  <c r="J190" s="1"/>
  <c r="AB192" i="7"/>
  <c r="I194" i="8"/>
  <c r="J194" s="1"/>
  <c r="AB196" i="7"/>
  <c r="I198" i="8"/>
  <c r="J198" s="1"/>
  <c r="AB200" i="7"/>
  <c r="I203" i="8"/>
  <c r="J203" s="1"/>
  <c r="AB205" i="7"/>
  <c r="I207" i="8"/>
  <c r="J207" s="1"/>
  <c r="AB209" i="7"/>
  <c r="I211" i="8"/>
  <c r="J211" s="1"/>
  <c r="AB213" i="7"/>
  <c r="I217" i="8"/>
  <c r="J217" s="1"/>
  <c r="AB219" i="7"/>
  <c r="I221" i="8"/>
  <c r="J221" s="1"/>
  <c r="AB223" i="7"/>
  <c r="I225" i="8"/>
  <c r="J225" s="1"/>
  <c r="AB227" i="7"/>
  <c r="I230" i="8"/>
  <c r="J230" s="1"/>
  <c r="AB232" i="7"/>
  <c r="I234" i="8"/>
  <c r="J234" s="1"/>
  <c r="AB236" i="7"/>
  <c r="I238" i="8"/>
  <c r="J238" s="1"/>
  <c r="AB240" i="7"/>
  <c r="I243" i="8"/>
  <c r="J243" s="1"/>
  <c r="AB245" i="7"/>
  <c r="I247" i="8"/>
  <c r="J247" s="1"/>
  <c r="AB249" i="7"/>
  <c r="I252" i="8"/>
  <c r="J252" s="1"/>
  <c r="AB254" i="7"/>
  <c r="I256" i="8"/>
  <c r="J256" s="1"/>
  <c r="AB258" i="7"/>
  <c r="I260" i="8"/>
  <c r="J260" s="1"/>
  <c r="AB262" i="7"/>
  <c r="I265" i="8"/>
  <c r="J265" s="1"/>
  <c r="AB267" i="7"/>
  <c r="I269" i="8"/>
  <c r="J269" s="1"/>
  <c r="AB271" i="7"/>
  <c r="I274" i="8"/>
  <c r="J274" s="1"/>
  <c r="AB276" i="7"/>
  <c r="I278" i="8"/>
  <c r="J278" s="1"/>
  <c r="AB280" i="7"/>
  <c r="I282" i="8"/>
  <c r="J282" s="1"/>
  <c r="AB284" i="7"/>
  <c r="I286" i="8"/>
  <c r="J286" s="1"/>
  <c r="AB288" i="7"/>
  <c r="I291" i="8"/>
  <c r="J291" s="1"/>
  <c r="AB293" i="7"/>
  <c r="I295" i="8"/>
  <c r="J295" s="1"/>
  <c r="AB297" i="7"/>
  <c r="I299" i="8"/>
  <c r="J299" s="1"/>
  <c r="AB301" i="7"/>
  <c r="I303" i="8"/>
  <c r="J303" s="1"/>
  <c r="AB305" i="7"/>
  <c r="I307" i="8"/>
  <c r="J307" s="1"/>
  <c r="AB309" i="7"/>
  <c r="I311" i="8"/>
  <c r="J311" s="1"/>
  <c r="AB313" i="7"/>
  <c r="I316" i="8"/>
  <c r="J316" s="1"/>
  <c r="AB318" i="7"/>
  <c r="I320" i="8"/>
  <c r="J320" s="1"/>
  <c r="AB322" i="7"/>
  <c r="I324" i="8"/>
  <c r="J324" s="1"/>
  <c r="AB326" i="7"/>
  <c r="I328" i="8"/>
  <c r="J328" s="1"/>
  <c r="AB330" i="7"/>
  <c r="I333" i="8"/>
  <c r="J333" s="1"/>
  <c r="AB335" i="7"/>
  <c r="I337" i="8"/>
  <c r="J337" s="1"/>
  <c r="AB339" i="7"/>
  <c r="I341" i="8"/>
  <c r="J341" s="1"/>
  <c r="AB343" i="7"/>
  <c r="I346" i="8"/>
  <c r="J346" s="1"/>
  <c r="AB348" i="7"/>
  <c r="I350" i="8"/>
  <c r="J350" s="1"/>
  <c r="AB352" i="7"/>
  <c r="I354" i="8"/>
  <c r="J354" s="1"/>
  <c r="AB356" i="7"/>
  <c r="I359" i="8"/>
  <c r="J359" s="1"/>
  <c r="AB361" i="7"/>
  <c r="I363" i="8"/>
  <c r="J363" s="1"/>
  <c r="AB365" i="7"/>
  <c r="I368" i="8"/>
  <c r="J368" s="1"/>
  <c r="AB370" i="7"/>
  <c r="I372" i="8"/>
  <c r="J372" s="1"/>
  <c r="AB374" i="7"/>
  <c r="I377" i="8"/>
  <c r="J377" s="1"/>
  <c r="AB379" i="7"/>
  <c r="I378" i="8"/>
  <c r="J378" s="1"/>
  <c r="AB380" i="7"/>
  <c r="I135" i="8"/>
  <c r="J135" s="1"/>
  <c r="AB137" i="7"/>
  <c r="I60" i="8"/>
  <c r="J60" s="1"/>
  <c r="AB62" i="7"/>
  <c r="I69" i="8"/>
  <c r="J69" s="1"/>
  <c r="AB71" i="7"/>
  <c r="I73" i="8"/>
  <c r="J73" s="1"/>
  <c r="AB75" i="7"/>
  <c r="I83" i="8"/>
  <c r="J83" s="1"/>
  <c r="AB85" i="7"/>
  <c r="I93" i="8"/>
  <c r="J93" s="1"/>
  <c r="AB95" i="7"/>
  <c r="I97" i="8"/>
  <c r="J97" s="1"/>
  <c r="AB99" i="7"/>
  <c r="I112" i="8"/>
  <c r="J112" s="1"/>
  <c r="AB114" i="7"/>
  <c r="I59" i="8"/>
  <c r="J59" s="1"/>
  <c r="AB61" i="7"/>
  <c r="I64" i="8"/>
  <c r="J64" s="1"/>
  <c r="AB66" i="7"/>
  <c r="I68" i="8"/>
  <c r="J68" s="1"/>
  <c r="AB70" i="7"/>
  <c r="I72" i="8"/>
  <c r="J72" s="1"/>
  <c r="AB74" i="7"/>
  <c r="I77" i="8"/>
  <c r="J77" s="1"/>
  <c r="AB79" i="7"/>
  <c r="I82" i="8"/>
  <c r="J82" s="1"/>
  <c r="AB84" i="7"/>
  <c r="I86" i="8"/>
  <c r="J86" s="1"/>
  <c r="AB88" i="7"/>
  <c r="I92" i="8"/>
  <c r="J92" s="1"/>
  <c r="AB94" i="7"/>
  <c r="I96" i="8"/>
  <c r="J96" s="1"/>
  <c r="AB98" i="7"/>
  <c r="I103" i="8"/>
  <c r="J103" s="1"/>
  <c r="AB105" i="7"/>
  <c r="I107" i="8"/>
  <c r="J107" s="1"/>
  <c r="AB109" i="7"/>
  <c r="I111" i="8"/>
  <c r="J111" s="1"/>
  <c r="AB113" i="7"/>
  <c r="I116" i="8"/>
  <c r="J116" s="1"/>
  <c r="AB118" i="7"/>
  <c r="I120" i="8"/>
  <c r="J120" s="1"/>
  <c r="AB122" i="7"/>
  <c r="I124" i="8"/>
  <c r="J124" s="1"/>
  <c r="AB126" i="7"/>
  <c r="I128" i="8"/>
  <c r="J128" s="1"/>
  <c r="AB130" i="7"/>
  <c r="I133" i="8"/>
  <c r="J133" s="1"/>
  <c r="AB135" i="7"/>
  <c r="I137" i="8"/>
  <c r="J137" s="1"/>
  <c r="AB139" i="7"/>
  <c r="I142" i="8"/>
  <c r="J142" s="1"/>
  <c r="AB144" i="7"/>
  <c r="I146" i="8"/>
  <c r="J146" s="1"/>
  <c r="AB148" i="7"/>
  <c r="I151" i="8"/>
  <c r="J151" s="1"/>
  <c r="AB153" i="7"/>
  <c r="I156" i="8"/>
  <c r="J156" s="1"/>
  <c r="AB158" i="7"/>
  <c r="I160" i="8"/>
  <c r="J160" s="1"/>
  <c r="AB162" i="7"/>
  <c r="I164" i="8"/>
  <c r="J164" s="1"/>
  <c r="AB166" i="7"/>
  <c r="I169" i="8"/>
  <c r="J169" s="1"/>
  <c r="AB171" i="7"/>
  <c r="I173" i="8"/>
  <c r="J173" s="1"/>
  <c r="AB175" i="7"/>
  <c r="I177" i="8"/>
  <c r="J177" s="1"/>
  <c r="AB179" i="7"/>
  <c r="I182" i="8"/>
  <c r="J182" s="1"/>
  <c r="AB184" i="7"/>
  <c r="I186" i="8"/>
  <c r="J186" s="1"/>
  <c r="AB188" i="7"/>
  <c r="I191" i="8"/>
  <c r="J191" s="1"/>
  <c r="AB193" i="7"/>
  <c r="I195" i="8"/>
  <c r="J195" s="1"/>
  <c r="AB197" i="7"/>
  <c r="I199" i="8"/>
  <c r="J199" s="1"/>
  <c r="AB201" i="7"/>
  <c r="I204" i="8"/>
  <c r="J204" s="1"/>
  <c r="AB206" i="7"/>
  <c r="I208" i="8"/>
  <c r="J208" s="1"/>
  <c r="AB210" i="7"/>
  <c r="I212" i="8"/>
  <c r="J212" s="1"/>
  <c r="AB214" i="7"/>
  <c r="I218" i="8"/>
  <c r="J218" s="1"/>
  <c r="AB220" i="7"/>
  <c r="I222" i="8"/>
  <c r="J222" s="1"/>
  <c r="AB224" i="7"/>
  <c r="I226" i="8"/>
  <c r="J226" s="1"/>
  <c r="AB228" i="7"/>
  <c r="I231" i="8"/>
  <c r="J231" s="1"/>
  <c r="AB233" i="7"/>
  <c r="I235" i="8"/>
  <c r="J235" s="1"/>
  <c r="AB237" i="7"/>
  <c r="I240" i="8"/>
  <c r="J240" s="1"/>
  <c r="AB242" i="7"/>
  <c r="I244" i="8"/>
  <c r="J244" s="1"/>
  <c r="AB246" i="7"/>
  <c r="I249" i="8"/>
  <c r="J249" s="1"/>
  <c r="X249" s="1"/>
  <c r="AB251" i="7"/>
  <c r="I253" i="8"/>
  <c r="J253" s="1"/>
  <c r="AB255" i="7"/>
  <c r="I257" i="8"/>
  <c r="J257" s="1"/>
  <c r="AB259" i="7"/>
  <c r="I261" i="8"/>
  <c r="J261" s="1"/>
  <c r="AB263" i="7"/>
  <c r="I266" i="8"/>
  <c r="J266" s="1"/>
  <c r="AB268" i="7"/>
  <c r="I270" i="8"/>
  <c r="J270" s="1"/>
  <c r="AB272" i="7"/>
  <c r="I275" i="8"/>
  <c r="J275" s="1"/>
  <c r="AB277" i="7"/>
  <c r="I279" i="8"/>
  <c r="J279" s="1"/>
  <c r="AB281" i="7"/>
  <c r="I283" i="8"/>
  <c r="J283" s="1"/>
  <c r="AB285" i="7"/>
  <c r="I287" i="8"/>
  <c r="J287" s="1"/>
  <c r="AB289" i="7"/>
  <c r="I292" i="8"/>
  <c r="J292" s="1"/>
  <c r="AB294" i="7"/>
  <c r="I296" i="8"/>
  <c r="J296" s="1"/>
  <c r="AB298" i="7"/>
  <c r="I300" i="8"/>
  <c r="J300" s="1"/>
  <c r="AB302" i="7"/>
  <c r="I304" i="8"/>
  <c r="J304" s="1"/>
  <c r="AB306" i="7"/>
  <c r="I308" i="8"/>
  <c r="J308" s="1"/>
  <c r="AB310" i="7"/>
  <c r="I312" i="8"/>
  <c r="J312" s="1"/>
  <c r="AB314" i="7"/>
  <c r="I317" i="8"/>
  <c r="J317" s="1"/>
  <c r="AB319" i="7"/>
  <c r="I321" i="8"/>
  <c r="J321" s="1"/>
  <c r="AB323" i="7"/>
  <c r="I325" i="8"/>
  <c r="J325" s="1"/>
  <c r="AB327" i="7"/>
  <c r="I329" i="8"/>
  <c r="J329" s="1"/>
  <c r="AB331" i="7"/>
  <c r="I334" i="8"/>
  <c r="J334" s="1"/>
  <c r="AB336" i="7"/>
  <c r="I338" i="8"/>
  <c r="J338" s="1"/>
  <c r="AB340" i="7"/>
  <c r="I342" i="8"/>
  <c r="J342" s="1"/>
  <c r="AB344" i="7"/>
  <c r="I347" i="8"/>
  <c r="J347" s="1"/>
  <c r="AB349" i="7"/>
  <c r="I351" i="8"/>
  <c r="J351" s="1"/>
  <c r="AB353" i="7"/>
  <c r="I356" i="8"/>
  <c r="J356" s="1"/>
  <c r="AB358" i="7"/>
  <c r="I360" i="8"/>
  <c r="J360" s="1"/>
  <c r="AB362" i="7"/>
  <c r="I364" i="8"/>
  <c r="J364" s="1"/>
  <c r="AB366" i="7"/>
  <c r="I369" i="8"/>
  <c r="J369" s="1"/>
  <c r="AB371" i="7"/>
  <c r="I374" i="8"/>
  <c r="J374" s="1"/>
  <c r="AB376" i="7"/>
  <c r="I91" i="8"/>
  <c r="J91" s="1"/>
  <c r="AB93" i="7"/>
  <c r="I101" i="8"/>
  <c r="J101" s="1"/>
  <c r="AB103" i="7"/>
  <c r="AF20"/>
  <c r="AF59"/>
  <c r="AJ59"/>
  <c r="AP59" s="1"/>
  <c r="AR59" s="1"/>
  <c r="H381"/>
  <c r="F57" i="8"/>
  <c r="G57" s="1"/>
  <c r="X57" s="1"/>
  <c r="F18"/>
  <c r="G18" s="1"/>
  <c r="X18" s="1"/>
  <c r="AH381" i="7"/>
  <c r="J8"/>
  <c r="J19" s="1"/>
  <c r="B7" i="8"/>
  <c r="W7" s="1"/>
  <c r="AI381" i="7"/>
  <c r="J29"/>
  <c r="J57" s="1"/>
  <c r="I381"/>
  <c r="J381" l="1"/>
  <c r="K7" i="8"/>
  <c r="H7"/>
  <c r="E7"/>
  <c r="B10" l="1"/>
  <c r="W10" s="1"/>
  <c r="B8"/>
  <c r="W8" s="1"/>
  <c r="B14"/>
  <c r="W14" s="1"/>
  <c r="B12"/>
  <c r="W12" s="1"/>
  <c r="B16"/>
  <c r="W16" s="1"/>
  <c r="B29"/>
  <c r="W29" s="1"/>
  <c r="B31"/>
  <c r="W31" s="1"/>
  <c r="B33"/>
  <c r="W33" s="1"/>
  <c r="B35"/>
  <c r="W35" s="1"/>
  <c r="B37"/>
  <c r="W37" s="1"/>
  <c r="B39"/>
  <c r="W39" s="1"/>
  <c r="B41"/>
  <c r="W41" s="1"/>
  <c r="B43"/>
  <c r="W43" s="1"/>
  <c r="B45"/>
  <c r="W45" s="1"/>
  <c r="B47"/>
  <c r="W47" s="1"/>
  <c r="B49"/>
  <c r="W49" s="1"/>
  <c r="B51"/>
  <c r="W51" s="1"/>
  <c r="B53"/>
  <c r="W53" s="1"/>
  <c r="B9"/>
  <c r="W9" s="1"/>
  <c r="B15"/>
  <c r="W15" s="1"/>
  <c r="B13"/>
  <c r="W13" s="1"/>
  <c r="B11"/>
  <c r="W11" s="1"/>
  <c r="B28"/>
  <c r="W28" s="1"/>
  <c r="B30"/>
  <c r="W30" s="1"/>
  <c r="B32"/>
  <c r="W32" s="1"/>
  <c r="B34"/>
  <c r="W34" s="1"/>
  <c r="B36"/>
  <c r="W36" s="1"/>
  <c r="B38"/>
  <c r="W38" s="1"/>
  <c r="B40"/>
  <c r="W40" s="1"/>
  <c r="B42"/>
  <c r="W42" s="1"/>
  <c r="B44"/>
  <c r="W44" s="1"/>
  <c r="B46"/>
  <c r="W46" s="1"/>
  <c r="B48"/>
  <c r="W48" s="1"/>
  <c r="B50"/>
  <c r="W50" s="1"/>
  <c r="B52"/>
  <c r="W52" s="1"/>
  <c r="B54"/>
  <c r="W54" s="1"/>
  <c r="W6" l="1"/>
  <c r="W27"/>
  <c r="K54"/>
  <c r="H54"/>
  <c r="E54"/>
  <c r="K46"/>
  <c r="H46"/>
  <c r="E46"/>
  <c r="K38"/>
  <c r="H38"/>
  <c r="E38"/>
  <c r="K30"/>
  <c r="H30"/>
  <c r="E30"/>
  <c r="H15"/>
  <c r="K15"/>
  <c r="E15"/>
  <c r="K49"/>
  <c r="H49"/>
  <c r="E49"/>
  <c r="E41"/>
  <c r="H41"/>
  <c r="K41"/>
  <c r="K33"/>
  <c r="H33"/>
  <c r="E33"/>
  <c r="H12"/>
  <c r="K12"/>
  <c r="E12"/>
  <c r="K50"/>
  <c r="H50"/>
  <c r="E50"/>
  <c r="K42"/>
  <c r="H42"/>
  <c r="E42"/>
  <c r="K34"/>
  <c r="H34"/>
  <c r="E34"/>
  <c r="K11"/>
  <c r="H11"/>
  <c r="E11"/>
  <c r="K53"/>
  <c r="E53"/>
  <c r="H53"/>
  <c r="K45"/>
  <c r="H45"/>
  <c r="E45"/>
  <c r="E37"/>
  <c r="K37"/>
  <c r="H37"/>
  <c r="K29"/>
  <c r="H29"/>
  <c r="E29"/>
  <c r="K8"/>
  <c r="H8"/>
  <c r="E8"/>
  <c r="K52"/>
  <c r="H52"/>
  <c r="E52"/>
  <c r="K48"/>
  <c r="H48"/>
  <c r="E48"/>
  <c r="K44"/>
  <c r="H44"/>
  <c r="E44"/>
  <c r="K40"/>
  <c r="H40"/>
  <c r="E40"/>
  <c r="K36"/>
  <c r="H36"/>
  <c r="E36"/>
  <c r="K32"/>
  <c r="H32"/>
  <c r="E32"/>
  <c r="K28"/>
  <c r="H28"/>
  <c r="E28"/>
  <c r="K13"/>
  <c r="H13"/>
  <c r="E13"/>
  <c r="K9"/>
  <c r="H9"/>
  <c r="E9"/>
  <c r="K51"/>
  <c r="H51"/>
  <c r="E51"/>
  <c r="K47"/>
  <c r="H47"/>
  <c r="E47"/>
  <c r="H43"/>
  <c r="K43"/>
  <c r="E43"/>
  <c r="K39"/>
  <c r="H39"/>
  <c r="E39"/>
  <c r="E35"/>
  <c r="H35"/>
  <c r="K35"/>
  <c r="K31"/>
  <c r="H31"/>
  <c r="E31"/>
  <c r="K16"/>
  <c r="H16"/>
  <c r="E16"/>
  <c r="K14"/>
  <c r="H14"/>
  <c r="E14"/>
  <c r="H10"/>
  <c r="K10"/>
  <c r="E10"/>
  <c r="AP29" i="7"/>
  <c r="AP8"/>
  <c r="AJ8"/>
  <c r="AJ29"/>
  <c r="AE370"/>
  <c r="AE356"/>
  <c r="AE380"/>
  <c r="AE371"/>
  <c r="AE372"/>
  <c r="AE373"/>
  <c r="AE374"/>
  <c r="AE375"/>
  <c r="AE376"/>
  <c r="AE377"/>
  <c r="AE378"/>
  <c r="AE379"/>
  <c r="AE369"/>
  <c r="AE359"/>
  <c r="AE360"/>
  <c r="AE361"/>
  <c r="AE362"/>
  <c r="AE363"/>
  <c r="AE364"/>
  <c r="AE365"/>
  <c r="AE366"/>
  <c r="AE367"/>
  <c r="AE358"/>
  <c r="AE347"/>
  <c r="AE348"/>
  <c r="AE349"/>
  <c r="AE350"/>
  <c r="AE351"/>
  <c r="AE352"/>
  <c r="AE353"/>
  <c r="AE354"/>
  <c r="AE355"/>
  <c r="AE346"/>
  <c r="AE335"/>
  <c r="AE336"/>
  <c r="AE337"/>
  <c r="AE338"/>
  <c r="AE339"/>
  <c r="AE340"/>
  <c r="AE341"/>
  <c r="AE342"/>
  <c r="AE343"/>
  <c r="AE344"/>
  <c r="AE334"/>
  <c r="AE319"/>
  <c r="AE320"/>
  <c r="AE321"/>
  <c r="AE322"/>
  <c r="AE323"/>
  <c r="AE324"/>
  <c r="AE325"/>
  <c r="AE326"/>
  <c r="AE327"/>
  <c r="AE328"/>
  <c r="AE329"/>
  <c r="AE330"/>
  <c r="AE331"/>
  <c r="AE332"/>
  <c r="AE318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293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75"/>
  <c r="AE268"/>
  <c r="AE269"/>
  <c r="AE270"/>
  <c r="AE271"/>
  <c r="AE272"/>
  <c r="AE273"/>
  <c r="AE267"/>
  <c r="AE252"/>
  <c r="AE253"/>
  <c r="AE254"/>
  <c r="AE255"/>
  <c r="AE256"/>
  <c r="AE257"/>
  <c r="AE258"/>
  <c r="AE259"/>
  <c r="AE260"/>
  <c r="AE261"/>
  <c r="AE262"/>
  <c r="AE263"/>
  <c r="AE264"/>
  <c r="AE265"/>
  <c r="AE251"/>
  <c r="AE243"/>
  <c r="AE244"/>
  <c r="AE245"/>
  <c r="AE246"/>
  <c r="AE247"/>
  <c r="AE248"/>
  <c r="AE249"/>
  <c r="AE242"/>
  <c r="AE233"/>
  <c r="AE234"/>
  <c r="AE235"/>
  <c r="AE236"/>
  <c r="AE237"/>
  <c r="AE238"/>
  <c r="AE239"/>
  <c r="AE240"/>
  <c r="AE232"/>
  <c r="AE219"/>
  <c r="AE220"/>
  <c r="AE221"/>
  <c r="AE222"/>
  <c r="AE223"/>
  <c r="AE224"/>
  <c r="AE225"/>
  <c r="AE226"/>
  <c r="AE227"/>
  <c r="AE228"/>
  <c r="AE229"/>
  <c r="AE230"/>
  <c r="AE218"/>
  <c r="AE206"/>
  <c r="AE207"/>
  <c r="AE208"/>
  <c r="AE209"/>
  <c r="AE210"/>
  <c r="AE211"/>
  <c r="AE212"/>
  <c r="AE213"/>
  <c r="AE214"/>
  <c r="AE215"/>
  <c r="AE216"/>
  <c r="AE205"/>
  <c r="AE192"/>
  <c r="AE193"/>
  <c r="AE194"/>
  <c r="AE195"/>
  <c r="AE196"/>
  <c r="AE197"/>
  <c r="AE198"/>
  <c r="AE199"/>
  <c r="AE200"/>
  <c r="AE201"/>
  <c r="AE202"/>
  <c r="AE203"/>
  <c r="AE191"/>
  <c r="AE185"/>
  <c r="AE186"/>
  <c r="AE187"/>
  <c r="AE188"/>
  <c r="AE189"/>
  <c r="AE184"/>
  <c r="AE171"/>
  <c r="AE172"/>
  <c r="AE173"/>
  <c r="AE174"/>
  <c r="AE175"/>
  <c r="AE176"/>
  <c r="AE177"/>
  <c r="AE178"/>
  <c r="AE179"/>
  <c r="AE180"/>
  <c r="AE181"/>
  <c r="AE182"/>
  <c r="AE170"/>
  <c r="AE158"/>
  <c r="AE159"/>
  <c r="AE160"/>
  <c r="AE161"/>
  <c r="AE162"/>
  <c r="AE163"/>
  <c r="AE164"/>
  <c r="AE165"/>
  <c r="AE166"/>
  <c r="AE167"/>
  <c r="AE168"/>
  <c r="AE157"/>
  <c r="AE151"/>
  <c r="AE152"/>
  <c r="AE153"/>
  <c r="AE154"/>
  <c r="AE155"/>
  <c r="AE150"/>
  <c r="AE142"/>
  <c r="AE143"/>
  <c r="AE144"/>
  <c r="AE145"/>
  <c r="AE146"/>
  <c r="AE147"/>
  <c r="AE148"/>
  <c r="AE141"/>
  <c r="AE134"/>
  <c r="AE135"/>
  <c r="AE136"/>
  <c r="AE137"/>
  <c r="AE138"/>
  <c r="AE139"/>
  <c r="AE133"/>
  <c r="AE118"/>
  <c r="AE119"/>
  <c r="AE120"/>
  <c r="AE121"/>
  <c r="AE122"/>
  <c r="AE123"/>
  <c r="AE124"/>
  <c r="AE125"/>
  <c r="AE126"/>
  <c r="AE127"/>
  <c r="AE128"/>
  <c r="AE129"/>
  <c r="AE130"/>
  <c r="AE131"/>
  <c r="AE117"/>
  <c r="AE104"/>
  <c r="AE105"/>
  <c r="AE106"/>
  <c r="AE107"/>
  <c r="AE108"/>
  <c r="AE109"/>
  <c r="AE110"/>
  <c r="AE111"/>
  <c r="AE112"/>
  <c r="AE113"/>
  <c r="AE114"/>
  <c r="AE115"/>
  <c r="AE103"/>
  <c r="AE94"/>
  <c r="AE95"/>
  <c r="AE96"/>
  <c r="AE97"/>
  <c r="AE98"/>
  <c r="AE99"/>
  <c r="AE100"/>
  <c r="AE101"/>
  <c r="AE93"/>
  <c r="AE85"/>
  <c r="AE86"/>
  <c r="AE87"/>
  <c r="AE88"/>
  <c r="AE89"/>
  <c r="AE90"/>
  <c r="AE91"/>
  <c r="AE84"/>
  <c r="AE79"/>
  <c r="AE80"/>
  <c r="AE81"/>
  <c r="AE82"/>
  <c r="AE78"/>
  <c r="F24"/>
  <c r="F28"/>
  <c r="F21"/>
  <c r="F22"/>
  <c r="F23"/>
  <c r="F25"/>
  <c r="F26"/>
  <c r="F27"/>
  <c r="AE76"/>
  <c r="AE66"/>
  <c r="AE67"/>
  <c r="AE68"/>
  <c r="AE69"/>
  <c r="AE70"/>
  <c r="AE71"/>
  <c r="AE72"/>
  <c r="AE73"/>
  <c r="AE74"/>
  <c r="AE75"/>
  <c r="AE65"/>
  <c r="AE63"/>
  <c r="AE60"/>
  <c r="AE61"/>
  <c r="AE62"/>
  <c r="C19"/>
  <c r="B19"/>
  <c r="C8"/>
  <c r="B29"/>
  <c r="B381" s="1"/>
  <c r="C29"/>
  <c r="B57"/>
  <c r="C57"/>
  <c r="AE27" l="1"/>
  <c r="AJ27" s="1"/>
  <c r="AP27" s="1"/>
  <c r="AR27" s="1"/>
  <c r="AB27"/>
  <c r="AE24"/>
  <c r="AB24"/>
  <c r="AE25"/>
  <c r="AJ25" s="1"/>
  <c r="AP25" s="1"/>
  <c r="AR25" s="1"/>
  <c r="AB25"/>
  <c r="AE28"/>
  <c r="AJ28" s="1"/>
  <c r="AP28" s="1"/>
  <c r="AR28" s="1"/>
  <c r="AB28"/>
  <c r="AE22"/>
  <c r="AJ22" s="1"/>
  <c r="AP22" s="1"/>
  <c r="AR22" s="1"/>
  <c r="AB22"/>
  <c r="AE23"/>
  <c r="AB23"/>
  <c r="AE26"/>
  <c r="AJ26" s="1"/>
  <c r="AP26" s="1"/>
  <c r="AR26" s="1"/>
  <c r="AB26"/>
  <c r="AE21"/>
  <c r="AB21"/>
  <c r="AF60"/>
  <c r="AJ60"/>
  <c r="AP60" s="1"/>
  <c r="AR60" s="1"/>
  <c r="AF70"/>
  <c r="AJ70"/>
  <c r="AP70" s="1"/>
  <c r="AR70" s="1"/>
  <c r="AF25"/>
  <c r="AF81"/>
  <c r="AJ81"/>
  <c r="AP81" s="1"/>
  <c r="AR81" s="1"/>
  <c r="AF87"/>
  <c r="AJ87"/>
  <c r="AP87" s="1"/>
  <c r="AR87" s="1"/>
  <c r="AF97"/>
  <c r="AJ97"/>
  <c r="AP97" s="1"/>
  <c r="AR97" s="1"/>
  <c r="AF112"/>
  <c r="AJ112"/>
  <c r="AP112" s="1"/>
  <c r="AR112" s="1"/>
  <c r="AF104"/>
  <c r="AJ104"/>
  <c r="AP104" s="1"/>
  <c r="AR104" s="1"/>
  <c r="AF125"/>
  <c r="AJ125"/>
  <c r="AP125" s="1"/>
  <c r="AQ125" s="1"/>
  <c r="AR125" s="1"/>
  <c r="AF133"/>
  <c r="AJ133"/>
  <c r="AP133" s="1"/>
  <c r="AR133" s="1"/>
  <c r="AF148"/>
  <c r="AJ148"/>
  <c r="AP148" s="1"/>
  <c r="AR148" s="1"/>
  <c r="AF155"/>
  <c r="AJ155"/>
  <c r="AP155" s="1"/>
  <c r="AR155" s="1"/>
  <c r="AF166"/>
  <c r="AJ166"/>
  <c r="AP166" s="1"/>
  <c r="AR166" s="1"/>
  <c r="AF158"/>
  <c r="AJ158"/>
  <c r="AP158" s="1"/>
  <c r="AR158" s="1"/>
  <c r="AF176"/>
  <c r="AJ176"/>
  <c r="AP176" s="1"/>
  <c r="AR176" s="1"/>
  <c r="AF188"/>
  <c r="AJ188"/>
  <c r="AP188" s="1"/>
  <c r="AR188" s="1"/>
  <c r="AF200"/>
  <c r="AJ200"/>
  <c r="AP200" s="1"/>
  <c r="AR200" s="1"/>
  <c r="AF192"/>
  <c r="AJ192"/>
  <c r="AP192" s="1"/>
  <c r="AR192" s="1"/>
  <c r="AF210"/>
  <c r="AJ210"/>
  <c r="AP210" s="1"/>
  <c r="AF228"/>
  <c r="AJ228"/>
  <c r="AP228" s="1"/>
  <c r="AR228" s="1"/>
  <c r="AF220"/>
  <c r="AJ220"/>
  <c r="AP220" s="1"/>
  <c r="AR220" s="1"/>
  <c r="AF235"/>
  <c r="AJ235"/>
  <c r="AP235" s="1"/>
  <c r="AR235" s="1"/>
  <c r="AF245"/>
  <c r="AJ245"/>
  <c r="AP245" s="1"/>
  <c r="AR245" s="1"/>
  <c r="AF261"/>
  <c r="AJ261"/>
  <c r="AP261" s="1"/>
  <c r="AR261" s="1"/>
  <c r="AF253"/>
  <c r="AJ253"/>
  <c r="AP253" s="1"/>
  <c r="AR253" s="1"/>
  <c r="AF268"/>
  <c r="AJ268"/>
  <c r="AP268" s="1"/>
  <c r="AQ268" s="1"/>
  <c r="AR268" s="1"/>
  <c r="AF285"/>
  <c r="AJ285"/>
  <c r="AP285" s="1"/>
  <c r="AF277"/>
  <c r="AJ277"/>
  <c r="AP277" s="1"/>
  <c r="AF311"/>
  <c r="AJ311"/>
  <c r="AP311" s="1"/>
  <c r="AR311" s="1"/>
  <c r="AF303"/>
  <c r="AJ303"/>
  <c r="AP303" s="1"/>
  <c r="AR303" s="1"/>
  <c r="AF295"/>
  <c r="AJ295"/>
  <c r="AP295" s="1"/>
  <c r="AR295" s="1"/>
  <c r="AF327"/>
  <c r="AJ327"/>
  <c r="AP327" s="1"/>
  <c r="AF319"/>
  <c r="AJ319"/>
  <c r="AP319" s="1"/>
  <c r="AF338"/>
  <c r="AJ338"/>
  <c r="AP338" s="1"/>
  <c r="AQ338" s="1"/>
  <c r="AR338" s="1"/>
  <c r="AF352"/>
  <c r="AJ352"/>
  <c r="AP352" s="1"/>
  <c r="AR352" s="1"/>
  <c r="AF366"/>
  <c r="AJ366"/>
  <c r="AP366" s="1"/>
  <c r="AR366" s="1"/>
  <c r="AF369"/>
  <c r="AJ369"/>
  <c r="AP369" s="1"/>
  <c r="AR369" s="1"/>
  <c r="AF372"/>
  <c r="AJ372"/>
  <c r="AP372" s="1"/>
  <c r="AF370"/>
  <c r="AJ370"/>
  <c r="AP370" s="1"/>
  <c r="AR370" s="1"/>
  <c r="AF61"/>
  <c r="AJ61"/>
  <c r="AP61" s="1"/>
  <c r="AR61" s="1"/>
  <c r="AF71"/>
  <c r="AJ71"/>
  <c r="AP71" s="1"/>
  <c r="AR71" s="1"/>
  <c r="AF82"/>
  <c r="AJ82"/>
  <c r="AP82" s="1"/>
  <c r="AR82" s="1"/>
  <c r="AF88"/>
  <c r="AJ88"/>
  <c r="AP88" s="1"/>
  <c r="AR88" s="1"/>
  <c r="AF98"/>
  <c r="AJ98"/>
  <c r="AP98" s="1"/>
  <c r="AR98" s="1"/>
  <c r="AF113"/>
  <c r="AJ113"/>
  <c r="AP113" s="1"/>
  <c r="AR113" s="1"/>
  <c r="AF105"/>
  <c r="AJ105"/>
  <c r="AP105" s="1"/>
  <c r="AR105" s="1"/>
  <c r="AF122"/>
  <c r="AJ122"/>
  <c r="AP122" s="1"/>
  <c r="AF137"/>
  <c r="AJ137"/>
  <c r="AP137" s="1"/>
  <c r="AR137" s="1"/>
  <c r="AF145"/>
  <c r="AJ145"/>
  <c r="AP145" s="1"/>
  <c r="AQ145" s="1"/>
  <c r="AR145" s="1"/>
  <c r="AF150"/>
  <c r="AJ150"/>
  <c r="AP150" s="1"/>
  <c r="AR150" s="1"/>
  <c r="AF167"/>
  <c r="AJ167"/>
  <c r="AP167" s="1"/>
  <c r="AR167" s="1"/>
  <c r="AF159"/>
  <c r="AJ159"/>
  <c r="AP159" s="1"/>
  <c r="AR159" s="1"/>
  <c r="AF177"/>
  <c r="AJ177"/>
  <c r="AP177" s="1"/>
  <c r="AR177" s="1"/>
  <c r="AF189"/>
  <c r="AJ189"/>
  <c r="AP189" s="1"/>
  <c r="AR189" s="1"/>
  <c r="AF201"/>
  <c r="AJ201"/>
  <c r="AP201" s="1"/>
  <c r="AR201" s="1"/>
  <c r="AF193"/>
  <c r="AJ193"/>
  <c r="AP193" s="1"/>
  <c r="AR193" s="1"/>
  <c r="AF211"/>
  <c r="AJ211"/>
  <c r="AP211" s="1"/>
  <c r="AQ211" s="1"/>
  <c r="AR211" s="1"/>
  <c r="AF229"/>
  <c r="AJ229"/>
  <c r="AP229" s="1"/>
  <c r="AF221"/>
  <c r="AJ221"/>
  <c r="AP221" s="1"/>
  <c r="AR221" s="1"/>
  <c r="AF236"/>
  <c r="AJ236"/>
  <c r="AP236" s="1"/>
  <c r="AR236" s="1"/>
  <c r="AF246"/>
  <c r="AJ246"/>
  <c r="AP246" s="1"/>
  <c r="AF262"/>
  <c r="AJ262"/>
  <c r="AP262" s="1"/>
  <c r="AR262" s="1"/>
  <c r="AF254"/>
  <c r="AJ254"/>
  <c r="AP254" s="1"/>
  <c r="AR254" s="1"/>
  <c r="AF273"/>
  <c r="AJ273"/>
  <c r="AP273" s="1"/>
  <c r="AQ273" s="1"/>
  <c r="AR273" s="1"/>
  <c r="AF290"/>
  <c r="AJ290"/>
  <c r="AP290" s="1"/>
  <c r="AF282"/>
  <c r="AJ282"/>
  <c r="AP282" s="1"/>
  <c r="AR282" s="1"/>
  <c r="AF316"/>
  <c r="AJ316"/>
  <c r="AP316" s="1"/>
  <c r="AR316" s="1"/>
  <c r="AF308"/>
  <c r="AJ308"/>
  <c r="AP308" s="1"/>
  <c r="AR308" s="1"/>
  <c r="AF296"/>
  <c r="AJ296"/>
  <c r="AP296" s="1"/>
  <c r="AR296" s="1"/>
  <c r="AF328"/>
  <c r="AJ328"/>
  <c r="AP328" s="1"/>
  <c r="AF320"/>
  <c r="AJ320"/>
  <c r="AP320" s="1"/>
  <c r="AF343"/>
  <c r="AJ343"/>
  <c r="AP343" s="1"/>
  <c r="AQ343" s="1"/>
  <c r="AR343" s="1"/>
  <c r="AF335"/>
  <c r="AJ335"/>
  <c r="AP335" s="1"/>
  <c r="AQ335" s="1"/>
  <c r="AR335" s="1"/>
  <c r="AF349"/>
  <c r="AJ349"/>
  <c r="AP349" s="1"/>
  <c r="AR349" s="1"/>
  <c r="AF363"/>
  <c r="AJ363"/>
  <c r="AP363" s="1"/>
  <c r="AQ363" s="1"/>
  <c r="AR363" s="1"/>
  <c r="AF377"/>
  <c r="AJ377"/>
  <c r="AP377" s="1"/>
  <c r="AQ377" s="1"/>
  <c r="AR377" s="1"/>
  <c r="AF356"/>
  <c r="AJ356"/>
  <c r="AP356" s="1"/>
  <c r="AR356" s="1"/>
  <c r="AF65"/>
  <c r="AJ65"/>
  <c r="AP65" s="1"/>
  <c r="AR65" s="1"/>
  <c r="AF72"/>
  <c r="AJ72"/>
  <c r="AP72" s="1"/>
  <c r="AR72" s="1"/>
  <c r="AF68"/>
  <c r="AJ68"/>
  <c r="AP68" s="1"/>
  <c r="AQ68" s="1"/>
  <c r="AR68" s="1"/>
  <c r="AF22"/>
  <c r="AF78"/>
  <c r="AJ78"/>
  <c r="AP78" s="1"/>
  <c r="AR78" s="1"/>
  <c r="AF79"/>
  <c r="AJ79"/>
  <c r="AP79" s="1"/>
  <c r="AR79" s="1"/>
  <c r="AF89"/>
  <c r="AJ89"/>
  <c r="AP89" s="1"/>
  <c r="AR89" s="1"/>
  <c r="AF85"/>
  <c r="AJ85"/>
  <c r="AP85" s="1"/>
  <c r="AR85" s="1"/>
  <c r="AF99"/>
  <c r="AJ99"/>
  <c r="AP99" s="1"/>
  <c r="AR99" s="1"/>
  <c r="AF95"/>
  <c r="AJ95"/>
  <c r="AP95" s="1"/>
  <c r="AR95" s="1"/>
  <c r="AF114"/>
  <c r="AJ114"/>
  <c r="AP114" s="1"/>
  <c r="AR114" s="1"/>
  <c r="AF110"/>
  <c r="AJ110"/>
  <c r="AP110" s="1"/>
  <c r="AR110" s="1"/>
  <c r="AF106"/>
  <c r="AJ106"/>
  <c r="AP106" s="1"/>
  <c r="AR106" s="1"/>
  <c r="AF131"/>
  <c r="AJ131"/>
  <c r="AP131" s="1"/>
  <c r="AF127"/>
  <c r="AJ127"/>
  <c r="AP127" s="1"/>
  <c r="AF123"/>
  <c r="AJ123"/>
  <c r="AP123" s="1"/>
  <c r="AR123" s="1"/>
  <c r="AF119"/>
  <c r="AJ119"/>
  <c r="AP119" s="1"/>
  <c r="AF138"/>
  <c r="AJ138"/>
  <c r="AP138" s="1"/>
  <c r="AR138" s="1"/>
  <c r="AF134"/>
  <c r="AJ134"/>
  <c r="AP134" s="1"/>
  <c r="AR134" s="1"/>
  <c r="AF146"/>
  <c r="AJ146"/>
  <c r="AP146" s="1"/>
  <c r="AR146" s="1"/>
  <c r="AF142"/>
  <c r="AJ142"/>
  <c r="AP142" s="1"/>
  <c r="AQ142" s="1"/>
  <c r="AR142" s="1"/>
  <c r="AF153"/>
  <c r="AJ153"/>
  <c r="AP153" s="1"/>
  <c r="AF168"/>
  <c r="AJ168"/>
  <c r="AP168" s="1"/>
  <c r="AR168" s="1"/>
  <c r="AF164"/>
  <c r="AJ164"/>
  <c r="AP164" s="1"/>
  <c r="AR164" s="1"/>
  <c r="AF160"/>
  <c r="AJ160"/>
  <c r="AP160" s="1"/>
  <c r="AR160" s="1"/>
  <c r="AF182"/>
  <c r="AJ182"/>
  <c r="AP182" s="1"/>
  <c r="AR182" s="1"/>
  <c r="AF178"/>
  <c r="AJ178"/>
  <c r="AP178" s="1"/>
  <c r="AR178" s="1"/>
  <c r="AF174"/>
  <c r="AJ174"/>
  <c r="AP174" s="1"/>
  <c r="AR174" s="1"/>
  <c r="AF184"/>
  <c r="AJ184"/>
  <c r="AP184" s="1"/>
  <c r="AR184" s="1"/>
  <c r="AF186"/>
  <c r="AJ186"/>
  <c r="AP186" s="1"/>
  <c r="AR186" s="1"/>
  <c r="AF202"/>
  <c r="AJ202"/>
  <c r="AP202" s="1"/>
  <c r="AR202" s="1"/>
  <c r="AF198"/>
  <c r="AJ198"/>
  <c r="AP198" s="1"/>
  <c r="AR198" s="1"/>
  <c r="AF194"/>
  <c r="AJ194"/>
  <c r="AP194" s="1"/>
  <c r="AR194" s="1"/>
  <c r="AF216"/>
  <c r="AJ216"/>
  <c r="AP216" s="1"/>
  <c r="AF212"/>
  <c r="AJ212"/>
  <c r="AP212" s="1"/>
  <c r="AR212" s="1"/>
  <c r="AF208"/>
  <c r="AJ208"/>
  <c r="AP208" s="1"/>
  <c r="AQ208" s="1"/>
  <c r="AR208" s="1"/>
  <c r="AF230"/>
  <c r="AJ230"/>
  <c r="AP230" s="1"/>
  <c r="AR230" s="1"/>
  <c r="AF226"/>
  <c r="AJ226"/>
  <c r="AP226" s="1"/>
  <c r="AR226" s="1"/>
  <c r="AF222"/>
  <c r="AJ222"/>
  <c r="AP222" s="1"/>
  <c r="AR222" s="1"/>
  <c r="AF232"/>
  <c r="AJ232"/>
  <c r="AP232" s="1"/>
  <c r="AR232" s="1"/>
  <c r="AF237"/>
  <c r="AJ237"/>
  <c r="AP237" s="1"/>
  <c r="AR237" s="1"/>
  <c r="AF233"/>
  <c r="AJ233"/>
  <c r="AP233" s="1"/>
  <c r="AR233" s="1"/>
  <c r="AF247"/>
  <c r="AJ247"/>
  <c r="AP247" s="1"/>
  <c r="AF243"/>
  <c r="AJ243"/>
  <c r="AP243" s="1"/>
  <c r="AQ243" s="1"/>
  <c r="AR243" s="1"/>
  <c r="AF263"/>
  <c r="AJ263"/>
  <c r="AP263" s="1"/>
  <c r="AR263" s="1"/>
  <c r="AF259"/>
  <c r="AJ259"/>
  <c r="AP259" s="1"/>
  <c r="AR259" s="1"/>
  <c r="AF255"/>
  <c r="AJ255"/>
  <c r="AP255" s="1"/>
  <c r="AR255" s="1"/>
  <c r="AF267"/>
  <c r="AJ267"/>
  <c r="AP267" s="1"/>
  <c r="AF270"/>
  <c r="AJ270"/>
  <c r="AP270" s="1"/>
  <c r="AF291"/>
  <c r="AJ291"/>
  <c r="AP291" s="1"/>
  <c r="AQ291" s="1"/>
  <c r="AR291" s="1"/>
  <c r="AF287"/>
  <c r="AJ287"/>
  <c r="AP287" s="1"/>
  <c r="AQ287" s="1"/>
  <c r="AR287" s="1"/>
  <c r="AF283"/>
  <c r="AJ283"/>
  <c r="AP283" s="1"/>
  <c r="AF279"/>
  <c r="AJ279"/>
  <c r="AP279" s="1"/>
  <c r="AR279" s="1"/>
  <c r="AF293"/>
  <c r="AJ293"/>
  <c r="AP293" s="1"/>
  <c r="AR293" s="1"/>
  <c r="AF313"/>
  <c r="AJ313"/>
  <c r="AP313" s="1"/>
  <c r="AR313" s="1"/>
  <c r="AF309"/>
  <c r="AJ309"/>
  <c r="AP309" s="1"/>
  <c r="AR309" s="1"/>
  <c r="AF305"/>
  <c r="AJ305"/>
  <c r="AP305" s="1"/>
  <c r="AR305" s="1"/>
  <c r="AF301"/>
  <c r="AJ301"/>
  <c r="AP301" s="1"/>
  <c r="AR301" s="1"/>
  <c r="AF297"/>
  <c r="AJ297"/>
  <c r="AP297" s="1"/>
  <c r="AR297" s="1"/>
  <c r="AF318"/>
  <c r="AJ318"/>
  <c r="AP318" s="1"/>
  <c r="AF329"/>
  <c r="AJ329"/>
  <c r="AP329" s="1"/>
  <c r="AF325"/>
  <c r="AJ325"/>
  <c r="AP325" s="1"/>
  <c r="AQ325" s="1"/>
  <c r="AR325" s="1"/>
  <c r="AF321"/>
  <c r="AJ321"/>
  <c r="AP321" s="1"/>
  <c r="AR321" s="1"/>
  <c r="AF344"/>
  <c r="AJ344"/>
  <c r="AP344" s="1"/>
  <c r="AF340"/>
  <c r="AJ340"/>
  <c r="AP340" s="1"/>
  <c r="AQ340" s="1"/>
  <c r="AR340" s="1"/>
  <c r="AF336"/>
  <c r="AJ336"/>
  <c r="AP336" s="1"/>
  <c r="AF354"/>
  <c r="AJ354"/>
  <c r="AP354" s="1"/>
  <c r="AR354" s="1"/>
  <c r="AF350"/>
  <c r="AJ350"/>
  <c r="AP350" s="1"/>
  <c r="AR350" s="1"/>
  <c r="AF358"/>
  <c r="AJ358"/>
  <c r="AP358" s="1"/>
  <c r="AR358" s="1"/>
  <c r="AF364"/>
  <c r="AJ364"/>
  <c r="AP364" s="1"/>
  <c r="AR364" s="1"/>
  <c r="AF360"/>
  <c r="AJ360"/>
  <c r="AP360" s="1"/>
  <c r="AR360" s="1"/>
  <c r="AF378"/>
  <c r="AJ378"/>
  <c r="AP378" s="1"/>
  <c r="AF374"/>
  <c r="AJ374"/>
  <c r="AP374" s="1"/>
  <c r="AQ374" s="1"/>
  <c r="AR374" s="1"/>
  <c r="AF380"/>
  <c r="AJ380"/>
  <c r="AP380" s="1"/>
  <c r="AF74"/>
  <c r="AJ74"/>
  <c r="AP74" s="1"/>
  <c r="AQ74" s="1"/>
  <c r="AR74" s="1"/>
  <c r="AF66"/>
  <c r="AJ66"/>
  <c r="AP66" s="1"/>
  <c r="AF28"/>
  <c r="AF91"/>
  <c r="AJ91"/>
  <c r="AP91" s="1"/>
  <c r="AR91" s="1"/>
  <c r="AF101"/>
  <c r="AJ101"/>
  <c r="AP101" s="1"/>
  <c r="AR101" s="1"/>
  <c r="AF103"/>
  <c r="AJ103"/>
  <c r="AP103" s="1"/>
  <c r="AR103" s="1"/>
  <c r="AF108"/>
  <c r="AJ108"/>
  <c r="AP108" s="1"/>
  <c r="AR108" s="1"/>
  <c r="AF129"/>
  <c r="AJ129"/>
  <c r="AP129" s="1"/>
  <c r="AR129" s="1"/>
  <c r="AF121"/>
  <c r="AJ121"/>
  <c r="AP121" s="1"/>
  <c r="AF136"/>
  <c r="AJ136"/>
  <c r="AP136" s="1"/>
  <c r="AR136" s="1"/>
  <c r="AF144"/>
  <c r="AJ144"/>
  <c r="AP144" s="1"/>
  <c r="AQ144" s="1"/>
  <c r="AR144" s="1"/>
  <c r="AF151"/>
  <c r="AJ151"/>
  <c r="AP151" s="1"/>
  <c r="AR151" s="1"/>
  <c r="AF162"/>
  <c r="AJ162"/>
  <c r="AP162" s="1"/>
  <c r="AF180"/>
  <c r="AJ180"/>
  <c r="AP180" s="1"/>
  <c r="AR180" s="1"/>
  <c r="AF172"/>
  <c r="AJ172"/>
  <c r="AP172" s="1"/>
  <c r="AR172" s="1"/>
  <c r="AF191"/>
  <c r="AJ191"/>
  <c r="AP191" s="1"/>
  <c r="AR191" s="1"/>
  <c r="AF196"/>
  <c r="AJ196"/>
  <c r="AP196" s="1"/>
  <c r="AR196" s="1"/>
  <c r="AF214"/>
  <c r="AJ214"/>
  <c r="AP214" s="1"/>
  <c r="AQ214" s="1"/>
  <c r="AR214" s="1"/>
  <c r="AF206"/>
  <c r="AJ206"/>
  <c r="AP206" s="1"/>
  <c r="AQ206" s="1"/>
  <c r="AR206" s="1"/>
  <c r="AF224"/>
  <c r="AJ224"/>
  <c r="AP224" s="1"/>
  <c r="AR224" s="1"/>
  <c r="AF239"/>
  <c r="AJ239"/>
  <c r="AP239" s="1"/>
  <c r="AR239" s="1"/>
  <c r="AF249"/>
  <c r="AJ249"/>
  <c r="AP249" s="1"/>
  <c r="AQ249" s="1"/>
  <c r="AR249" s="1"/>
  <c r="AF265"/>
  <c r="AJ265"/>
  <c r="AP265" s="1"/>
  <c r="AR265" s="1"/>
  <c r="AF257"/>
  <c r="AJ257"/>
  <c r="AP257" s="1"/>
  <c r="AR257" s="1"/>
  <c r="AF272"/>
  <c r="AJ272"/>
  <c r="AP272" s="1"/>
  <c r="AF289"/>
  <c r="AJ289"/>
  <c r="AP289" s="1"/>
  <c r="AR289" s="1"/>
  <c r="AF281"/>
  <c r="AJ281"/>
  <c r="AP281" s="1"/>
  <c r="AQ281" s="1"/>
  <c r="AR281" s="1"/>
  <c r="AF315"/>
  <c r="AJ315"/>
  <c r="AP315" s="1"/>
  <c r="AR315" s="1"/>
  <c r="AF307"/>
  <c r="AJ307"/>
  <c r="AP307" s="1"/>
  <c r="AR307" s="1"/>
  <c r="AF299"/>
  <c r="AJ299"/>
  <c r="AP299" s="1"/>
  <c r="AR299" s="1"/>
  <c r="AF331"/>
  <c r="AJ331"/>
  <c r="AP331" s="1"/>
  <c r="AQ331" s="1"/>
  <c r="AR331" s="1"/>
  <c r="AF323"/>
  <c r="AJ323"/>
  <c r="AP323" s="1"/>
  <c r="AF342"/>
  <c r="AJ342"/>
  <c r="AP342" s="1"/>
  <c r="AF346"/>
  <c r="AJ346"/>
  <c r="AP346" s="1"/>
  <c r="AR346" s="1"/>
  <c r="AF348"/>
  <c r="AJ348"/>
  <c r="AP348" s="1"/>
  <c r="AR348" s="1"/>
  <c r="AF362"/>
  <c r="AJ362"/>
  <c r="AP362" s="1"/>
  <c r="AR362" s="1"/>
  <c r="AF376"/>
  <c r="AJ376"/>
  <c r="AP376" s="1"/>
  <c r="AR376" s="1"/>
  <c r="AF75"/>
  <c r="AJ75"/>
  <c r="AP75" s="1"/>
  <c r="AQ75" s="1"/>
  <c r="AR75" s="1"/>
  <c r="AF67"/>
  <c r="AJ67"/>
  <c r="AP67" s="1"/>
  <c r="AR67" s="1"/>
  <c r="AF21"/>
  <c r="AJ21"/>
  <c r="AP21" s="1"/>
  <c r="AR21" s="1"/>
  <c r="AF84"/>
  <c r="AJ84"/>
  <c r="AP84" s="1"/>
  <c r="AR84" s="1"/>
  <c r="AF93"/>
  <c r="AJ93"/>
  <c r="AP93" s="1"/>
  <c r="AR93" s="1"/>
  <c r="AF94"/>
  <c r="AJ94"/>
  <c r="AP94" s="1"/>
  <c r="AR94" s="1"/>
  <c r="AF109"/>
  <c r="AJ109"/>
  <c r="AP109" s="1"/>
  <c r="AR109" s="1"/>
  <c r="AF130"/>
  <c r="AJ130"/>
  <c r="AP130" s="1"/>
  <c r="AF126"/>
  <c r="AJ126"/>
  <c r="AP126" s="1"/>
  <c r="AR126" s="1"/>
  <c r="AF118"/>
  <c r="AJ118"/>
  <c r="AP118" s="1"/>
  <c r="AF141"/>
  <c r="AJ141"/>
  <c r="AP141" s="1"/>
  <c r="AF152"/>
  <c r="AJ152"/>
  <c r="AP152" s="1"/>
  <c r="AR152" s="1"/>
  <c r="AF163"/>
  <c r="AJ163"/>
  <c r="AP163" s="1"/>
  <c r="AR163" s="1"/>
  <c r="AF181"/>
  <c r="AJ181"/>
  <c r="AP181" s="1"/>
  <c r="AR181" s="1"/>
  <c r="AF173"/>
  <c r="AJ173"/>
  <c r="AP173" s="1"/>
  <c r="AR173" s="1"/>
  <c r="AF185"/>
  <c r="AJ185"/>
  <c r="AP185" s="1"/>
  <c r="AR185" s="1"/>
  <c r="AF197"/>
  <c r="AJ197"/>
  <c r="AP197" s="1"/>
  <c r="AR197" s="1"/>
  <c r="AF215"/>
  <c r="AJ215"/>
  <c r="AP215" s="1"/>
  <c r="AR215" s="1"/>
  <c r="AF207"/>
  <c r="AJ207"/>
  <c r="AP207" s="1"/>
  <c r="AQ207" s="1"/>
  <c r="AR207" s="1"/>
  <c r="AF225"/>
  <c r="AJ225"/>
  <c r="AP225" s="1"/>
  <c r="AR225" s="1"/>
  <c r="AF240"/>
  <c r="AJ240"/>
  <c r="AP240" s="1"/>
  <c r="AR240" s="1"/>
  <c r="AF242"/>
  <c r="AJ242"/>
  <c r="AP242" s="1"/>
  <c r="AQ242" s="1"/>
  <c r="AR242" s="1"/>
  <c r="AF251"/>
  <c r="B249" i="8" s="1"/>
  <c r="AJ251" i="7"/>
  <c r="AP251" s="1"/>
  <c r="AR251" s="1"/>
  <c r="AF258"/>
  <c r="AJ258"/>
  <c r="AP258" s="1"/>
  <c r="AR258" s="1"/>
  <c r="AF269"/>
  <c r="AJ269"/>
  <c r="AP269" s="1"/>
  <c r="AF286"/>
  <c r="AJ286"/>
  <c r="AP286" s="1"/>
  <c r="AQ286" s="1"/>
  <c r="AR286" s="1"/>
  <c r="AF278"/>
  <c r="AJ278"/>
  <c r="AP278" s="1"/>
  <c r="AR278" s="1"/>
  <c r="AF312"/>
  <c r="AJ312"/>
  <c r="AP312" s="1"/>
  <c r="AR312" s="1"/>
  <c r="AF304"/>
  <c r="AJ304"/>
  <c r="AP304" s="1"/>
  <c r="AR304" s="1"/>
  <c r="AF300"/>
  <c r="AJ300"/>
  <c r="AP300" s="1"/>
  <c r="AR300" s="1"/>
  <c r="AF332"/>
  <c r="AJ332"/>
  <c r="AP332" s="1"/>
  <c r="AR332" s="1"/>
  <c r="AF324"/>
  <c r="AJ324"/>
  <c r="AP324" s="1"/>
  <c r="AR324" s="1"/>
  <c r="AF339"/>
  <c r="AJ339"/>
  <c r="AP339" s="1"/>
  <c r="AQ339" s="1"/>
  <c r="AR339" s="1"/>
  <c r="AF353"/>
  <c r="AJ353"/>
  <c r="AP353" s="1"/>
  <c r="AR353" s="1"/>
  <c r="AF367"/>
  <c r="AJ367"/>
  <c r="AP367" s="1"/>
  <c r="AR367" s="1"/>
  <c r="AF359"/>
  <c r="AJ359"/>
  <c r="AP359" s="1"/>
  <c r="AR359" s="1"/>
  <c r="AF373"/>
  <c r="AJ373"/>
  <c r="AP373" s="1"/>
  <c r="AF62"/>
  <c r="AJ62"/>
  <c r="AP62" s="1"/>
  <c r="AR62" s="1"/>
  <c r="AF63"/>
  <c r="AJ63"/>
  <c r="AP63" s="1"/>
  <c r="AR63" s="1"/>
  <c r="AF73"/>
  <c r="AJ73"/>
  <c r="AP73" s="1"/>
  <c r="AR73" s="1"/>
  <c r="AF69"/>
  <c r="AJ69"/>
  <c r="AP69" s="1"/>
  <c r="AR69" s="1"/>
  <c r="AF76"/>
  <c r="AJ76"/>
  <c r="AP76" s="1"/>
  <c r="AQ76" s="1"/>
  <c r="AR76" s="1"/>
  <c r="AF23"/>
  <c r="AJ23"/>
  <c r="AP23" s="1"/>
  <c r="AR23" s="1"/>
  <c r="AF24"/>
  <c r="AJ24"/>
  <c r="AP24" s="1"/>
  <c r="AR24" s="1"/>
  <c r="AF80"/>
  <c r="AJ80"/>
  <c r="AP80" s="1"/>
  <c r="AR80" s="1"/>
  <c r="AF90"/>
  <c r="AJ90"/>
  <c r="AP90" s="1"/>
  <c r="AR90" s="1"/>
  <c r="AF86"/>
  <c r="AJ86"/>
  <c r="AP86" s="1"/>
  <c r="AR86" s="1"/>
  <c r="AF100"/>
  <c r="AJ100"/>
  <c r="AP100" s="1"/>
  <c r="AR100" s="1"/>
  <c r="AF96"/>
  <c r="AJ96"/>
  <c r="AP96" s="1"/>
  <c r="AR96" s="1"/>
  <c r="AF115"/>
  <c r="AJ115"/>
  <c r="AP115" s="1"/>
  <c r="AR115" s="1"/>
  <c r="AF111"/>
  <c r="AJ111"/>
  <c r="AP111" s="1"/>
  <c r="AR111" s="1"/>
  <c r="AF107"/>
  <c r="AJ107"/>
  <c r="AP107" s="1"/>
  <c r="AR107" s="1"/>
  <c r="AF117"/>
  <c r="AJ117"/>
  <c r="AP117" s="1"/>
  <c r="AQ117" s="1"/>
  <c r="AR117" s="1"/>
  <c r="AF128"/>
  <c r="AJ128"/>
  <c r="AP128" s="1"/>
  <c r="AR128" s="1"/>
  <c r="AF124"/>
  <c r="AJ124"/>
  <c r="AP124" s="1"/>
  <c r="AF120"/>
  <c r="AJ120"/>
  <c r="AP120" s="1"/>
  <c r="AQ120" s="1"/>
  <c r="AR120" s="1"/>
  <c r="AF139"/>
  <c r="AJ139"/>
  <c r="AP139" s="1"/>
  <c r="AR139" s="1"/>
  <c r="AF135"/>
  <c r="AJ135"/>
  <c r="AP135" s="1"/>
  <c r="AR135" s="1"/>
  <c r="AF147"/>
  <c r="AJ147"/>
  <c r="AP147" s="1"/>
  <c r="AQ147" s="1"/>
  <c r="AR147" s="1"/>
  <c r="AF143"/>
  <c r="AJ143"/>
  <c r="AP143" s="1"/>
  <c r="AR143" s="1"/>
  <c r="AF154"/>
  <c r="AJ154"/>
  <c r="AP154" s="1"/>
  <c r="AR154" s="1"/>
  <c r="AF157"/>
  <c r="AJ157"/>
  <c r="AP157" s="1"/>
  <c r="AR157" s="1"/>
  <c r="AF165"/>
  <c r="AJ165"/>
  <c r="AP165" s="1"/>
  <c r="AR165" s="1"/>
  <c r="AF161"/>
  <c r="AJ161"/>
  <c r="AP161" s="1"/>
  <c r="AR161" s="1"/>
  <c r="AF170"/>
  <c r="AJ170"/>
  <c r="AP170" s="1"/>
  <c r="AR170" s="1"/>
  <c r="AF179"/>
  <c r="AJ179"/>
  <c r="AP179" s="1"/>
  <c r="AF175"/>
  <c r="AJ175"/>
  <c r="AP175" s="1"/>
  <c r="AR175" s="1"/>
  <c r="AF171"/>
  <c r="AJ171"/>
  <c r="AP171" s="1"/>
  <c r="AR171" s="1"/>
  <c r="AF187"/>
  <c r="AJ187"/>
  <c r="AP187" s="1"/>
  <c r="AR187" s="1"/>
  <c r="AF203"/>
  <c r="AJ203"/>
  <c r="AP203" s="1"/>
  <c r="AR203" s="1"/>
  <c r="AF199"/>
  <c r="AJ199"/>
  <c r="AP199" s="1"/>
  <c r="AR199" s="1"/>
  <c r="AF195"/>
  <c r="AJ195"/>
  <c r="AP195" s="1"/>
  <c r="AR195" s="1"/>
  <c r="AF205"/>
  <c r="AJ205"/>
  <c r="AP205" s="1"/>
  <c r="AQ205" s="1"/>
  <c r="AR205" s="1"/>
  <c r="AF213"/>
  <c r="AJ213"/>
  <c r="AP213" s="1"/>
  <c r="AQ213" s="1"/>
  <c r="AR213" s="1"/>
  <c r="AF209"/>
  <c r="AJ209"/>
  <c r="AP209" s="1"/>
  <c r="AF218"/>
  <c r="AJ218"/>
  <c r="AP218" s="1"/>
  <c r="AR218" s="1"/>
  <c r="AF227"/>
  <c r="AJ227"/>
  <c r="AP227" s="1"/>
  <c r="AR227" s="1"/>
  <c r="AF223"/>
  <c r="AJ223"/>
  <c r="AP223" s="1"/>
  <c r="AR223" s="1"/>
  <c r="AF219"/>
  <c r="AJ219"/>
  <c r="AP219" s="1"/>
  <c r="AR219" s="1"/>
  <c r="AF238"/>
  <c r="AJ238"/>
  <c r="AP238" s="1"/>
  <c r="AR238" s="1"/>
  <c r="AF234"/>
  <c r="AJ234"/>
  <c r="AP234" s="1"/>
  <c r="AR234" s="1"/>
  <c r="AF248"/>
  <c r="AJ248"/>
  <c r="AP248" s="1"/>
  <c r="AQ248" s="1"/>
  <c r="AR248" s="1"/>
  <c r="AF244"/>
  <c r="AJ244"/>
  <c r="AP244" s="1"/>
  <c r="AQ244" s="1"/>
  <c r="AR244" s="1"/>
  <c r="AF264"/>
  <c r="AJ264"/>
  <c r="AP264" s="1"/>
  <c r="AR264" s="1"/>
  <c r="AF260"/>
  <c r="AJ260"/>
  <c r="AP260" s="1"/>
  <c r="AR260" s="1"/>
  <c r="AF256"/>
  <c r="AJ256"/>
  <c r="AP256" s="1"/>
  <c r="AR256" s="1"/>
  <c r="AF252"/>
  <c r="AJ252"/>
  <c r="AP252" s="1"/>
  <c r="AR252" s="1"/>
  <c r="AF271"/>
  <c r="AJ271"/>
  <c r="AP271" s="1"/>
  <c r="AF275"/>
  <c r="AJ275"/>
  <c r="AP275" s="1"/>
  <c r="AR275" s="1"/>
  <c r="AF288"/>
  <c r="AJ288"/>
  <c r="AP288" s="1"/>
  <c r="AR288" s="1"/>
  <c r="AF284"/>
  <c r="AJ284"/>
  <c r="AP284" s="1"/>
  <c r="AF280"/>
  <c r="AJ280"/>
  <c r="AP280" s="1"/>
  <c r="AF276"/>
  <c r="AJ276"/>
  <c r="AP276" s="1"/>
  <c r="AF314"/>
  <c r="AJ314"/>
  <c r="AP314" s="1"/>
  <c r="AR314" s="1"/>
  <c r="AF310"/>
  <c r="AJ310"/>
  <c r="AP310" s="1"/>
  <c r="AR310" s="1"/>
  <c r="AF306"/>
  <c r="AJ306"/>
  <c r="AP306" s="1"/>
  <c r="AR306" s="1"/>
  <c r="AF302"/>
  <c r="AJ302"/>
  <c r="AP302" s="1"/>
  <c r="AQ302" s="1"/>
  <c r="AR302" s="1"/>
  <c r="AF298"/>
  <c r="AJ298"/>
  <c r="AP298" s="1"/>
  <c r="AR298" s="1"/>
  <c r="AF294"/>
  <c r="AJ294"/>
  <c r="AP294" s="1"/>
  <c r="AR294" s="1"/>
  <c r="AF330"/>
  <c r="AJ330"/>
  <c r="AP330" s="1"/>
  <c r="AF326"/>
  <c r="AJ326"/>
  <c r="AP326" s="1"/>
  <c r="AQ326" s="1"/>
  <c r="AR326" s="1"/>
  <c r="AF322"/>
  <c r="AJ322"/>
  <c r="AP322" s="1"/>
  <c r="AQ322" s="1"/>
  <c r="AR322" s="1"/>
  <c r="AF334"/>
  <c r="AJ334"/>
  <c r="AP334" s="1"/>
  <c r="AF341"/>
  <c r="AJ341"/>
  <c r="AP341" s="1"/>
  <c r="AF337"/>
  <c r="AJ337"/>
  <c r="AP337" s="1"/>
  <c r="AQ337" s="1"/>
  <c r="AR337" s="1"/>
  <c r="AF355"/>
  <c r="AJ355"/>
  <c r="AP355" s="1"/>
  <c r="AR355" s="1"/>
  <c r="AF351"/>
  <c r="AJ351"/>
  <c r="AP351" s="1"/>
  <c r="AR351" s="1"/>
  <c r="AF347"/>
  <c r="AJ347"/>
  <c r="AP347" s="1"/>
  <c r="AR347" s="1"/>
  <c r="AF365"/>
  <c r="AJ365"/>
  <c r="AP365" s="1"/>
  <c r="AR365" s="1"/>
  <c r="AF361"/>
  <c r="AJ361"/>
  <c r="AP361" s="1"/>
  <c r="AQ361" s="1"/>
  <c r="AR361" s="1"/>
  <c r="AF379"/>
  <c r="B377" i="8" s="1"/>
  <c r="AJ379" i="7"/>
  <c r="AP379" s="1"/>
  <c r="AR379" s="1"/>
  <c r="AF375"/>
  <c r="AJ375"/>
  <c r="AP375" s="1"/>
  <c r="AR375" s="1"/>
  <c r="AF371"/>
  <c r="AJ371"/>
  <c r="AP371" s="1"/>
  <c r="AQ371" s="1"/>
  <c r="AR371" s="1"/>
  <c r="F61" i="8"/>
  <c r="G61" s="1"/>
  <c r="X61" s="1"/>
  <c r="F74"/>
  <c r="G74" s="1"/>
  <c r="X74" s="1"/>
  <c r="F26"/>
  <c r="G26" s="1"/>
  <c r="X26" s="1"/>
  <c r="F89"/>
  <c r="G89" s="1"/>
  <c r="X89" s="1"/>
  <c r="F99"/>
  <c r="G99" s="1"/>
  <c r="X99" s="1"/>
  <c r="F101"/>
  <c r="G101" s="1"/>
  <c r="X101" s="1"/>
  <c r="F102"/>
  <c r="G102" s="1"/>
  <c r="X102" s="1"/>
  <c r="F123"/>
  <c r="G123" s="1"/>
  <c r="X123" s="1"/>
  <c r="F131"/>
  <c r="G131" s="1"/>
  <c r="X131" s="1"/>
  <c r="F146"/>
  <c r="G146" s="1"/>
  <c r="X146" s="1"/>
  <c r="F153"/>
  <c r="G153" s="1"/>
  <c r="X153" s="1"/>
  <c r="F164"/>
  <c r="G164" s="1"/>
  <c r="X164" s="1"/>
  <c r="F156"/>
  <c r="G156" s="1"/>
  <c r="X156" s="1"/>
  <c r="F174"/>
  <c r="G174" s="1"/>
  <c r="X174" s="1"/>
  <c r="F186"/>
  <c r="G186" s="1"/>
  <c r="X186" s="1"/>
  <c r="F198"/>
  <c r="G198" s="1"/>
  <c r="X198" s="1"/>
  <c r="F194"/>
  <c r="G194" s="1"/>
  <c r="X194" s="1"/>
  <c r="F212"/>
  <c r="G212" s="1"/>
  <c r="X212" s="1"/>
  <c r="F204"/>
  <c r="G204" s="1"/>
  <c r="X204" s="1"/>
  <c r="F218"/>
  <c r="G218" s="1"/>
  <c r="X218" s="1"/>
  <c r="F233"/>
  <c r="G233" s="1"/>
  <c r="X233" s="1"/>
  <c r="F243"/>
  <c r="G243" s="1"/>
  <c r="X243" s="1"/>
  <c r="F259"/>
  <c r="G259" s="1"/>
  <c r="X259" s="1"/>
  <c r="F251"/>
  <c r="G251" s="1"/>
  <c r="X251" s="1"/>
  <c r="F266"/>
  <c r="G266" s="1"/>
  <c r="X266" s="1"/>
  <c r="F283"/>
  <c r="G283" s="1"/>
  <c r="X283" s="1"/>
  <c r="F275"/>
  <c r="G275" s="1"/>
  <c r="X275" s="1"/>
  <c r="F313"/>
  <c r="G313" s="1"/>
  <c r="X313" s="1"/>
  <c r="F305"/>
  <c r="G305" s="1"/>
  <c r="X305" s="1"/>
  <c r="F297"/>
  <c r="G297" s="1"/>
  <c r="X297" s="1"/>
  <c r="F329"/>
  <c r="G329" s="1"/>
  <c r="X329" s="1"/>
  <c r="F321"/>
  <c r="G321" s="1"/>
  <c r="X321" s="1"/>
  <c r="F340"/>
  <c r="G340" s="1"/>
  <c r="X340" s="1"/>
  <c r="F336"/>
  <c r="G336" s="1"/>
  <c r="X336" s="1"/>
  <c r="F350"/>
  <c r="G350" s="1"/>
  <c r="X350" s="1"/>
  <c r="F364"/>
  <c r="G364" s="1"/>
  <c r="X364" s="1"/>
  <c r="F367"/>
  <c r="G367" s="1"/>
  <c r="X367" s="1"/>
  <c r="F370"/>
  <c r="G370" s="1"/>
  <c r="X370" s="1"/>
  <c r="F72"/>
  <c r="G72" s="1"/>
  <c r="X72" s="1"/>
  <c r="F24"/>
  <c r="G24" s="1"/>
  <c r="X24" s="1"/>
  <c r="F80"/>
  <c r="G80" s="1"/>
  <c r="X80" s="1"/>
  <c r="F86"/>
  <c r="G86" s="1"/>
  <c r="X86" s="1"/>
  <c r="F96"/>
  <c r="G96" s="1"/>
  <c r="X96" s="1"/>
  <c r="F111"/>
  <c r="G111" s="1"/>
  <c r="X111" s="1"/>
  <c r="F103"/>
  <c r="G103" s="1"/>
  <c r="X103" s="1"/>
  <c r="F120"/>
  <c r="G120" s="1"/>
  <c r="X120" s="1"/>
  <c r="F135"/>
  <c r="G135" s="1"/>
  <c r="X135" s="1"/>
  <c r="F148"/>
  <c r="G148" s="1"/>
  <c r="X148" s="1"/>
  <c r="F161"/>
  <c r="G161" s="1"/>
  <c r="X161" s="1"/>
  <c r="F179"/>
  <c r="G179" s="1"/>
  <c r="X179" s="1"/>
  <c r="F171"/>
  <c r="G171" s="1"/>
  <c r="X171" s="1"/>
  <c r="F183"/>
  <c r="G183" s="1"/>
  <c r="X183" s="1"/>
  <c r="F195"/>
  <c r="G195" s="1"/>
  <c r="X195" s="1"/>
  <c r="F213"/>
  <c r="G213" s="1"/>
  <c r="X213" s="1"/>
  <c r="F205"/>
  <c r="G205" s="1"/>
  <c r="X205" s="1"/>
  <c r="F223"/>
  <c r="G223" s="1"/>
  <c r="X223" s="1"/>
  <c r="F219"/>
  <c r="G219" s="1"/>
  <c r="X219" s="1"/>
  <c r="F234"/>
  <c r="G234" s="1"/>
  <c r="X234" s="1"/>
  <c r="F244"/>
  <c r="G244" s="1"/>
  <c r="X244" s="1"/>
  <c r="F260"/>
  <c r="G260" s="1"/>
  <c r="X260" s="1"/>
  <c r="F252"/>
  <c r="G252" s="1"/>
  <c r="X252" s="1"/>
  <c r="F267"/>
  <c r="G267" s="1"/>
  <c r="X267" s="1"/>
  <c r="F284"/>
  <c r="G284" s="1"/>
  <c r="X284" s="1"/>
  <c r="F276"/>
  <c r="G276" s="1"/>
  <c r="X276" s="1"/>
  <c r="F310"/>
  <c r="G310" s="1"/>
  <c r="X310" s="1"/>
  <c r="F302"/>
  <c r="G302" s="1"/>
  <c r="X302" s="1"/>
  <c r="F330"/>
  <c r="G330" s="1"/>
  <c r="X330" s="1"/>
  <c r="F322"/>
  <c r="G322" s="1"/>
  <c r="X322" s="1"/>
  <c r="F341"/>
  <c r="G341" s="1"/>
  <c r="X341" s="1"/>
  <c r="F333"/>
  <c r="G333" s="1"/>
  <c r="X333" s="1"/>
  <c r="F347"/>
  <c r="G347" s="1"/>
  <c r="X347" s="1"/>
  <c r="F361"/>
  <c r="G361" s="1"/>
  <c r="X361" s="1"/>
  <c r="F375"/>
  <c r="G375" s="1"/>
  <c r="X375" s="1"/>
  <c r="F60"/>
  <c r="G60" s="1"/>
  <c r="X60" s="1"/>
  <c r="F63"/>
  <c r="G63" s="1"/>
  <c r="X63" s="1"/>
  <c r="F70"/>
  <c r="G70" s="1"/>
  <c r="X70" s="1"/>
  <c r="F66"/>
  <c r="G66" s="1"/>
  <c r="X66" s="1"/>
  <c r="F21"/>
  <c r="G21" s="1"/>
  <c r="X21" s="1"/>
  <c r="F22"/>
  <c r="G22" s="1"/>
  <c r="X22" s="1"/>
  <c r="F78"/>
  <c r="G78" s="1"/>
  <c r="X78" s="1"/>
  <c r="F88"/>
  <c r="G88" s="1"/>
  <c r="X88" s="1"/>
  <c r="F84"/>
  <c r="G84" s="1"/>
  <c r="X84" s="1"/>
  <c r="F98"/>
  <c r="G98" s="1"/>
  <c r="X98" s="1"/>
  <c r="F94"/>
  <c r="G94" s="1"/>
  <c r="X94" s="1"/>
  <c r="F113"/>
  <c r="G113" s="1"/>
  <c r="X113" s="1"/>
  <c r="F109"/>
  <c r="G109" s="1"/>
  <c r="X109" s="1"/>
  <c r="F105"/>
  <c r="G105" s="1"/>
  <c r="X105" s="1"/>
  <c r="F115"/>
  <c r="G115" s="1"/>
  <c r="X115" s="1"/>
  <c r="F126"/>
  <c r="G126" s="1"/>
  <c r="X126" s="1"/>
  <c r="F122"/>
  <c r="G122" s="1"/>
  <c r="X122" s="1"/>
  <c r="F118"/>
  <c r="G118" s="1"/>
  <c r="X118" s="1"/>
  <c r="F137"/>
  <c r="G137" s="1"/>
  <c r="X137" s="1"/>
  <c r="F133"/>
  <c r="G133" s="1"/>
  <c r="X133" s="1"/>
  <c r="F145"/>
  <c r="G145" s="1"/>
  <c r="X145" s="1"/>
  <c r="F141"/>
  <c r="G141" s="1"/>
  <c r="X141" s="1"/>
  <c r="F152"/>
  <c r="G152" s="1"/>
  <c r="X152" s="1"/>
  <c r="F155"/>
  <c r="G155" s="1"/>
  <c r="X155" s="1"/>
  <c r="F163"/>
  <c r="G163" s="1"/>
  <c r="X163" s="1"/>
  <c r="F159"/>
  <c r="G159" s="1"/>
  <c r="X159" s="1"/>
  <c r="F168"/>
  <c r="G168" s="1"/>
  <c r="X168" s="1"/>
  <c r="F177"/>
  <c r="G177" s="1"/>
  <c r="X177" s="1"/>
  <c r="F173"/>
  <c r="G173" s="1"/>
  <c r="X173" s="1"/>
  <c r="F169"/>
  <c r="G169" s="1"/>
  <c r="X169" s="1"/>
  <c r="F185"/>
  <c r="G185" s="1"/>
  <c r="X185" s="1"/>
  <c r="F201"/>
  <c r="G201" s="1"/>
  <c r="X201" s="1"/>
  <c r="F197"/>
  <c r="G197" s="1"/>
  <c r="X197" s="1"/>
  <c r="F193"/>
  <c r="G193" s="1"/>
  <c r="X193" s="1"/>
  <c r="F203"/>
  <c r="G203" s="1"/>
  <c r="X203" s="1"/>
  <c r="F211"/>
  <c r="G211" s="1"/>
  <c r="X211" s="1"/>
  <c r="F207"/>
  <c r="G207" s="1"/>
  <c r="X207" s="1"/>
  <c r="F216"/>
  <c r="G216" s="1"/>
  <c r="X216" s="1"/>
  <c r="F225"/>
  <c r="G225" s="1"/>
  <c r="X225" s="1"/>
  <c r="F221"/>
  <c r="G221" s="1"/>
  <c r="X221" s="1"/>
  <c r="F217"/>
  <c r="G217" s="1"/>
  <c r="X217" s="1"/>
  <c r="F236"/>
  <c r="G236" s="1"/>
  <c r="X236" s="1"/>
  <c r="F232"/>
  <c r="G232" s="1"/>
  <c r="X232" s="1"/>
  <c r="F246"/>
  <c r="G246" s="1"/>
  <c r="X246" s="1"/>
  <c r="F242"/>
  <c r="G242" s="1"/>
  <c r="X242" s="1"/>
  <c r="F262"/>
  <c r="G262" s="1"/>
  <c r="X262" s="1"/>
  <c r="F258"/>
  <c r="G258" s="1"/>
  <c r="X258" s="1"/>
  <c r="F254"/>
  <c r="G254" s="1"/>
  <c r="X254" s="1"/>
  <c r="F250"/>
  <c r="G250" s="1"/>
  <c r="X250" s="1"/>
  <c r="F269"/>
  <c r="G269" s="1"/>
  <c r="X269" s="1"/>
  <c r="F273"/>
  <c r="G273" s="1"/>
  <c r="X273" s="1"/>
  <c r="F286"/>
  <c r="G286" s="1"/>
  <c r="X286" s="1"/>
  <c r="F282"/>
  <c r="G282" s="1"/>
  <c r="X282" s="1"/>
  <c r="F278"/>
  <c r="G278" s="1"/>
  <c r="X278" s="1"/>
  <c r="F274"/>
  <c r="G274" s="1"/>
  <c r="X274" s="1"/>
  <c r="F312"/>
  <c r="G312" s="1"/>
  <c r="X312" s="1"/>
  <c r="F308"/>
  <c r="G308" s="1"/>
  <c r="X308" s="1"/>
  <c r="F304"/>
  <c r="G304" s="1"/>
  <c r="X304" s="1"/>
  <c r="F300"/>
  <c r="G300" s="1"/>
  <c r="X300" s="1"/>
  <c r="F296"/>
  <c r="G296" s="1"/>
  <c r="X296" s="1"/>
  <c r="F292"/>
  <c r="G292" s="1"/>
  <c r="X292" s="1"/>
  <c r="F328"/>
  <c r="G328" s="1"/>
  <c r="X328" s="1"/>
  <c r="F324"/>
  <c r="G324" s="1"/>
  <c r="X324" s="1"/>
  <c r="F320"/>
  <c r="G320" s="1"/>
  <c r="X320" s="1"/>
  <c r="F332"/>
  <c r="G332" s="1"/>
  <c r="X332" s="1"/>
  <c r="F339"/>
  <c r="G339" s="1"/>
  <c r="X339" s="1"/>
  <c r="F335"/>
  <c r="G335" s="1"/>
  <c r="X335" s="1"/>
  <c r="F353"/>
  <c r="G353" s="1"/>
  <c r="X353" s="1"/>
  <c r="F349"/>
  <c r="G349" s="1"/>
  <c r="X349" s="1"/>
  <c r="F345"/>
  <c r="G345" s="1"/>
  <c r="X345" s="1"/>
  <c r="F363"/>
  <c r="G363" s="1"/>
  <c r="X363" s="1"/>
  <c r="F359"/>
  <c r="G359" s="1"/>
  <c r="X359" s="1"/>
  <c r="F377"/>
  <c r="G377" s="1"/>
  <c r="X377" s="1"/>
  <c r="F373"/>
  <c r="G373" s="1"/>
  <c r="X373" s="1"/>
  <c r="F369"/>
  <c r="G369" s="1"/>
  <c r="X369" s="1"/>
  <c r="K27"/>
  <c r="E6"/>
  <c r="H6"/>
  <c r="F71"/>
  <c r="G71" s="1"/>
  <c r="X71" s="1"/>
  <c r="F67"/>
  <c r="G67" s="1"/>
  <c r="X67" s="1"/>
  <c r="F23"/>
  <c r="G23" s="1"/>
  <c r="X23" s="1"/>
  <c r="F79"/>
  <c r="G79" s="1"/>
  <c r="X79" s="1"/>
  <c r="F85"/>
  <c r="G85" s="1"/>
  <c r="X85" s="1"/>
  <c r="F95"/>
  <c r="G95" s="1"/>
  <c r="X95" s="1"/>
  <c r="F110"/>
  <c r="G110" s="1"/>
  <c r="X110" s="1"/>
  <c r="F106"/>
  <c r="G106" s="1"/>
  <c r="X106" s="1"/>
  <c r="F127"/>
  <c r="G127" s="1"/>
  <c r="X127" s="1"/>
  <c r="F119"/>
  <c r="G119" s="1"/>
  <c r="X119" s="1"/>
  <c r="F134"/>
  <c r="G134" s="1"/>
  <c r="X134" s="1"/>
  <c r="F142"/>
  <c r="G142" s="1"/>
  <c r="X142" s="1"/>
  <c r="F149"/>
  <c r="G149" s="1"/>
  <c r="X149" s="1"/>
  <c r="F160"/>
  <c r="G160" s="1"/>
  <c r="X160" s="1"/>
  <c r="F178"/>
  <c r="G178" s="1"/>
  <c r="X178" s="1"/>
  <c r="F170"/>
  <c r="G170" s="1"/>
  <c r="X170" s="1"/>
  <c r="F189"/>
  <c r="G189" s="1"/>
  <c r="X189" s="1"/>
  <c r="F190"/>
  <c r="G190" s="1"/>
  <c r="X190" s="1"/>
  <c r="F208"/>
  <c r="G208" s="1"/>
  <c r="X208" s="1"/>
  <c r="F226"/>
  <c r="G226" s="1"/>
  <c r="X226" s="1"/>
  <c r="F222"/>
  <c r="G222" s="1"/>
  <c r="X222" s="1"/>
  <c r="F237"/>
  <c r="G237" s="1"/>
  <c r="X237" s="1"/>
  <c r="F247"/>
  <c r="G247" s="1"/>
  <c r="X247" s="1"/>
  <c r="F263"/>
  <c r="G263" s="1"/>
  <c r="X263" s="1"/>
  <c r="F255"/>
  <c r="G255" s="1"/>
  <c r="X255" s="1"/>
  <c r="F270"/>
  <c r="G270" s="1"/>
  <c r="X270" s="1"/>
  <c r="F287"/>
  <c r="G287" s="1"/>
  <c r="X287" s="1"/>
  <c r="F279"/>
  <c r="G279" s="1"/>
  <c r="X279" s="1"/>
  <c r="F309"/>
  <c r="G309" s="1"/>
  <c r="X309" s="1"/>
  <c r="F301"/>
  <c r="G301" s="1"/>
  <c r="X301" s="1"/>
  <c r="F293"/>
  <c r="G293" s="1"/>
  <c r="X293" s="1"/>
  <c r="F325"/>
  <c r="G325" s="1"/>
  <c r="X325" s="1"/>
  <c r="F317"/>
  <c r="G317" s="1"/>
  <c r="X317" s="1"/>
  <c r="F344"/>
  <c r="G344" s="1"/>
  <c r="X344" s="1"/>
  <c r="F346"/>
  <c r="G346" s="1"/>
  <c r="X346" s="1"/>
  <c r="F360"/>
  <c r="G360" s="1"/>
  <c r="X360" s="1"/>
  <c r="F374"/>
  <c r="G374" s="1"/>
  <c r="X374" s="1"/>
  <c r="F368"/>
  <c r="G368" s="1"/>
  <c r="X368" s="1"/>
  <c r="F58"/>
  <c r="G58" s="1"/>
  <c r="X58" s="1"/>
  <c r="F68"/>
  <c r="G68" s="1"/>
  <c r="X68" s="1"/>
  <c r="F64"/>
  <c r="G64" s="1"/>
  <c r="X64" s="1"/>
  <c r="F19"/>
  <c r="G19" s="1"/>
  <c r="X19" s="1"/>
  <c r="F82"/>
  <c r="G82" s="1"/>
  <c r="X82" s="1"/>
  <c r="F91"/>
  <c r="G91" s="1"/>
  <c r="X91" s="1"/>
  <c r="F92"/>
  <c r="G92" s="1"/>
  <c r="X92" s="1"/>
  <c r="F107"/>
  <c r="G107" s="1"/>
  <c r="X107" s="1"/>
  <c r="F128"/>
  <c r="G128" s="1"/>
  <c r="X128" s="1"/>
  <c r="F124"/>
  <c r="G124" s="1"/>
  <c r="X124" s="1"/>
  <c r="F116"/>
  <c r="G116" s="1"/>
  <c r="X116" s="1"/>
  <c r="F139"/>
  <c r="G139" s="1"/>
  <c r="X139" s="1"/>
  <c r="F143"/>
  <c r="G143" s="1"/>
  <c r="X143" s="1"/>
  <c r="F150"/>
  <c r="G150" s="1"/>
  <c r="X150" s="1"/>
  <c r="F165"/>
  <c r="G165" s="1"/>
  <c r="X165" s="1"/>
  <c r="F157"/>
  <c r="G157" s="1"/>
  <c r="X157" s="1"/>
  <c r="F175"/>
  <c r="G175" s="1"/>
  <c r="X175" s="1"/>
  <c r="F187"/>
  <c r="G187" s="1"/>
  <c r="X187" s="1"/>
  <c r="F199"/>
  <c r="G199" s="1"/>
  <c r="X199" s="1"/>
  <c r="F191"/>
  <c r="G191" s="1"/>
  <c r="X191" s="1"/>
  <c r="F209"/>
  <c r="G209" s="1"/>
  <c r="X209" s="1"/>
  <c r="F227"/>
  <c r="G227" s="1"/>
  <c r="X227" s="1"/>
  <c r="F238"/>
  <c r="G238" s="1"/>
  <c r="X238" s="1"/>
  <c r="F240"/>
  <c r="G240" s="1"/>
  <c r="X240" s="1"/>
  <c r="F256"/>
  <c r="G256" s="1"/>
  <c r="X256" s="1"/>
  <c r="F271"/>
  <c r="G271" s="1"/>
  <c r="X271" s="1"/>
  <c r="F288"/>
  <c r="G288" s="1"/>
  <c r="X288" s="1"/>
  <c r="F280"/>
  <c r="G280" s="1"/>
  <c r="X280" s="1"/>
  <c r="F314"/>
  <c r="G314" s="1"/>
  <c r="X314" s="1"/>
  <c r="F306"/>
  <c r="G306" s="1"/>
  <c r="X306" s="1"/>
  <c r="F298"/>
  <c r="G298" s="1"/>
  <c r="X298" s="1"/>
  <c r="F294"/>
  <c r="G294" s="1"/>
  <c r="X294" s="1"/>
  <c r="F326"/>
  <c r="G326" s="1"/>
  <c r="X326" s="1"/>
  <c r="F318"/>
  <c r="G318" s="1"/>
  <c r="X318" s="1"/>
  <c r="F337"/>
  <c r="G337" s="1"/>
  <c r="X337" s="1"/>
  <c r="F351"/>
  <c r="G351" s="1"/>
  <c r="X351" s="1"/>
  <c r="F365"/>
  <c r="G365" s="1"/>
  <c r="X365" s="1"/>
  <c r="F357"/>
  <c r="G357" s="1"/>
  <c r="X357" s="1"/>
  <c r="F371"/>
  <c r="G371" s="1"/>
  <c r="X371" s="1"/>
  <c r="F354"/>
  <c r="G354" s="1"/>
  <c r="X354" s="1"/>
  <c r="F59"/>
  <c r="G59" s="1"/>
  <c r="X59" s="1"/>
  <c r="F73"/>
  <c r="G73" s="1"/>
  <c r="X73" s="1"/>
  <c r="F69"/>
  <c r="G69" s="1"/>
  <c r="X69" s="1"/>
  <c r="F65"/>
  <c r="G65" s="1"/>
  <c r="X65" s="1"/>
  <c r="F25"/>
  <c r="G25" s="1"/>
  <c r="X25" s="1"/>
  <c r="F20"/>
  <c r="G20" s="1"/>
  <c r="X20" s="1"/>
  <c r="F76"/>
  <c r="G76" s="1"/>
  <c r="X76" s="1"/>
  <c r="F77"/>
  <c r="G77" s="1"/>
  <c r="X77" s="1"/>
  <c r="F87"/>
  <c r="G87" s="1"/>
  <c r="X87" s="1"/>
  <c r="F83"/>
  <c r="G83" s="1"/>
  <c r="X83" s="1"/>
  <c r="F97"/>
  <c r="G97" s="1"/>
  <c r="X97" s="1"/>
  <c r="F93"/>
  <c r="G93" s="1"/>
  <c r="X93" s="1"/>
  <c r="F112"/>
  <c r="G112" s="1"/>
  <c r="X112" s="1"/>
  <c r="F108"/>
  <c r="G108" s="1"/>
  <c r="X108" s="1"/>
  <c r="F104"/>
  <c r="G104" s="1"/>
  <c r="X104" s="1"/>
  <c r="F129"/>
  <c r="G129" s="1"/>
  <c r="X129" s="1"/>
  <c r="F125"/>
  <c r="G125" s="1"/>
  <c r="X125" s="1"/>
  <c r="F121"/>
  <c r="G121" s="1"/>
  <c r="X121" s="1"/>
  <c r="F117"/>
  <c r="G117" s="1"/>
  <c r="X117" s="1"/>
  <c r="F136"/>
  <c r="G136" s="1"/>
  <c r="X136" s="1"/>
  <c r="F132"/>
  <c r="G132" s="1"/>
  <c r="X132" s="1"/>
  <c r="F144"/>
  <c r="G144" s="1"/>
  <c r="X144" s="1"/>
  <c r="F140"/>
  <c r="G140" s="1"/>
  <c r="X140" s="1"/>
  <c r="F151"/>
  <c r="G151" s="1"/>
  <c r="X151" s="1"/>
  <c r="F166"/>
  <c r="G166" s="1"/>
  <c r="X166" s="1"/>
  <c r="F162"/>
  <c r="G162" s="1"/>
  <c r="X162" s="1"/>
  <c r="F158"/>
  <c r="G158" s="1"/>
  <c r="X158" s="1"/>
  <c r="F180"/>
  <c r="G180" s="1"/>
  <c r="X180" s="1"/>
  <c r="F176"/>
  <c r="G176" s="1"/>
  <c r="X176" s="1"/>
  <c r="F172"/>
  <c r="G172" s="1"/>
  <c r="X172" s="1"/>
  <c r="F182"/>
  <c r="G182" s="1"/>
  <c r="X182" s="1"/>
  <c r="F184"/>
  <c r="G184" s="1"/>
  <c r="X184" s="1"/>
  <c r="F200"/>
  <c r="G200" s="1"/>
  <c r="X200" s="1"/>
  <c r="F196"/>
  <c r="G196" s="1"/>
  <c r="X196" s="1"/>
  <c r="F192"/>
  <c r="G192" s="1"/>
  <c r="X192" s="1"/>
  <c r="F214"/>
  <c r="G214" s="1"/>
  <c r="X214" s="1"/>
  <c r="F210"/>
  <c r="G210" s="1"/>
  <c r="X210" s="1"/>
  <c r="F206"/>
  <c r="G206" s="1"/>
  <c r="X206" s="1"/>
  <c r="F228"/>
  <c r="G228" s="1"/>
  <c r="X228" s="1"/>
  <c r="F224"/>
  <c r="G224" s="1"/>
  <c r="X224" s="1"/>
  <c r="F220"/>
  <c r="G220" s="1"/>
  <c r="X220" s="1"/>
  <c r="F230"/>
  <c r="G230" s="1"/>
  <c r="X230" s="1"/>
  <c r="F235"/>
  <c r="G235" s="1"/>
  <c r="X235" s="1"/>
  <c r="F231"/>
  <c r="G231" s="1"/>
  <c r="X231" s="1"/>
  <c r="F245"/>
  <c r="G245" s="1"/>
  <c r="X245" s="1"/>
  <c r="F241"/>
  <c r="G241" s="1"/>
  <c r="X241" s="1"/>
  <c r="F261"/>
  <c r="G261" s="1"/>
  <c r="X261" s="1"/>
  <c r="F257"/>
  <c r="G257" s="1"/>
  <c r="X257" s="1"/>
  <c r="F253"/>
  <c r="G253" s="1"/>
  <c r="X253" s="1"/>
  <c r="F265"/>
  <c r="G265" s="1"/>
  <c r="X265" s="1"/>
  <c r="F268"/>
  <c r="G268" s="1"/>
  <c r="X268" s="1"/>
  <c r="F289"/>
  <c r="G289" s="1"/>
  <c r="X289" s="1"/>
  <c r="F285"/>
  <c r="G285" s="1"/>
  <c r="X285" s="1"/>
  <c r="F281"/>
  <c r="G281" s="1"/>
  <c r="X281" s="1"/>
  <c r="F277"/>
  <c r="G277" s="1"/>
  <c r="X277" s="1"/>
  <c r="F291"/>
  <c r="G291" s="1"/>
  <c r="X291" s="1"/>
  <c r="F311"/>
  <c r="G311" s="1"/>
  <c r="X311" s="1"/>
  <c r="F307"/>
  <c r="G307" s="1"/>
  <c r="X307" s="1"/>
  <c r="F303"/>
  <c r="G303" s="1"/>
  <c r="X303" s="1"/>
  <c r="F299"/>
  <c r="G299" s="1"/>
  <c r="X299" s="1"/>
  <c r="F295"/>
  <c r="G295" s="1"/>
  <c r="X295" s="1"/>
  <c r="F316"/>
  <c r="G316" s="1"/>
  <c r="X316" s="1"/>
  <c r="F327"/>
  <c r="G327" s="1"/>
  <c r="X327" s="1"/>
  <c r="F323"/>
  <c r="G323" s="1"/>
  <c r="X323" s="1"/>
  <c r="F319"/>
  <c r="G319" s="1"/>
  <c r="X319" s="1"/>
  <c r="F342"/>
  <c r="G342" s="1"/>
  <c r="X342" s="1"/>
  <c r="F338"/>
  <c r="G338" s="1"/>
  <c r="X338" s="1"/>
  <c r="F334"/>
  <c r="G334" s="1"/>
  <c r="X334" s="1"/>
  <c r="F352"/>
  <c r="G352" s="1"/>
  <c r="X352" s="1"/>
  <c r="F348"/>
  <c r="G348" s="1"/>
  <c r="X348" s="1"/>
  <c r="F356"/>
  <c r="G356" s="1"/>
  <c r="X356" s="1"/>
  <c r="F362"/>
  <c r="G362" s="1"/>
  <c r="X362" s="1"/>
  <c r="F358"/>
  <c r="G358" s="1"/>
  <c r="X358" s="1"/>
  <c r="F376"/>
  <c r="G376" s="1"/>
  <c r="X376" s="1"/>
  <c r="F372"/>
  <c r="G372" s="1"/>
  <c r="X372" s="1"/>
  <c r="F378"/>
  <c r="G378" s="1"/>
  <c r="X378" s="1"/>
  <c r="H27"/>
  <c r="E27"/>
  <c r="K6"/>
  <c r="B18"/>
  <c r="W18" s="1"/>
  <c r="D19" i="7"/>
  <c r="C381"/>
  <c r="D57"/>
  <c r="D29"/>
  <c r="D8"/>
  <c r="AF27" l="1"/>
  <c r="B25" i="8" s="1"/>
  <c r="W25" s="1"/>
  <c r="AF26" i="7"/>
  <c r="B24" i="8" s="1"/>
  <c r="W24" s="1"/>
  <c r="H249"/>
  <c r="W249"/>
  <c r="E249"/>
  <c r="K249"/>
  <c r="W377"/>
  <c r="AQ276" i="7"/>
  <c r="AR276" s="1"/>
  <c r="AQ284"/>
  <c r="AR284" s="1"/>
  <c r="AQ124"/>
  <c r="AR124" s="1"/>
  <c r="AQ269"/>
  <c r="AR269" s="1"/>
  <c r="AQ323"/>
  <c r="AR323" s="1"/>
  <c r="AQ66"/>
  <c r="AR66" s="1"/>
  <c r="AQ378"/>
  <c r="AR378" s="1"/>
  <c r="AQ318"/>
  <c r="AR318" s="1"/>
  <c r="AQ216"/>
  <c r="AR216" s="1"/>
  <c r="AQ131"/>
  <c r="AR131" s="1"/>
  <c r="AQ328"/>
  <c r="AR328" s="1"/>
  <c r="AQ229"/>
  <c r="AR229" s="1"/>
  <c r="AQ334"/>
  <c r="AR334" s="1"/>
  <c r="AQ209"/>
  <c r="AR209" s="1"/>
  <c r="AQ373"/>
  <c r="AR373" s="1"/>
  <c r="AQ141"/>
  <c r="AR141" s="1"/>
  <c r="AQ380"/>
  <c r="AR380" s="1"/>
  <c r="AQ336"/>
  <c r="AR336" s="1"/>
  <c r="AQ344"/>
  <c r="AR344" s="1"/>
  <c r="AQ283"/>
  <c r="AR283" s="1"/>
  <c r="AQ267"/>
  <c r="AR267" s="1"/>
  <c r="AQ153"/>
  <c r="AR153" s="1"/>
  <c r="AQ319"/>
  <c r="AR319" s="1"/>
  <c r="AQ285"/>
  <c r="AR285" s="1"/>
  <c r="AQ210"/>
  <c r="AR210" s="1"/>
  <c r="AQ341"/>
  <c r="AR341" s="1"/>
  <c r="AQ330"/>
  <c r="AR330" s="1"/>
  <c r="AQ280"/>
  <c r="AR280" s="1"/>
  <c r="AQ271"/>
  <c r="AR271" s="1"/>
  <c r="AQ179"/>
  <c r="AR179" s="1"/>
  <c r="AQ118"/>
  <c r="AR118" s="1"/>
  <c r="AQ130"/>
  <c r="AR130" s="1"/>
  <c r="AQ342"/>
  <c r="AR342" s="1"/>
  <c r="AQ272"/>
  <c r="AR272" s="1"/>
  <c r="AQ162"/>
  <c r="AR162" s="1"/>
  <c r="AQ121"/>
  <c r="AR121" s="1"/>
  <c r="AQ329"/>
  <c r="AR329" s="1"/>
  <c r="AQ270"/>
  <c r="AR270" s="1"/>
  <c r="AQ247"/>
  <c r="AR247" s="1"/>
  <c r="AQ119"/>
  <c r="AR119" s="1"/>
  <c r="AQ127"/>
  <c r="AR127" s="1"/>
  <c r="AQ320"/>
  <c r="AR320" s="1"/>
  <c r="AQ290"/>
  <c r="AR290" s="1"/>
  <c r="AQ246"/>
  <c r="AR246" s="1"/>
  <c r="AQ122"/>
  <c r="AR122" s="1"/>
  <c r="AQ372"/>
  <c r="AR372" s="1"/>
  <c r="AQ327"/>
  <c r="AR327" s="1"/>
  <c r="AQ277"/>
  <c r="AR277" s="1"/>
  <c r="B378" i="8"/>
  <c r="W378" s="1"/>
  <c r="K18"/>
  <c r="H18"/>
  <c r="E18"/>
  <c r="E377"/>
  <c r="K377"/>
  <c r="H377"/>
  <c r="B22"/>
  <c r="E22" s="1"/>
  <c r="B21"/>
  <c r="W21" s="1"/>
  <c r="B26"/>
  <c r="B23"/>
  <c r="W23" s="1"/>
  <c r="B19"/>
  <c r="W19" s="1"/>
  <c r="B20"/>
  <c r="B372"/>
  <c r="B334"/>
  <c r="W334" s="1"/>
  <c r="B338"/>
  <c r="W338" s="1"/>
  <c r="B319"/>
  <c r="W319" s="1"/>
  <c r="B316"/>
  <c r="B295"/>
  <c r="B299"/>
  <c r="W299" s="1"/>
  <c r="B307"/>
  <c r="W307" s="1"/>
  <c r="B311"/>
  <c r="W311" s="1"/>
  <c r="B291"/>
  <c r="B253"/>
  <c r="W253" s="1"/>
  <c r="B220"/>
  <c r="W220" s="1"/>
  <c r="B151"/>
  <c r="W151" s="1"/>
  <c r="B77"/>
  <c r="W77" s="1"/>
  <c r="B370"/>
  <c r="W370" s="1"/>
  <c r="B317"/>
  <c r="W317" s="1"/>
  <c r="B309"/>
  <c r="B275"/>
  <c r="B266"/>
  <c r="W266" s="1"/>
  <c r="B251"/>
  <c r="B243"/>
  <c r="B247"/>
  <c r="W247" s="1"/>
  <c r="B218"/>
  <c r="W218" s="1"/>
  <c r="B204"/>
  <c r="B212"/>
  <c r="W212" s="1"/>
  <c r="B186"/>
  <c r="W186" s="1"/>
  <c r="B164"/>
  <c r="W164" s="1"/>
  <c r="B99"/>
  <c r="W99" s="1"/>
  <c r="B85"/>
  <c r="W85" s="1"/>
  <c r="B71"/>
  <c r="B373"/>
  <c r="W373" s="1"/>
  <c r="B359"/>
  <c r="W359" s="1"/>
  <c r="B363"/>
  <c r="B274"/>
  <c r="B282"/>
  <c r="W282" s="1"/>
  <c r="B254"/>
  <c r="W254" s="1"/>
  <c r="B262"/>
  <c r="B242"/>
  <c r="B221"/>
  <c r="W221" s="1"/>
  <c r="B133"/>
  <c r="B57"/>
  <c r="W57" s="1"/>
  <c r="B371"/>
  <c r="W371" s="1"/>
  <c r="B375"/>
  <c r="W375" s="1"/>
  <c r="B357"/>
  <c r="W357" s="1"/>
  <c r="B361"/>
  <c r="W361" s="1"/>
  <c r="B365"/>
  <c r="W365" s="1"/>
  <c r="B347"/>
  <c r="W347" s="1"/>
  <c r="B333"/>
  <c r="B337"/>
  <c r="W337" s="1"/>
  <c r="B318"/>
  <c r="B322"/>
  <c r="W322" s="1"/>
  <c r="B294"/>
  <c r="B298"/>
  <c r="B302"/>
  <c r="W302" s="1"/>
  <c r="B306"/>
  <c r="W306" s="1"/>
  <c r="B314"/>
  <c r="W314" s="1"/>
  <c r="B276"/>
  <c r="W276" s="1"/>
  <c r="B280"/>
  <c r="W280" s="1"/>
  <c r="B284"/>
  <c r="W284" s="1"/>
  <c r="B288"/>
  <c r="B267"/>
  <c r="B271"/>
  <c r="B256"/>
  <c r="W256" s="1"/>
  <c r="B260"/>
  <c r="B244"/>
  <c r="B240"/>
  <c r="W240" s="1"/>
  <c r="B219"/>
  <c r="W219" s="1"/>
  <c r="B227"/>
  <c r="W227" s="1"/>
  <c r="B209"/>
  <c r="W209" s="1"/>
  <c r="B213"/>
  <c r="W213" s="1"/>
  <c r="B199"/>
  <c r="W199" s="1"/>
  <c r="B183"/>
  <c r="W183" s="1"/>
  <c r="B187"/>
  <c r="B175"/>
  <c r="W175" s="1"/>
  <c r="B157"/>
  <c r="W157" s="1"/>
  <c r="B161"/>
  <c r="W161" s="1"/>
  <c r="B165"/>
  <c r="B150"/>
  <c r="W150" s="1"/>
  <c r="B148"/>
  <c r="W148" s="1"/>
  <c r="B143"/>
  <c r="W143" s="1"/>
  <c r="B139"/>
  <c r="B120"/>
  <c r="W120" s="1"/>
  <c r="B124"/>
  <c r="B128"/>
  <c r="W128" s="1"/>
  <c r="B111"/>
  <c r="B92"/>
  <c r="W92" s="1"/>
  <c r="B96"/>
  <c r="B91"/>
  <c r="W91" s="1"/>
  <c r="B86"/>
  <c r="B82"/>
  <c r="B64"/>
  <c r="W64" s="1"/>
  <c r="B68"/>
  <c r="W68" s="1"/>
  <c r="B72"/>
  <c r="W72" s="1"/>
  <c r="B354"/>
  <c r="B374"/>
  <c r="B367"/>
  <c r="W367" s="1"/>
  <c r="B360"/>
  <c r="W360" s="1"/>
  <c r="B364"/>
  <c r="W364" s="1"/>
  <c r="B350"/>
  <c r="B336"/>
  <c r="W336" s="1"/>
  <c r="B340"/>
  <c r="B325"/>
  <c r="B293"/>
  <c r="W293" s="1"/>
  <c r="B301"/>
  <c r="W301" s="1"/>
  <c r="B313"/>
  <c r="W313" s="1"/>
  <c r="B287"/>
  <c r="B270"/>
  <c r="W270" s="1"/>
  <c r="B255"/>
  <c r="W255" s="1"/>
  <c r="B263"/>
  <c r="B233"/>
  <c r="W233" s="1"/>
  <c r="B222"/>
  <c r="B208"/>
  <c r="B190"/>
  <c r="W190" s="1"/>
  <c r="B170"/>
  <c r="W170" s="1"/>
  <c r="B160"/>
  <c r="B149"/>
  <c r="W149" s="1"/>
  <c r="B142"/>
  <c r="W142" s="1"/>
  <c r="B123"/>
  <c r="W123" s="1"/>
  <c r="B102"/>
  <c r="W102" s="1"/>
  <c r="B110"/>
  <c r="B141"/>
  <c r="B137"/>
  <c r="W137" s="1"/>
  <c r="B126"/>
  <c r="W126" s="1"/>
  <c r="B115"/>
  <c r="W115" s="1"/>
  <c r="B109"/>
  <c r="B88"/>
  <c r="W88" s="1"/>
  <c r="B60"/>
  <c r="W60" s="1"/>
  <c r="B376"/>
  <c r="B358"/>
  <c r="W358" s="1"/>
  <c r="B362"/>
  <c r="B356"/>
  <c r="B348"/>
  <c r="B352"/>
  <c r="B342"/>
  <c r="W342" s="1"/>
  <c r="B323"/>
  <c r="B327"/>
  <c r="B303"/>
  <c r="W303" s="1"/>
  <c r="B277"/>
  <c r="B281"/>
  <c r="B285"/>
  <c r="B289"/>
  <c r="B268"/>
  <c r="B265"/>
  <c r="W265" s="1"/>
  <c r="B257"/>
  <c r="B261"/>
  <c r="B241"/>
  <c r="B245"/>
  <c r="W245" s="1"/>
  <c r="B231"/>
  <c r="B235"/>
  <c r="B230"/>
  <c r="W230" s="1"/>
  <c r="B224"/>
  <c r="B228"/>
  <c r="B206"/>
  <c r="W206" s="1"/>
  <c r="B210"/>
  <c r="B214"/>
  <c r="B192"/>
  <c r="B196"/>
  <c r="W196" s="1"/>
  <c r="B200"/>
  <c r="W200" s="1"/>
  <c r="B184"/>
  <c r="W184" s="1"/>
  <c r="B182"/>
  <c r="B172"/>
  <c r="B176"/>
  <c r="B180"/>
  <c r="B158"/>
  <c r="B162"/>
  <c r="B166"/>
  <c r="W166" s="1"/>
  <c r="B140"/>
  <c r="B144"/>
  <c r="B132"/>
  <c r="B136"/>
  <c r="B117"/>
  <c r="B121"/>
  <c r="B125"/>
  <c r="W125" s="1"/>
  <c r="B129"/>
  <c r="W129" s="1"/>
  <c r="B104"/>
  <c r="W104" s="1"/>
  <c r="B108"/>
  <c r="B112"/>
  <c r="B93"/>
  <c r="B97"/>
  <c r="W97" s="1"/>
  <c r="B83"/>
  <c r="B87"/>
  <c r="B76"/>
  <c r="W76" s="1"/>
  <c r="B65"/>
  <c r="B69"/>
  <c r="B73"/>
  <c r="B59"/>
  <c r="B344"/>
  <c r="W344" s="1"/>
  <c r="B321"/>
  <c r="B329"/>
  <c r="B297"/>
  <c r="B305"/>
  <c r="W305" s="1"/>
  <c r="B283"/>
  <c r="W283" s="1"/>
  <c r="B259"/>
  <c r="B237"/>
  <c r="B226"/>
  <c r="B194"/>
  <c r="B198"/>
  <c r="B174"/>
  <c r="B156"/>
  <c r="W156" s="1"/>
  <c r="B153"/>
  <c r="B134"/>
  <c r="B119"/>
  <c r="W119" s="1"/>
  <c r="B127"/>
  <c r="B106"/>
  <c r="B101"/>
  <c r="W101" s="1"/>
  <c r="B79"/>
  <c r="B74"/>
  <c r="W74" s="1"/>
  <c r="B61"/>
  <c r="B368"/>
  <c r="B369"/>
  <c r="W369" s="1"/>
  <c r="B345"/>
  <c r="B349"/>
  <c r="B353"/>
  <c r="B335"/>
  <c r="B339"/>
  <c r="W339" s="1"/>
  <c r="B332"/>
  <c r="W332" s="1"/>
  <c r="B320"/>
  <c r="W320" s="1"/>
  <c r="B324"/>
  <c r="B328"/>
  <c r="B292"/>
  <c r="W292" s="1"/>
  <c r="B296"/>
  <c r="B300"/>
  <c r="B304"/>
  <c r="W304" s="1"/>
  <c r="B308"/>
  <c r="W308" s="1"/>
  <c r="B312"/>
  <c r="W312" s="1"/>
  <c r="B278"/>
  <c r="B286"/>
  <c r="B273"/>
  <c r="B269"/>
  <c r="W269" s="1"/>
  <c r="B250"/>
  <c r="W250" s="1"/>
  <c r="B258"/>
  <c r="B246"/>
  <c r="B232"/>
  <c r="W232" s="1"/>
  <c r="B236"/>
  <c r="W236" s="1"/>
  <c r="B217"/>
  <c r="W217" s="1"/>
  <c r="B225"/>
  <c r="W225" s="1"/>
  <c r="B216"/>
  <c r="B207"/>
  <c r="W207" s="1"/>
  <c r="B211"/>
  <c r="B203"/>
  <c r="B193"/>
  <c r="W193" s="1"/>
  <c r="B197"/>
  <c r="W197" s="1"/>
  <c r="B201"/>
  <c r="W201" s="1"/>
  <c r="B185"/>
  <c r="B169"/>
  <c r="B177"/>
  <c r="W177" s="1"/>
  <c r="B168"/>
  <c r="W168" s="1"/>
  <c r="B159"/>
  <c r="B163"/>
  <c r="W163" s="1"/>
  <c r="B155"/>
  <c r="W155" s="1"/>
  <c r="B152"/>
  <c r="B145"/>
  <c r="B118"/>
  <c r="W118" s="1"/>
  <c r="B105"/>
  <c r="W105" s="1"/>
  <c r="B113"/>
  <c r="B84"/>
  <c r="W84" s="1"/>
  <c r="B78"/>
  <c r="B66"/>
  <c r="W66" s="1"/>
  <c r="B70"/>
  <c r="B63"/>
  <c r="B351"/>
  <c r="W351" s="1"/>
  <c r="B341"/>
  <c r="W341" s="1"/>
  <c r="B326"/>
  <c r="B330"/>
  <c r="W330" s="1"/>
  <c r="B310"/>
  <c r="W310" s="1"/>
  <c r="B252"/>
  <c r="B234"/>
  <c r="W234" s="1"/>
  <c r="B238"/>
  <c r="W238" s="1"/>
  <c r="B223"/>
  <c r="W223" s="1"/>
  <c r="B205"/>
  <c r="W205" s="1"/>
  <c r="B191"/>
  <c r="B195"/>
  <c r="B171"/>
  <c r="B179"/>
  <c r="W179" s="1"/>
  <c r="B135"/>
  <c r="W135" s="1"/>
  <c r="B116"/>
  <c r="B103"/>
  <c r="W103" s="1"/>
  <c r="B107"/>
  <c r="W107" s="1"/>
  <c r="B80"/>
  <c r="B58"/>
  <c r="W58" s="1"/>
  <c r="B346"/>
  <c r="B279"/>
  <c r="W279" s="1"/>
  <c r="B189"/>
  <c r="W189" s="1"/>
  <c r="B178"/>
  <c r="W178" s="1"/>
  <c r="B146"/>
  <c r="W146" s="1"/>
  <c r="B131"/>
  <c r="W131" s="1"/>
  <c r="B95"/>
  <c r="B89"/>
  <c r="B67"/>
  <c r="W67" s="1"/>
  <c r="B173"/>
  <c r="W173" s="1"/>
  <c r="B122"/>
  <c r="W122" s="1"/>
  <c r="B94"/>
  <c r="B98"/>
  <c r="W98" s="1"/>
  <c r="D381" i="7"/>
  <c r="AD19"/>
  <c r="AD29"/>
  <c r="AD8"/>
  <c r="AC19"/>
  <c r="AC8"/>
  <c r="AC29"/>
  <c r="AC57"/>
  <c r="AD57"/>
  <c r="W22" i="8" l="1"/>
  <c r="E95"/>
  <c r="W95"/>
  <c r="E191"/>
  <c r="W191"/>
  <c r="E326"/>
  <c r="W326"/>
  <c r="E113"/>
  <c r="W113"/>
  <c r="E345"/>
  <c r="W345"/>
  <c r="E127"/>
  <c r="W127"/>
  <c r="K226"/>
  <c r="W226"/>
  <c r="E117"/>
  <c r="W117"/>
  <c r="E224"/>
  <c r="W224"/>
  <c r="K323"/>
  <c r="W323"/>
  <c r="E222"/>
  <c r="W222"/>
  <c r="E374"/>
  <c r="W374"/>
  <c r="E96"/>
  <c r="W96"/>
  <c r="E20"/>
  <c r="W20"/>
  <c r="E89"/>
  <c r="W89"/>
  <c r="E195"/>
  <c r="W195"/>
  <c r="E159"/>
  <c r="W159"/>
  <c r="E203"/>
  <c r="W203"/>
  <c r="E246"/>
  <c r="W246"/>
  <c r="E61"/>
  <c r="W61"/>
  <c r="E153"/>
  <c r="W153"/>
  <c r="E69"/>
  <c r="W69"/>
  <c r="E108"/>
  <c r="W108"/>
  <c r="E144"/>
  <c r="W144"/>
  <c r="E182"/>
  <c r="W182"/>
  <c r="E228"/>
  <c r="W228"/>
  <c r="E257"/>
  <c r="W257"/>
  <c r="E327"/>
  <c r="W327"/>
  <c r="K208"/>
  <c r="W208"/>
  <c r="K260"/>
  <c r="W260"/>
  <c r="E251"/>
  <c r="W251"/>
  <c r="E346"/>
  <c r="W346"/>
  <c r="E171"/>
  <c r="W171"/>
  <c r="E78"/>
  <c r="W78"/>
  <c r="E169"/>
  <c r="W169"/>
  <c r="K216"/>
  <c r="W216"/>
  <c r="E296"/>
  <c r="W296"/>
  <c r="E353"/>
  <c r="W353"/>
  <c r="E368"/>
  <c r="W368"/>
  <c r="E134"/>
  <c r="W134"/>
  <c r="E198"/>
  <c r="W198"/>
  <c r="E259"/>
  <c r="W259"/>
  <c r="E329"/>
  <c r="W329"/>
  <c r="E73"/>
  <c r="W73"/>
  <c r="E87"/>
  <c r="W87"/>
  <c r="E112"/>
  <c r="W112"/>
  <c r="E132"/>
  <c r="W132"/>
  <c r="E162"/>
  <c r="W162"/>
  <c r="E172"/>
  <c r="W172"/>
  <c r="E235"/>
  <c r="W235"/>
  <c r="E261"/>
  <c r="W261"/>
  <c r="E289"/>
  <c r="W289"/>
  <c r="K352"/>
  <c r="W352"/>
  <c r="E109"/>
  <c r="W109"/>
  <c r="E141"/>
  <c r="W141"/>
  <c r="E263"/>
  <c r="W263"/>
  <c r="E340"/>
  <c r="W340"/>
  <c r="E86"/>
  <c r="W86"/>
  <c r="E111"/>
  <c r="W111"/>
  <c r="E139"/>
  <c r="W139"/>
  <c r="E165"/>
  <c r="W165"/>
  <c r="E187"/>
  <c r="W187"/>
  <c r="E244"/>
  <c r="W244"/>
  <c r="E267"/>
  <c r="W267"/>
  <c r="E298"/>
  <c r="W298"/>
  <c r="E262"/>
  <c r="W262"/>
  <c r="E363"/>
  <c r="W363"/>
  <c r="E243"/>
  <c r="W243"/>
  <c r="E309"/>
  <c r="W309"/>
  <c r="K316"/>
  <c r="W316"/>
  <c r="E372"/>
  <c r="W372"/>
  <c r="E80"/>
  <c r="W80"/>
  <c r="E70"/>
  <c r="W70"/>
  <c r="E152"/>
  <c r="W152"/>
  <c r="E211"/>
  <c r="W211"/>
  <c r="E258"/>
  <c r="W258"/>
  <c r="E286"/>
  <c r="W286"/>
  <c r="E328"/>
  <c r="W328"/>
  <c r="E65"/>
  <c r="W65"/>
  <c r="E140"/>
  <c r="W140"/>
  <c r="E180"/>
  <c r="W180"/>
  <c r="E214"/>
  <c r="W214"/>
  <c r="E281"/>
  <c r="W281"/>
  <c r="E356"/>
  <c r="W356"/>
  <c r="E160"/>
  <c r="W160"/>
  <c r="E350"/>
  <c r="W350"/>
  <c r="E124"/>
  <c r="W124"/>
  <c r="E26"/>
  <c r="W26"/>
  <c r="E94"/>
  <c r="W94"/>
  <c r="E116"/>
  <c r="W116"/>
  <c r="E63"/>
  <c r="W63"/>
  <c r="E145"/>
  <c r="W145"/>
  <c r="E185"/>
  <c r="W185"/>
  <c r="E273"/>
  <c r="W273"/>
  <c r="E349"/>
  <c r="W349"/>
  <c r="E106"/>
  <c r="W106"/>
  <c r="E194"/>
  <c r="W194"/>
  <c r="E321"/>
  <c r="W321"/>
  <c r="E83"/>
  <c r="W83"/>
  <c r="E121"/>
  <c r="W121"/>
  <c r="E158"/>
  <c r="W158"/>
  <c r="E192"/>
  <c r="W192"/>
  <c r="K231"/>
  <c r="W231"/>
  <c r="E285"/>
  <c r="W285"/>
  <c r="E348"/>
  <c r="W348"/>
  <c r="E376"/>
  <c r="W376"/>
  <c r="E110"/>
  <c r="W110"/>
  <c r="E288"/>
  <c r="W288"/>
  <c r="E294"/>
  <c r="W294"/>
  <c r="E333"/>
  <c r="W333"/>
  <c r="E133"/>
  <c r="W133"/>
  <c r="E204"/>
  <c r="W204"/>
  <c r="K252"/>
  <c r="W252"/>
  <c r="E278"/>
  <c r="W278"/>
  <c r="E300"/>
  <c r="W300"/>
  <c r="E324"/>
  <c r="W324"/>
  <c r="E335"/>
  <c r="W335"/>
  <c r="E79"/>
  <c r="W79"/>
  <c r="E174"/>
  <c r="W174"/>
  <c r="E237"/>
  <c r="W237"/>
  <c r="E297"/>
  <c r="W297"/>
  <c r="E59"/>
  <c r="W59"/>
  <c r="E93"/>
  <c r="W93"/>
  <c r="E136"/>
  <c r="W136"/>
  <c r="E176"/>
  <c r="W176"/>
  <c r="E210"/>
  <c r="W210"/>
  <c r="E241"/>
  <c r="W241"/>
  <c r="E268"/>
  <c r="W268"/>
  <c r="K277"/>
  <c r="W277"/>
  <c r="E362"/>
  <c r="W362"/>
  <c r="E287"/>
  <c r="W287"/>
  <c r="E325"/>
  <c r="W325"/>
  <c r="E354"/>
  <c r="W354"/>
  <c r="E82"/>
  <c r="W82"/>
  <c r="E271"/>
  <c r="W271"/>
  <c r="E318"/>
  <c r="W318"/>
  <c r="K242"/>
  <c r="W242"/>
  <c r="K274"/>
  <c r="W274"/>
  <c r="E71"/>
  <c r="W71"/>
  <c r="E275"/>
  <c r="W275"/>
  <c r="K291"/>
  <c r="W291"/>
  <c r="K295"/>
  <c r="W295"/>
  <c r="B17"/>
  <c r="B379" s="1"/>
  <c r="K173"/>
  <c r="H173"/>
  <c r="K131"/>
  <c r="H131"/>
  <c r="K279"/>
  <c r="H279"/>
  <c r="K107"/>
  <c r="H107"/>
  <c r="E179"/>
  <c r="H179"/>
  <c r="K238"/>
  <c r="H238"/>
  <c r="K330"/>
  <c r="H330"/>
  <c r="K341"/>
  <c r="H341"/>
  <c r="H66"/>
  <c r="E66"/>
  <c r="K105"/>
  <c r="H105"/>
  <c r="H155"/>
  <c r="K155"/>
  <c r="H177"/>
  <c r="K177"/>
  <c r="K197"/>
  <c r="H197"/>
  <c r="K207"/>
  <c r="H207"/>
  <c r="H236"/>
  <c r="K236"/>
  <c r="K250"/>
  <c r="H250"/>
  <c r="H308"/>
  <c r="K308"/>
  <c r="K292"/>
  <c r="H292"/>
  <c r="H88"/>
  <c r="K88"/>
  <c r="K137"/>
  <c r="H137"/>
  <c r="K123"/>
  <c r="H123"/>
  <c r="K170"/>
  <c r="H170"/>
  <c r="K233"/>
  <c r="H233"/>
  <c r="K255"/>
  <c r="H255"/>
  <c r="E301"/>
  <c r="H301"/>
  <c r="K336"/>
  <c r="H336"/>
  <c r="K367"/>
  <c r="H367"/>
  <c r="K68"/>
  <c r="H68"/>
  <c r="K92"/>
  <c r="H92"/>
  <c r="K120"/>
  <c r="H120"/>
  <c r="K150"/>
  <c r="H150"/>
  <c r="K175"/>
  <c r="H175"/>
  <c r="H213"/>
  <c r="K213"/>
  <c r="E213"/>
  <c r="E240"/>
  <c r="H240"/>
  <c r="K256"/>
  <c r="H256"/>
  <c r="K284"/>
  <c r="H284"/>
  <c r="K306"/>
  <c r="H306"/>
  <c r="K322"/>
  <c r="H322"/>
  <c r="H347"/>
  <c r="K347"/>
  <c r="K375"/>
  <c r="H375"/>
  <c r="E221"/>
  <c r="H221"/>
  <c r="K282"/>
  <c r="H282"/>
  <c r="K373"/>
  <c r="H373"/>
  <c r="K164"/>
  <c r="H164"/>
  <c r="K218"/>
  <c r="H218"/>
  <c r="E266"/>
  <c r="H266"/>
  <c r="K370"/>
  <c r="H370"/>
  <c r="K253"/>
  <c r="H253"/>
  <c r="K299"/>
  <c r="H299"/>
  <c r="H338"/>
  <c r="E338"/>
  <c r="K101"/>
  <c r="H101"/>
  <c r="K134"/>
  <c r="H134"/>
  <c r="K198"/>
  <c r="H198"/>
  <c r="K305"/>
  <c r="H305"/>
  <c r="K344"/>
  <c r="H344"/>
  <c r="K65"/>
  <c r="H65"/>
  <c r="K97"/>
  <c r="H97"/>
  <c r="K125"/>
  <c r="E125"/>
  <c r="H125"/>
  <c r="K140"/>
  <c r="H140"/>
  <c r="K172"/>
  <c r="H172"/>
  <c r="K196"/>
  <c r="E196"/>
  <c r="H196"/>
  <c r="K206"/>
  <c r="H206"/>
  <c r="K245"/>
  <c r="H245"/>
  <c r="K265"/>
  <c r="H265"/>
  <c r="K303"/>
  <c r="H303"/>
  <c r="K25"/>
  <c r="H25"/>
  <c r="K24"/>
  <c r="H24"/>
  <c r="K23"/>
  <c r="H23"/>
  <c r="K21"/>
  <c r="H21"/>
  <c r="K98"/>
  <c r="H98"/>
  <c r="K122"/>
  <c r="H122"/>
  <c r="K67"/>
  <c r="H67"/>
  <c r="K95"/>
  <c r="H95"/>
  <c r="H146"/>
  <c r="K146"/>
  <c r="K189"/>
  <c r="H189"/>
  <c r="K346"/>
  <c r="H346"/>
  <c r="K80"/>
  <c r="H80"/>
  <c r="K103"/>
  <c r="H103"/>
  <c r="K135"/>
  <c r="H135"/>
  <c r="K171"/>
  <c r="H171"/>
  <c r="K191"/>
  <c r="H191"/>
  <c r="H223"/>
  <c r="K223"/>
  <c r="K234"/>
  <c r="H234"/>
  <c r="K310"/>
  <c r="H310"/>
  <c r="K326"/>
  <c r="H326"/>
  <c r="K351"/>
  <c r="E351"/>
  <c r="H351"/>
  <c r="H70"/>
  <c r="K70"/>
  <c r="H78"/>
  <c r="K78"/>
  <c r="K113"/>
  <c r="H113"/>
  <c r="K118"/>
  <c r="H118"/>
  <c r="K152"/>
  <c r="H152"/>
  <c r="H163"/>
  <c r="K163"/>
  <c r="E168"/>
  <c r="H168"/>
  <c r="K169"/>
  <c r="H169"/>
  <c r="H201"/>
  <c r="K201"/>
  <c r="K193"/>
  <c r="H193"/>
  <c r="K211"/>
  <c r="H211"/>
  <c r="E216"/>
  <c r="H216"/>
  <c r="H217"/>
  <c r="K217"/>
  <c r="H232"/>
  <c r="K232"/>
  <c r="K258"/>
  <c r="H258"/>
  <c r="K269"/>
  <c r="H269"/>
  <c r="K286"/>
  <c r="H286"/>
  <c r="K312"/>
  <c r="H312"/>
  <c r="K304"/>
  <c r="H304"/>
  <c r="K296"/>
  <c r="H296"/>
  <c r="K328"/>
  <c r="H328"/>
  <c r="K320"/>
  <c r="H320"/>
  <c r="K339"/>
  <c r="H339"/>
  <c r="K353"/>
  <c r="H353"/>
  <c r="K345"/>
  <c r="H345"/>
  <c r="K60"/>
  <c r="H60"/>
  <c r="K109"/>
  <c r="H109"/>
  <c r="K126"/>
  <c r="H126"/>
  <c r="H141"/>
  <c r="K141"/>
  <c r="K102"/>
  <c r="H102"/>
  <c r="K142"/>
  <c r="H142"/>
  <c r="K160"/>
  <c r="H160"/>
  <c r="H190"/>
  <c r="K190"/>
  <c r="K222"/>
  <c r="H222"/>
  <c r="K263"/>
  <c r="H263"/>
  <c r="K270"/>
  <c r="H270"/>
  <c r="K313"/>
  <c r="H313"/>
  <c r="K293"/>
  <c r="H293"/>
  <c r="K340"/>
  <c r="H340"/>
  <c r="K350"/>
  <c r="H350"/>
  <c r="E360"/>
  <c r="H360"/>
  <c r="K374"/>
  <c r="H374"/>
  <c r="K72"/>
  <c r="H72"/>
  <c r="K64"/>
  <c r="H64"/>
  <c r="K86"/>
  <c r="H86"/>
  <c r="K96"/>
  <c r="H96"/>
  <c r="K111"/>
  <c r="H111"/>
  <c r="H124"/>
  <c r="K124"/>
  <c r="K139"/>
  <c r="H139"/>
  <c r="K148"/>
  <c r="H148"/>
  <c r="K165"/>
  <c r="H165"/>
  <c r="K157"/>
  <c r="H157"/>
  <c r="K187"/>
  <c r="H187"/>
  <c r="K199"/>
  <c r="H199"/>
  <c r="K209"/>
  <c r="H209"/>
  <c r="K219"/>
  <c r="H219"/>
  <c r="K244"/>
  <c r="H244"/>
  <c r="E260"/>
  <c r="H260"/>
  <c r="K271"/>
  <c r="H271"/>
  <c r="K288"/>
  <c r="H288"/>
  <c r="K280"/>
  <c r="H280"/>
  <c r="K314"/>
  <c r="H314"/>
  <c r="K302"/>
  <c r="H302"/>
  <c r="K294"/>
  <c r="H294"/>
  <c r="K318"/>
  <c r="H318"/>
  <c r="K333"/>
  <c r="H333"/>
  <c r="K365"/>
  <c r="H365"/>
  <c r="K357"/>
  <c r="H357"/>
  <c r="K371"/>
  <c r="H371"/>
  <c r="K133"/>
  <c r="H133"/>
  <c r="E242"/>
  <c r="H242"/>
  <c r="K254"/>
  <c r="H254"/>
  <c r="E274"/>
  <c r="H274"/>
  <c r="K359"/>
  <c r="H359"/>
  <c r="K71"/>
  <c r="H71"/>
  <c r="K99"/>
  <c r="H99"/>
  <c r="K186"/>
  <c r="H186"/>
  <c r="K204"/>
  <c r="H204"/>
  <c r="K247"/>
  <c r="H247"/>
  <c r="K251"/>
  <c r="H251"/>
  <c r="K275"/>
  <c r="H275"/>
  <c r="E317"/>
  <c r="H317"/>
  <c r="E77"/>
  <c r="H77"/>
  <c r="K220"/>
  <c r="H220"/>
  <c r="E291"/>
  <c r="H291"/>
  <c r="E307"/>
  <c r="H307"/>
  <c r="E295"/>
  <c r="H295"/>
  <c r="E319"/>
  <c r="H319"/>
  <c r="K334"/>
  <c r="E334"/>
  <c r="E92"/>
  <c r="E123"/>
  <c r="E336"/>
  <c r="E341"/>
  <c r="K66"/>
  <c r="E105"/>
  <c r="E21"/>
  <c r="E238"/>
  <c r="E206"/>
  <c r="E101"/>
  <c r="K179"/>
  <c r="E322"/>
  <c r="E173"/>
  <c r="E207"/>
  <c r="E282"/>
  <c r="E292"/>
  <c r="K301"/>
  <c r="E256"/>
  <c r="E97"/>
  <c r="E245"/>
  <c r="E131"/>
  <c r="K266"/>
  <c r="E330"/>
  <c r="E177"/>
  <c r="E23"/>
  <c r="E24"/>
  <c r="E189"/>
  <c r="E255"/>
  <c r="K317"/>
  <c r="E64"/>
  <c r="E209"/>
  <c r="E306"/>
  <c r="E299"/>
  <c r="E164"/>
  <c r="E218"/>
  <c r="E370"/>
  <c r="E148"/>
  <c r="E234"/>
  <c r="E302"/>
  <c r="E60"/>
  <c r="E137"/>
  <c r="K168"/>
  <c r="E232"/>
  <c r="E142"/>
  <c r="E279"/>
  <c r="K360"/>
  <c r="E107"/>
  <c r="E157"/>
  <c r="K240"/>
  <c r="E371"/>
  <c r="E303"/>
  <c r="K338"/>
  <c r="E102"/>
  <c r="E186"/>
  <c r="E72"/>
  <c r="E135"/>
  <c r="E219"/>
  <c r="E310"/>
  <c r="E375"/>
  <c r="E98"/>
  <c r="E118"/>
  <c r="E193"/>
  <c r="E236"/>
  <c r="E269"/>
  <c r="E304"/>
  <c r="E339"/>
  <c r="E373"/>
  <c r="E25"/>
  <c r="K94"/>
  <c r="H94"/>
  <c r="K89"/>
  <c r="H89"/>
  <c r="K178"/>
  <c r="E178"/>
  <c r="H178"/>
  <c r="K58"/>
  <c r="H58"/>
  <c r="H116"/>
  <c r="K116"/>
  <c r="K195"/>
  <c r="H195"/>
  <c r="K205"/>
  <c r="H205"/>
  <c r="H252"/>
  <c r="E252"/>
  <c r="K63"/>
  <c r="H63"/>
  <c r="K84"/>
  <c r="H84"/>
  <c r="K145"/>
  <c r="H145"/>
  <c r="K159"/>
  <c r="H159"/>
  <c r="K185"/>
  <c r="H185"/>
  <c r="K203"/>
  <c r="H203"/>
  <c r="K225"/>
  <c r="H225"/>
  <c r="K246"/>
  <c r="H246"/>
  <c r="K273"/>
  <c r="H273"/>
  <c r="K278"/>
  <c r="H278"/>
  <c r="K300"/>
  <c r="H300"/>
  <c r="K324"/>
  <c r="H324"/>
  <c r="K332"/>
  <c r="H332"/>
  <c r="K335"/>
  <c r="H335"/>
  <c r="K349"/>
  <c r="H349"/>
  <c r="K376"/>
  <c r="H376"/>
  <c r="H115"/>
  <c r="K115"/>
  <c r="K110"/>
  <c r="H110"/>
  <c r="K149"/>
  <c r="H149"/>
  <c r="E208"/>
  <c r="H208"/>
  <c r="K287"/>
  <c r="H287"/>
  <c r="K325"/>
  <c r="H325"/>
  <c r="H364"/>
  <c r="K364"/>
  <c r="K354"/>
  <c r="H354"/>
  <c r="K82"/>
  <c r="H82"/>
  <c r="K91"/>
  <c r="H91"/>
  <c r="E128"/>
  <c r="H128"/>
  <c r="K143"/>
  <c r="E143"/>
  <c r="H143"/>
  <c r="K161"/>
  <c r="E161"/>
  <c r="H161"/>
  <c r="K183"/>
  <c r="H183"/>
  <c r="K227"/>
  <c r="H227"/>
  <c r="K267"/>
  <c r="H267"/>
  <c r="K276"/>
  <c r="H276"/>
  <c r="K298"/>
  <c r="H298"/>
  <c r="K337"/>
  <c r="H337"/>
  <c r="K361"/>
  <c r="H361"/>
  <c r="K57"/>
  <c r="H57"/>
  <c r="E57"/>
  <c r="K262"/>
  <c r="H262"/>
  <c r="K363"/>
  <c r="H363"/>
  <c r="K85"/>
  <c r="H85"/>
  <c r="K212"/>
  <c r="H212"/>
  <c r="K243"/>
  <c r="H243"/>
  <c r="K309"/>
  <c r="H309"/>
  <c r="K151"/>
  <c r="H151"/>
  <c r="H311"/>
  <c r="K311"/>
  <c r="E316"/>
  <c r="H316"/>
  <c r="K372"/>
  <c r="H372"/>
  <c r="K378"/>
  <c r="H378"/>
  <c r="K368"/>
  <c r="H368"/>
  <c r="K74"/>
  <c r="H74"/>
  <c r="H127"/>
  <c r="K127"/>
  <c r="K156"/>
  <c r="H156"/>
  <c r="E226"/>
  <c r="H226"/>
  <c r="K259"/>
  <c r="H259"/>
  <c r="H329"/>
  <c r="K329"/>
  <c r="H73"/>
  <c r="K73"/>
  <c r="K87"/>
  <c r="H87"/>
  <c r="K112"/>
  <c r="H112"/>
  <c r="K104"/>
  <c r="H104"/>
  <c r="K117"/>
  <c r="H117"/>
  <c r="K132"/>
  <c r="H132"/>
  <c r="H162"/>
  <c r="K162"/>
  <c r="K180"/>
  <c r="H180"/>
  <c r="H184"/>
  <c r="K184"/>
  <c r="K214"/>
  <c r="H214"/>
  <c r="K224"/>
  <c r="H224"/>
  <c r="K235"/>
  <c r="H235"/>
  <c r="H261"/>
  <c r="K261"/>
  <c r="K289"/>
  <c r="H289"/>
  <c r="K281"/>
  <c r="H281"/>
  <c r="E323"/>
  <c r="H323"/>
  <c r="E352"/>
  <c r="H352"/>
  <c r="K356"/>
  <c r="H356"/>
  <c r="K358"/>
  <c r="H358"/>
  <c r="K369"/>
  <c r="E369"/>
  <c r="H369"/>
  <c r="H61"/>
  <c r="K61"/>
  <c r="K79"/>
  <c r="H79"/>
  <c r="K106"/>
  <c r="H106"/>
  <c r="K119"/>
  <c r="H119"/>
  <c r="H153"/>
  <c r="K153"/>
  <c r="K174"/>
  <c r="H174"/>
  <c r="K194"/>
  <c r="H194"/>
  <c r="H237"/>
  <c r="K237"/>
  <c r="K283"/>
  <c r="E283"/>
  <c r="H283"/>
  <c r="K297"/>
  <c r="H297"/>
  <c r="K321"/>
  <c r="H321"/>
  <c r="K59"/>
  <c r="H59"/>
  <c r="K69"/>
  <c r="H69"/>
  <c r="K76"/>
  <c r="H76"/>
  <c r="H83"/>
  <c r="K83"/>
  <c r="K93"/>
  <c r="H93"/>
  <c r="K108"/>
  <c r="H108"/>
  <c r="K129"/>
  <c r="H129"/>
  <c r="K121"/>
  <c r="H121"/>
  <c r="H136"/>
  <c r="K136"/>
  <c r="K144"/>
  <c r="H144"/>
  <c r="K166"/>
  <c r="H166"/>
  <c r="K158"/>
  <c r="H158"/>
  <c r="K176"/>
  <c r="H176"/>
  <c r="K182"/>
  <c r="H182"/>
  <c r="K200"/>
  <c r="H200"/>
  <c r="K192"/>
  <c r="H192"/>
  <c r="K210"/>
  <c r="H210"/>
  <c r="K228"/>
  <c r="H228"/>
  <c r="K230"/>
  <c r="H230"/>
  <c r="E231"/>
  <c r="H231"/>
  <c r="K241"/>
  <c r="H241"/>
  <c r="K257"/>
  <c r="H257"/>
  <c r="H268"/>
  <c r="K268"/>
  <c r="K285"/>
  <c r="H285"/>
  <c r="E277"/>
  <c r="H277"/>
  <c r="K327"/>
  <c r="H327"/>
  <c r="K342"/>
  <c r="H342"/>
  <c r="K348"/>
  <c r="H348"/>
  <c r="K362"/>
  <c r="H362"/>
  <c r="K20"/>
  <c r="H20"/>
  <c r="H19"/>
  <c r="K19"/>
  <c r="K26"/>
  <c r="H26"/>
  <c r="K22"/>
  <c r="H22"/>
  <c r="E175"/>
  <c r="E183"/>
  <c r="E115"/>
  <c r="E225"/>
  <c r="E170"/>
  <c r="E68"/>
  <c r="E337"/>
  <c r="E85"/>
  <c r="E149"/>
  <c r="E247"/>
  <c r="E293"/>
  <c r="E58"/>
  <c r="K128"/>
  <c r="E199"/>
  <c r="E280"/>
  <c r="E357"/>
  <c r="K77"/>
  <c r="E129"/>
  <c r="E151"/>
  <c r="E184"/>
  <c r="E230"/>
  <c r="E265"/>
  <c r="K307"/>
  <c r="E342"/>
  <c r="E378"/>
  <c r="E74"/>
  <c r="E146"/>
  <c r="E212"/>
  <c r="E313"/>
  <c r="E364"/>
  <c r="E120"/>
  <c r="E223"/>
  <c r="E276"/>
  <c r="E361"/>
  <c r="E84"/>
  <c r="E122"/>
  <c r="E163"/>
  <c r="E197"/>
  <c r="E217"/>
  <c r="E250"/>
  <c r="E308"/>
  <c r="E332"/>
  <c r="E67"/>
  <c r="E119"/>
  <c r="E190"/>
  <c r="E270"/>
  <c r="E344"/>
  <c r="E91"/>
  <c r="E150"/>
  <c r="E227"/>
  <c r="E314"/>
  <c r="E365"/>
  <c r="E76"/>
  <c r="E104"/>
  <c r="E166"/>
  <c r="E200"/>
  <c r="E220"/>
  <c r="E253"/>
  <c r="E311"/>
  <c r="K319"/>
  <c r="E358"/>
  <c r="E99"/>
  <c r="E156"/>
  <c r="E233"/>
  <c r="E305"/>
  <c r="E367"/>
  <c r="E103"/>
  <c r="E205"/>
  <c r="E284"/>
  <c r="E347"/>
  <c r="E88"/>
  <c r="E126"/>
  <c r="E155"/>
  <c r="E201"/>
  <c r="K221"/>
  <c r="E254"/>
  <c r="E312"/>
  <c r="E320"/>
  <c r="E359"/>
  <c r="E19"/>
  <c r="AQ19" i="7"/>
  <c r="AJ19"/>
  <c r="AP57"/>
  <c r="AP19"/>
  <c r="AJ57"/>
  <c r="AR8"/>
  <c r="AD381"/>
  <c r="AC381"/>
  <c r="AE29"/>
  <c r="AE19"/>
  <c r="W55" i="8" l="1"/>
  <c r="W17"/>
  <c r="AP381" i="7"/>
  <c r="E17" i="8"/>
  <c r="K17"/>
  <c r="AJ381" i="7"/>
  <c r="H17" i="8"/>
  <c r="E55"/>
  <c r="K55"/>
  <c r="H55"/>
  <c r="AR57" i="7"/>
  <c r="AQ57"/>
  <c r="AQ381" s="1"/>
  <c r="AR29"/>
  <c r="AE8"/>
  <c r="AE57"/>
  <c r="AE381" s="1"/>
  <c r="AF57"/>
  <c r="AF19"/>
  <c r="AF8"/>
  <c r="W379" i="8" l="1"/>
  <c r="E379"/>
  <c r="K379"/>
  <c r="H379"/>
  <c r="AF381" i="7"/>
  <c r="AR19"/>
  <c r="AR381" s="1"/>
</calcChain>
</file>

<file path=xl/sharedStrings.xml><?xml version="1.0" encoding="utf-8"?>
<sst xmlns="http://schemas.openxmlformats.org/spreadsheetml/2006/main" count="7010" uniqueCount="441">
  <si>
    <t>Алексеевский</t>
  </si>
  <si>
    <t>Красноярский</t>
  </si>
  <si>
    <t>Хворостянский</t>
  </si>
  <si>
    <t>Шенталинский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</si>
  <si>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</si>
  <si>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</si>
  <si>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</si>
  <si>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</si>
  <si>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</si>
  <si>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</si>
  <si>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</si>
  <si>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</si>
  <si>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</si>
  <si>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</si>
  <si>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</si>
  <si>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</si>
  <si>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</si>
  <si>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</si>
  <si>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</si>
  <si>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</si>
  <si>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</si>
  <si>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</si>
  <si>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</si>
  <si>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</si>
  <si>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</si>
  <si>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</si>
  <si>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</si>
  <si>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</si>
  <si>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</si>
  <si>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</si>
  <si>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</si>
  <si>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</si>
  <si>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</si>
  <si>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</si>
  <si>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</si>
  <si>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</si>
  <si>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</si>
  <si>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</si>
  <si>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</si>
  <si>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</si>
  <si>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</si>
  <si>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</si>
  <si>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</si>
  <si>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</si>
  <si>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</si>
  <si>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</si>
  <si>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</si>
  <si>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</si>
  <si>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</si>
  <si>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</si>
  <si>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</si>
  <si>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</si>
  <si>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</si>
  <si>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</si>
  <si>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</si>
  <si>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</si>
  <si>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</si>
  <si>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</si>
  <si>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</si>
  <si>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</si>
  <si>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</si>
  <si>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</si>
  <si>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</si>
  <si>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</si>
  <si>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</si>
  <si>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</si>
  <si>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</si>
  <si>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</si>
  <si>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</si>
  <si>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</si>
  <si>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</si>
  <si>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</si>
  <si>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</si>
  <si>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</si>
  <si>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</si>
  <si>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</si>
  <si>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</si>
  <si>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</si>
  <si>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</si>
  <si>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</si>
  <si>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</si>
  <si>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</si>
  <si>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</si>
  <si>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</si>
  <si>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</si>
  <si>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</si>
  <si>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</si>
  <si>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</si>
  <si>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</si>
  <si>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</si>
  <si>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</si>
  <si>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</si>
  <si>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</si>
  <si>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</si>
  <si>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</si>
  <si>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</si>
  <si>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</si>
  <si>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</si>
  <si>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</si>
  <si>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</si>
  <si>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</si>
  <si>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</si>
  <si>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</si>
  <si>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</si>
  <si>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</si>
  <si>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</si>
  <si>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</si>
  <si>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</si>
  <si>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</si>
  <si>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</si>
  <si>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</si>
  <si>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</si>
  <si>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</si>
  <si>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</si>
  <si>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</si>
  <si>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</si>
  <si>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</si>
  <si>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</si>
  <si>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</si>
  <si>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</si>
  <si>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</si>
  <si>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</si>
  <si>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</si>
  <si>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</si>
  <si>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</si>
  <si>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</si>
  <si>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</si>
  <si>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</si>
  <si>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</si>
  <si>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</si>
  <si>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</si>
  <si>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</si>
  <si>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</si>
  <si>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</si>
  <si>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</si>
  <si>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</si>
  <si>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</si>
  <si>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</si>
  <si>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</si>
  <si>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</si>
  <si>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</si>
  <si>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</si>
  <si>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</si>
  <si>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</si>
  <si>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</si>
  <si>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</si>
  <si>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</si>
  <si>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</si>
  <si>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</si>
  <si>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</si>
  <si>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</si>
  <si>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</si>
  <si>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</si>
  <si>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</si>
  <si>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</si>
  <si>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</si>
  <si>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</si>
  <si>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</si>
  <si>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</si>
  <si>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</si>
  <si>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</si>
  <si>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</si>
  <si>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</si>
  <si>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</si>
  <si>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</si>
  <si>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</si>
  <si>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</si>
  <si>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</si>
  <si>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</si>
  <si>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</si>
  <si>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</si>
  <si>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</si>
  <si>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</si>
  <si>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</si>
  <si>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</si>
  <si>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</si>
  <si>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</si>
  <si>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</si>
  <si>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</si>
  <si>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</si>
  <si>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</si>
  <si>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</si>
  <si>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</si>
  <si>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</si>
  <si>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</si>
  <si>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</si>
  <si>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</si>
  <si>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</si>
  <si>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</si>
  <si>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</si>
  <si>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</si>
  <si>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</si>
  <si>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</si>
  <si>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</si>
  <si>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</si>
  <si>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</si>
  <si>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</si>
  <si>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</si>
  <si>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</si>
  <si>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</si>
  <si>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</si>
  <si>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</si>
  <si>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</si>
  <si>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</si>
  <si>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</si>
  <si>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</si>
  <si>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</si>
  <si>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</si>
  <si>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</si>
  <si>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</si>
  <si>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</si>
  <si>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</si>
  <si>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</si>
  <si>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</si>
  <si>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</si>
  <si>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</si>
  <si>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</si>
  <si>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</si>
  <si>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</si>
  <si>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</si>
  <si>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</si>
  <si>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</si>
  <si>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</si>
  <si>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</si>
  <si>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</si>
  <si>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</si>
  <si>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</si>
  <si>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</si>
  <si>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</si>
  <si>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</si>
  <si>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</si>
  <si>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</si>
  <si>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</si>
  <si>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</si>
  <si>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</si>
  <si>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</si>
  <si>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</si>
  <si>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</si>
  <si>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</si>
  <si>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</si>
  <si>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</si>
  <si>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</si>
  <si>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</si>
  <si>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</si>
  <si>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</si>
  <si>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</si>
  <si>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</si>
  <si>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</si>
  <si>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</si>
  <si>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</si>
  <si>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</si>
  <si>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</si>
  <si>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</si>
  <si>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</si>
  <si>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</si>
  <si>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</si>
  <si>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</si>
  <si>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</si>
  <si>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</si>
  <si>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</si>
  <si>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</si>
  <si>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</si>
  <si>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</si>
  <si>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</si>
  <si>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</si>
  <si>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</si>
  <si>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</si>
  <si>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</si>
  <si>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</si>
  <si>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</si>
  <si>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</si>
  <si>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</si>
  <si>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</si>
  <si>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</si>
  <si>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</si>
  <si>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</si>
  <si>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</si>
  <si>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</si>
  <si>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</si>
  <si>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</si>
  <si>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</si>
  <si>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</si>
  <si>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</si>
  <si>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</si>
  <si>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</si>
  <si>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</si>
  <si>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</si>
  <si>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</si>
  <si>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</si>
  <si>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</si>
  <si>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</si>
  <si>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</si>
  <si>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</si>
  <si>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</si>
  <si>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</si>
  <si>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</si>
  <si>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</si>
  <si>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</si>
  <si>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</si>
  <si>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</si>
  <si>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</si>
  <si>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</si>
  <si>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</si>
  <si>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</si>
  <si>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</si>
  <si>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</si>
  <si>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</si>
  <si>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</si>
  <si>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</si>
  <si>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</si>
  <si>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</si>
  <si>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</si>
  <si>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</si>
  <si>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</si>
  <si>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</si>
  <si>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</si>
  <si>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</si>
  <si>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</si>
  <si>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</si>
  <si>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</si>
  <si>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</si>
  <si>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</si>
  <si>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</si>
  <si>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</si>
  <si>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</si>
  <si>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</si>
  <si>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</si>
  <si>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</si>
  <si>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</si>
  <si>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</si>
  <si>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</si>
  <si>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</si>
  <si>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</si>
  <si>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</si>
  <si>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</si>
  <si>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</si>
  <si>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</si>
  <si>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</si>
  <si>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</si>
  <si>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</si>
  <si>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</si>
  <si>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</si>
  <si>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</si>
  <si>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</si>
  <si>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</si>
  <si>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</si>
  <si>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</si>
  <si>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</si>
  <si>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</si>
  <si>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</si>
  <si>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</si>
  <si>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</si>
  <si>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</si>
  <si>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</si>
  <si>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</si>
  <si>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</si>
  <si>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</si>
  <si>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</si>
  <si>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</si>
  <si>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</si>
  <si>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</si>
  <si>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</si>
  <si>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4=3/2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</si>
  <si>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</si>
  <si>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</si>
  <si>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</si>
  <si>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</si>
  <si>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</si>
  <si>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</si>
  <si>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</si>
  <si>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</si>
  <si>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</si>
  <si>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</si>
  <si>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</si>
  <si>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</si>
  <si>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</si>
  <si>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</si>
  <si>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</si>
  <si>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</si>
  <si>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</si>
  <si>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10=9/8</t>
  </si>
  <si>
    <t>Эффективность муниципального земельного контроля (единиц)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</si>
  <si>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</si>
  <si>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</si>
  <si>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14=13/12</t>
  </si>
  <si>
    <t>18=17/16</t>
  </si>
  <si>
    <t>22=21/20</t>
  </si>
  <si>
    <t>26=24/25</t>
  </si>
  <si>
    <t>x</t>
  </si>
  <si>
    <t>31=28*30</t>
  </si>
  <si>
    <t>32=31-30</t>
  </si>
  <si>
    <t>Ранее предоставленные субсидии</t>
  </si>
  <si>
    <t>За январь</t>
  </si>
  <si>
    <t>За февраль</t>
  </si>
  <si>
    <t>н/д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</si>
  <si>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
показателей социально-экономического развития</t>
  </si>
  <si>
    <t>Объем алкогольной продукции, зафиксированный в ЕГАИС</t>
  </si>
  <si>
    <t>тыс. рублей</t>
  </si>
  <si>
    <t xml:space="preserve"> +/- по итогам отчётного периода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</si>
  <si>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</si>
  <si>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</si>
  <si>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</si>
  <si>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</si>
  <si>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</si>
  <si>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</si>
  <si>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Общая сумма весов влияния</t>
  </si>
  <si>
    <t>Отклонение от прогноза</t>
  </si>
  <si>
    <t>Вес влияния на результат</t>
  </si>
  <si>
    <t xml:space="preserve"> + / -
(5)=(2)*(4)/(24)</t>
  </si>
  <si>
    <t xml:space="preserve"> + / -
(8)=(2)*(7)/(24)</t>
  </si>
  <si>
    <t xml:space="preserve"> + / -
(11)=(2)*(10)/(24)</t>
  </si>
  <si>
    <t xml:space="preserve"> + / -
(14)=(2)*(13)/(24)</t>
  </si>
  <si>
    <t xml:space="preserve"> + / -
(17)=(2)*(16)/(24)</t>
  </si>
  <si>
    <t xml:space="preserve"> + / -
(20)=(2)*(19)/(24)</t>
  </si>
  <si>
    <t xml:space="preserve"> + / -
(23)=(2)*(22)/(24)</t>
  </si>
  <si>
    <t>Городские округа</t>
  </si>
  <si>
    <t>30=29/11м*3м</t>
  </si>
  <si>
    <t>За I квартал 2019 года</t>
  </si>
  <si>
    <t>Факторный анализ влияния отдельных показателей на итоговое распределение за I квратал 2019 года</t>
  </si>
  <si>
    <r>
      <t>Соблюдение условий предоставления субсидий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</si>
  <si>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для муниципальных районов и городских округов (городских округов с внутригородским делением)</t>
  </si>
  <si>
    <t>для всех поселений</t>
  </si>
  <si>
    <t>для всех муниципальных образований</t>
  </si>
  <si>
    <t>доля дотаций на выравнивание бюджетной обеспеченности в доходах бюджета (без учета субвенций) за 2018 год &gt; 20 %</t>
  </si>
  <si>
    <t xml:space="preserve">* </t>
  </si>
  <si>
    <t>- на муниципальное образование распространяется соответствующее ограничение</t>
  </si>
  <si>
    <t>+</t>
  </si>
  <si>
    <t>- условие предоставления субсидии не выполнено</t>
  </si>
  <si>
    <t>Соблюдение норматива формирования расходов на содержание органов местного самоуправления</t>
  </si>
  <si>
    <t>36=31-(33+…+35)</t>
  </si>
  <si>
    <t>Распределение за отчётный период с учетом выполнения условий предоставления субсидий</t>
  </si>
  <si>
    <t>Ежемесячное удержание субсидий в связи с исполнением показателей за 2018 год</t>
  </si>
  <si>
    <t>Распределение за отчётный период с учетом выполнения условий предоставления субсидий и удержания</t>
  </si>
  <si>
    <t>44=42-43</t>
  </si>
  <si>
    <t>неувеличение объема муниципального долга в части кредитов кредитных организаций в январе-марте 2019 года</t>
  </si>
  <si>
    <t>Авансирование (распоряжение МУФ СО 
от 23.01.2019 
№ 01-08/4)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</si>
  <si>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 по состоянию на конец отчетного периода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</si>
  <si>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периода(%)</t>
  </si>
  <si>
    <t>Распределение за отчётный период за вычетом предоставлен-ных субсидий за январь-февраль 2019 года</t>
  </si>
  <si>
    <t>непривлечение кредитов кредитных организаций в январе-марте 2019 года</t>
  </si>
  <si>
    <t>муниципальный долг на 01.04.2019 &gt; 90% от утвержденного общего годового объема доходов без учета утвержденного объема безвозмездных поступлений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</si>
</sst>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1" borderId="3" xfId="45" applyFont="1" applyFill="1" applyBorder="1" applyAlignment="1">
      <alignment vertical="top" wrapText="1"/>
    </xf>
    <xf numFmtId="0" fontId="15" fillId="11" borderId="3" xfId="45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1" borderId="3" xfId="0" applyNumberFormat="1" applyFont="1" applyFill="1" applyBorder="1" applyAlignment="1">
      <alignment vertical="center"/>
    </xf>
    <xf numFmtId="0" fontId="18" fillId="11" borderId="3" xfId="45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1" borderId="3" xfId="45" applyFont="1" applyFill="1" applyBorder="1" applyAlignment="1">
      <alignment horizontal="left" vertical="top" wrapText="1"/>
    </xf>
    <xf numFmtId="166" fontId="16" fillId="11" borderId="3" xfId="0" applyNumberFormat="1" applyFont="1" applyFill="1" applyBorder="1" applyAlignment="1">
      <alignment vertical="center"/>
    </xf>
    <xf numFmtId="0" fontId="16" fillId="1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9" fontId="16" fillId="12" borderId="3" xfId="0" applyNumberFormat="1" applyFont="1" applyFill="1" applyBorder="1" applyAlignment="1">
      <alignment vertical="center"/>
    </xf>
    <xf numFmtId="4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167" fontId="16" fillId="12" borderId="3" xfId="0" applyNumberFormat="1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4" fontId="15" fillId="11" borderId="3" xfId="45" applyNumberFormat="1" applyFont="1" applyFill="1" applyBorder="1" applyAlignment="1">
      <alignment horizontal="center" vertical="top" wrapText="1"/>
    </xf>
    <xf numFmtId="169" fontId="14" fillId="0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17" fillId="0" borderId="3" xfId="0" applyFont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20" fillId="11" borderId="3" xfId="45" applyFont="1" applyFill="1" applyBorder="1" applyAlignment="1">
      <alignment horizontal="left" vertical="top" wrapText="1"/>
    </xf>
    <xf numFmtId="169" fontId="21" fillId="11" borderId="3" xfId="0" applyNumberFormat="1" applyFont="1" applyFill="1" applyBorder="1" applyAlignment="1">
      <alignment vertical="center"/>
    </xf>
    <xf numFmtId="0" fontId="20" fillId="0" borderId="3" xfId="45" applyFont="1" applyBorder="1" applyAlignment="1">
      <alignment vertical="top" wrapText="1"/>
    </xf>
    <xf numFmtId="169" fontId="17" fillId="0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169" fontId="17" fillId="19" borderId="3" xfId="0" applyNumberFormat="1" applyFont="1" applyFill="1" applyBorder="1"/>
    <xf numFmtId="169" fontId="17" fillId="19" borderId="3" xfId="0" applyNumberFormat="1" applyFont="1" applyFill="1" applyBorder="1" applyAlignment="1">
      <alignment horizontal="center"/>
    </xf>
    <xf numFmtId="170" fontId="17" fillId="0" borderId="3" xfId="0" applyNumberFormat="1" applyFont="1" applyBorder="1"/>
    <xf numFmtId="0" fontId="20" fillId="0" borderId="3" xfId="0" applyFont="1" applyFill="1" applyBorder="1" applyAlignment="1">
      <alignment vertical="top" wrapText="1"/>
    </xf>
    <xf numFmtId="0" fontId="20" fillId="11" borderId="3" xfId="45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17" fillId="13" borderId="3" xfId="0" applyFont="1" applyFill="1" applyBorder="1" applyAlignment="1">
      <alignment vertical="top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169" fontId="21" fillId="13" borderId="3" xfId="0" applyNumberFormat="1" applyFont="1" applyFill="1" applyBorder="1" applyAlignment="1">
      <alignment vertical="center"/>
    </xf>
    <xf numFmtId="0" fontId="7" fillId="0" borderId="0" xfId="0" applyFont="1"/>
    <xf numFmtId="169" fontId="14" fillId="2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20" borderId="3" xfId="0" applyFont="1" applyFill="1" applyBorder="1" applyAlignment="1">
      <alignment horizontal="center" vertical="center" wrapText="1"/>
    </xf>
    <xf numFmtId="49" fontId="3" fillId="20" borderId="3" xfId="0" applyNumberFormat="1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/>
    </xf>
    <xf numFmtId="166" fontId="14" fillId="0" borderId="3" xfId="0" applyNumberFormat="1" applyFont="1" applyFill="1" applyBorder="1" applyAlignment="1">
      <alignment horizontal="right" vertical="center"/>
    </xf>
    <xf numFmtId="169" fontId="16" fillId="11" borderId="3" xfId="0" applyNumberFormat="1" applyFont="1" applyFill="1" applyBorder="1" applyAlignment="1">
      <alignment horizontal="right" vertical="center"/>
    </xf>
    <xf numFmtId="0" fontId="3" fillId="20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CCFFCC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9;&#1090;&#1080;&#1084;&#1091;&#1083;&#1080;&#1088;&#1091;&#1102;&#1097;&#1080;&#1093;%20&#1089;&#1091;&#1073;&#1089;&#1080;&#1076;&#1080;&#1081;%20&#1079;&#1072;%20I%20&#1087;&#1086;&#1083;&#1091;&#1075;&#1086;&#1076;&#1080;&#1077;%202018%20&#1075;&#1086;&#1076;&#1072;%20(&#1087;&#1088;&#1072;&#1074;&#1080;&#1090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убсидий"/>
      <sheetName val="Плюсы и минусы"/>
    </sheetNames>
    <sheetDataSet>
      <sheetData sheetId="0">
        <row r="6">
          <cell r="AF6">
            <v>-18317.627272727295</v>
          </cell>
        </row>
        <row r="27">
          <cell r="AF27">
            <v>-1660.209090909093</v>
          </cell>
        </row>
        <row r="55">
          <cell r="AF55">
            <v>-12530.145454545462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I386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5.28515625" style="1" customWidth="1"/>
    <col min="2" max="3" width="14.42578125" style="1" customWidth="1"/>
    <col min="4" max="4" width="13.42578125" style="1" customWidth="1"/>
    <col min="5" max="5" width="5" style="1" customWidth="1"/>
    <col min="6" max="7" width="12.42578125" style="1" customWidth="1"/>
    <col min="8" max="8" width="13.85546875" style="1" customWidth="1"/>
    <col min="9" max="9" width="13.42578125" style="1" customWidth="1"/>
    <col min="10" max="10" width="13.28515625" style="1" customWidth="1"/>
    <col min="11" max="11" width="5.140625" style="1" customWidth="1"/>
    <col min="12" max="12" width="13.85546875" style="1" customWidth="1"/>
    <col min="13" max="13" width="13.42578125" style="1" customWidth="1"/>
    <col min="14" max="14" width="13.28515625" style="1" customWidth="1"/>
    <col min="15" max="15" width="5.140625" style="1" customWidth="1"/>
    <col min="16" max="16" width="13.85546875" style="1" customWidth="1"/>
    <col min="17" max="17" width="13.42578125" style="1" customWidth="1"/>
    <col min="18" max="18" width="13.28515625" style="1" customWidth="1"/>
    <col min="19" max="19" width="5.140625" style="1" customWidth="1"/>
    <col min="20" max="20" width="13.85546875" style="1" customWidth="1"/>
    <col min="21" max="21" width="13.42578125" style="1" customWidth="1"/>
    <col min="22" max="22" width="13.28515625" style="1" customWidth="1"/>
    <col min="23" max="23" width="5.140625" style="1" customWidth="1"/>
    <col min="24" max="24" width="13.85546875" style="1" customWidth="1"/>
    <col min="25" max="25" width="13.42578125" style="1" customWidth="1"/>
    <col min="26" max="26" width="13.28515625" style="1" customWidth="1"/>
    <col min="27" max="27" width="5.140625" style="1" customWidth="1"/>
    <col min="28" max="28" width="12.7109375" style="1" customWidth="1"/>
    <col min="29" max="29" width="11.5703125" style="1" customWidth="1"/>
    <col min="30" max="30" width="14.85546875" style="1" customWidth="1"/>
    <col min="31" max="31" width="12.85546875" style="1" customWidth="1"/>
    <col min="32" max="33" width="13" style="1" customWidth="1"/>
    <col min="34" max="35" width="11.5703125" style="1" customWidth="1"/>
    <col min="36" max="36" width="13.85546875" style="1" customWidth="1"/>
    <col min="37" max="37" width="14.28515625" style="1" customWidth="1"/>
    <col min="38" max="38" width="18.5703125" style="1" customWidth="1"/>
    <col min="39" max="39" width="22.5703125" style="1" customWidth="1"/>
    <col min="40" max="40" width="9.42578125" style="1" customWidth="1"/>
    <col min="41" max="41" width="13.85546875" style="1" customWidth="1"/>
    <col min="42" max="42" width="14" style="1" customWidth="1"/>
    <col min="43" max="43" width="11.42578125" style="1" customWidth="1"/>
    <col min="44" max="44" width="14.28515625" style="1" customWidth="1"/>
    <col min="45" max="45" width="20.5703125" style="1" bestFit="1" customWidth="1"/>
    <col min="46" max="46" width="23" style="1" customWidth="1"/>
    <col min="47" max="47" width="14.5703125" style="1" bestFit="1" customWidth="1"/>
    <col min="48" max="48" width="10.5703125" style="1" bestFit="1" customWidth="1"/>
    <col min="49" max="49" width="12.5703125" style="1" customWidth="1"/>
    <col min="50" max="50" width="23.140625" style="1" bestFit="1" customWidth="1"/>
    <col min="51" max="52" width="8.42578125" style="1" bestFit="1" customWidth="1"/>
    <col min="53" max="16384" width="9.140625" style="1"/>
  </cols>
  <sheetData>
    <row r="1" spans="1:53" ht="36.75" customHeight="1">
      <c r="B1" s="89" t="s">
        <v>395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53" ht="15.75">
      <c r="A2" s="37" t="s">
        <v>417</v>
      </c>
    </row>
    <row r="3" spans="1:53" ht="27" customHeight="1">
      <c r="A3" s="81" t="s">
        <v>14</v>
      </c>
      <c r="B3" s="86" t="s">
        <v>378</v>
      </c>
      <c r="C3" s="86"/>
      <c r="D3" s="86"/>
      <c r="E3" s="86"/>
      <c r="F3" s="86" t="s">
        <v>436</v>
      </c>
      <c r="G3" s="86"/>
      <c r="H3" s="82" t="s">
        <v>396</v>
      </c>
      <c r="I3" s="82"/>
      <c r="J3" s="82"/>
      <c r="K3" s="82"/>
      <c r="L3" s="82" t="s">
        <v>381</v>
      </c>
      <c r="M3" s="82"/>
      <c r="N3" s="82"/>
      <c r="O3" s="82"/>
      <c r="P3" s="82" t="s">
        <v>382</v>
      </c>
      <c r="Q3" s="82"/>
      <c r="R3" s="82"/>
      <c r="S3" s="82"/>
      <c r="T3" s="82" t="s">
        <v>383</v>
      </c>
      <c r="U3" s="82"/>
      <c r="V3" s="82"/>
      <c r="W3" s="82"/>
      <c r="X3" s="82" t="s">
        <v>437</v>
      </c>
      <c r="Y3" s="82"/>
      <c r="Z3" s="82"/>
      <c r="AA3" s="82"/>
      <c r="AB3" s="83" t="s">
        <v>363</v>
      </c>
      <c r="AC3" s="87" t="s">
        <v>360</v>
      </c>
      <c r="AD3" s="81" t="s">
        <v>361</v>
      </c>
      <c r="AE3" s="81" t="s">
        <v>375</v>
      </c>
      <c r="AF3" s="81" t="s">
        <v>358</v>
      </c>
      <c r="AG3" s="81" t="s">
        <v>391</v>
      </c>
      <c r="AH3" s="81"/>
      <c r="AI3" s="81"/>
      <c r="AJ3" s="81" t="s">
        <v>438</v>
      </c>
      <c r="AK3" s="85" t="s">
        <v>419</v>
      </c>
      <c r="AL3" s="85"/>
      <c r="AM3" s="85"/>
      <c r="AN3" s="85"/>
      <c r="AO3" s="85"/>
      <c r="AP3" s="81" t="s">
        <v>430</v>
      </c>
      <c r="AQ3" s="81" t="s">
        <v>431</v>
      </c>
      <c r="AR3" s="81" t="s">
        <v>432</v>
      </c>
    </row>
    <row r="4" spans="1:53" ht="45.75" customHeight="1">
      <c r="A4" s="81"/>
      <c r="B4" s="86"/>
      <c r="C4" s="86"/>
      <c r="D4" s="86"/>
      <c r="E4" s="86"/>
      <c r="F4" s="86"/>
      <c r="G4" s="86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7"/>
      <c r="AD4" s="81"/>
      <c r="AE4" s="81"/>
      <c r="AF4" s="81"/>
      <c r="AG4" s="81" t="s">
        <v>435</v>
      </c>
      <c r="AH4" s="88" t="s">
        <v>392</v>
      </c>
      <c r="AI4" s="88" t="s">
        <v>393</v>
      </c>
      <c r="AJ4" s="81"/>
      <c r="AK4" s="85" t="s">
        <v>428</v>
      </c>
      <c r="AL4" s="85" t="s">
        <v>420</v>
      </c>
      <c r="AM4" s="85"/>
      <c r="AN4" s="85" t="s">
        <v>421</v>
      </c>
      <c r="AO4" s="74" t="s">
        <v>422</v>
      </c>
      <c r="AP4" s="81"/>
      <c r="AQ4" s="81"/>
      <c r="AR4" s="81"/>
    </row>
    <row r="5" spans="1:53" ht="97.5" customHeight="1">
      <c r="A5" s="81"/>
      <c r="B5" s="86"/>
      <c r="C5" s="86"/>
      <c r="D5" s="86"/>
      <c r="E5" s="86"/>
      <c r="F5" s="86"/>
      <c r="G5" s="8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3"/>
      <c r="AC5" s="87"/>
      <c r="AD5" s="81"/>
      <c r="AE5" s="81"/>
      <c r="AF5" s="81"/>
      <c r="AG5" s="81"/>
      <c r="AH5" s="88"/>
      <c r="AI5" s="88"/>
      <c r="AJ5" s="81"/>
      <c r="AK5" s="85"/>
      <c r="AL5" s="74" t="s">
        <v>423</v>
      </c>
      <c r="AM5" s="80" t="s">
        <v>440</v>
      </c>
      <c r="AN5" s="85"/>
      <c r="AO5" s="85" t="s">
        <v>434</v>
      </c>
      <c r="AP5" s="81"/>
      <c r="AQ5" s="81"/>
      <c r="AR5" s="81"/>
    </row>
    <row r="6" spans="1:53" ht="45" customHeight="1">
      <c r="A6" s="81"/>
      <c r="B6" s="73" t="s">
        <v>356</v>
      </c>
      <c r="C6" s="73" t="s">
        <v>357</v>
      </c>
      <c r="D6" s="73" t="s">
        <v>364</v>
      </c>
      <c r="E6" s="73" t="s">
        <v>15</v>
      </c>
      <c r="F6" s="73" t="s">
        <v>376</v>
      </c>
      <c r="G6" s="73" t="s">
        <v>15</v>
      </c>
      <c r="H6" s="72" t="s">
        <v>356</v>
      </c>
      <c r="I6" s="72" t="s">
        <v>357</v>
      </c>
      <c r="J6" s="72" t="s">
        <v>364</v>
      </c>
      <c r="K6" s="72" t="s">
        <v>15</v>
      </c>
      <c r="L6" s="72" t="s">
        <v>356</v>
      </c>
      <c r="M6" s="72" t="s">
        <v>357</v>
      </c>
      <c r="N6" s="72" t="s">
        <v>364</v>
      </c>
      <c r="O6" s="72" t="s">
        <v>15</v>
      </c>
      <c r="P6" s="72" t="s">
        <v>356</v>
      </c>
      <c r="Q6" s="72" t="s">
        <v>357</v>
      </c>
      <c r="R6" s="72" t="s">
        <v>364</v>
      </c>
      <c r="S6" s="72" t="s">
        <v>15</v>
      </c>
      <c r="T6" s="72" t="s">
        <v>356</v>
      </c>
      <c r="U6" s="72" t="s">
        <v>357</v>
      </c>
      <c r="V6" s="72" t="s">
        <v>364</v>
      </c>
      <c r="W6" s="72" t="s">
        <v>15</v>
      </c>
      <c r="X6" s="72" t="s">
        <v>356</v>
      </c>
      <c r="Y6" s="72" t="s">
        <v>357</v>
      </c>
      <c r="Z6" s="72" t="s">
        <v>364</v>
      </c>
      <c r="AA6" s="72" t="s">
        <v>15</v>
      </c>
      <c r="AB6" s="83"/>
      <c r="AC6" s="87"/>
      <c r="AD6" s="81"/>
      <c r="AE6" s="81"/>
      <c r="AF6" s="81"/>
      <c r="AG6" s="81"/>
      <c r="AH6" s="88"/>
      <c r="AI6" s="88"/>
      <c r="AJ6" s="81"/>
      <c r="AK6" s="85"/>
      <c r="AL6" s="85" t="s">
        <v>439</v>
      </c>
      <c r="AM6" s="85"/>
      <c r="AN6" s="85"/>
      <c r="AO6" s="85"/>
      <c r="AP6" s="81"/>
      <c r="AQ6" s="81"/>
      <c r="AR6" s="81"/>
    </row>
    <row r="7" spans="1:53" s="18" customFormat="1" ht="29.25" customHeight="1">
      <c r="A7" s="22">
        <v>1</v>
      </c>
      <c r="B7" s="22">
        <v>2</v>
      </c>
      <c r="C7" s="22">
        <v>3</v>
      </c>
      <c r="D7" s="22" t="s">
        <v>362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 t="s">
        <v>380</v>
      </c>
      <c r="K7" s="22">
        <v>11</v>
      </c>
      <c r="L7" s="22">
        <v>12</v>
      </c>
      <c r="M7" s="22">
        <v>13</v>
      </c>
      <c r="N7" s="22" t="s">
        <v>384</v>
      </c>
      <c r="O7" s="22">
        <v>15</v>
      </c>
      <c r="P7" s="22">
        <v>16</v>
      </c>
      <c r="Q7" s="22">
        <v>17</v>
      </c>
      <c r="R7" s="22" t="s">
        <v>385</v>
      </c>
      <c r="S7" s="22">
        <v>19</v>
      </c>
      <c r="T7" s="22">
        <v>20</v>
      </c>
      <c r="U7" s="22">
        <v>21</v>
      </c>
      <c r="V7" s="22" t="s">
        <v>386</v>
      </c>
      <c r="W7" s="22">
        <v>23</v>
      </c>
      <c r="X7" s="22">
        <v>24</v>
      </c>
      <c r="Y7" s="22">
        <v>25</v>
      </c>
      <c r="Z7" s="22" t="s">
        <v>387</v>
      </c>
      <c r="AA7" s="22">
        <v>27</v>
      </c>
      <c r="AB7" s="22">
        <v>28</v>
      </c>
      <c r="AC7" s="22">
        <v>29</v>
      </c>
      <c r="AD7" s="22" t="s">
        <v>416</v>
      </c>
      <c r="AE7" s="22" t="s">
        <v>389</v>
      </c>
      <c r="AF7" s="22" t="s">
        <v>390</v>
      </c>
      <c r="AG7" s="22">
        <v>33</v>
      </c>
      <c r="AH7" s="22">
        <v>34</v>
      </c>
      <c r="AI7" s="22">
        <v>35</v>
      </c>
      <c r="AJ7" s="75" t="s">
        <v>429</v>
      </c>
      <c r="AK7" s="22">
        <v>37</v>
      </c>
      <c r="AL7" s="22">
        <v>38</v>
      </c>
      <c r="AM7" s="22">
        <v>39</v>
      </c>
      <c r="AN7" s="22">
        <v>40</v>
      </c>
      <c r="AO7" s="22">
        <v>41</v>
      </c>
      <c r="AP7" s="22">
        <v>42</v>
      </c>
      <c r="AQ7" s="22">
        <v>43</v>
      </c>
      <c r="AR7" s="22" t="s">
        <v>433</v>
      </c>
      <c r="AS7" s="1"/>
      <c r="AT7" s="1"/>
      <c r="AU7" s="1"/>
      <c r="AV7" s="1"/>
      <c r="AW7" s="1"/>
      <c r="AX7" s="1"/>
      <c r="AY7" s="1"/>
      <c r="AZ7" s="1"/>
      <c r="BA7" s="1"/>
    </row>
    <row r="8" spans="1:53" s="3" customFormat="1" ht="32.85" customHeight="1">
      <c r="A8" s="25" t="s">
        <v>377</v>
      </c>
      <c r="B8" s="23">
        <f>SUM(B9:B18)</f>
        <v>6065324.3000000007</v>
      </c>
      <c r="C8" s="23">
        <f>SUM(C9:C18)</f>
        <v>5759737</v>
      </c>
      <c r="D8" s="6">
        <f>IF(C8/B8&gt;1.2,IF((C8/B8-1.2)*0.1+1.2&gt;1.3,1.3,(C8/B8-1.2)*0.1+1.2),C8/B8)</f>
        <v>0.94961731889587486</v>
      </c>
      <c r="E8" s="20"/>
      <c r="F8" s="20"/>
      <c r="G8" s="20"/>
      <c r="H8" s="23">
        <f>SUM(H9:H18)</f>
        <v>355793</v>
      </c>
      <c r="I8" s="23">
        <f>SUM(I9:I18)</f>
        <v>377459.20800000004</v>
      </c>
      <c r="J8" s="6">
        <f>IF(I8/H8&gt;1.2,IF((I8/H8-1.2)*0.1+1.2&gt;1.3,1.3,(I8/H8-1.2)*0.1+1.2),I8/H8)</f>
        <v>1.0608955431950602</v>
      </c>
      <c r="K8" s="20"/>
      <c r="L8" s="23"/>
      <c r="M8" s="23"/>
      <c r="N8" s="6"/>
      <c r="O8" s="20"/>
      <c r="P8" s="20"/>
      <c r="Q8" s="20"/>
      <c r="R8" s="20"/>
      <c r="S8" s="20"/>
      <c r="T8" s="20"/>
      <c r="U8" s="20"/>
      <c r="V8" s="20"/>
      <c r="W8" s="20"/>
      <c r="X8" s="79">
        <f>SUM(X9:X18)</f>
        <v>4365.5</v>
      </c>
      <c r="Y8" s="79">
        <f>SUM(Y9:Y18)</f>
        <v>3728.6000000000004</v>
      </c>
      <c r="Z8" s="6">
        <f>IF(X8/Y8&gt;1.2,IF((X8/Y8-1.2)*0.1+1.2&gt;1.3,1.3,(X8/Y8-1.2)*0.1+1.2),X8/Y8)</f>
        <v>1.1708147830284825</v>
      </c>
      <c r="AA8" s="20"/>
      <c r="AB8" s="21"/>
      <c r="AC8" s="19">
        <f>SUM(AC9:AC18)</f>
        <v>1719791</v>
      </c>
      <c r="AD8" s="23">
        <f>SUM(AD9:AD18)</f>
        <v>469033.909090909</v>
      </c>
      <c r="AE8" s="23">
        <f>SUM(AE9:AE18)</f>
        <v>484069.59999999992</v>
      </c>
      <c r="AF8" s="23">
        <f>SUM(AF9:AF18)</f>
        <v>15035.690909090898</v>
      </c>
      <c r="AG8" s="23">
        <f t="shared" ref="AG8:AP8" si="0">SUM(AG9:AG18)</f>
        <v>0</v>
      </c>
      <c r="AH8" s="23">
        <f t="shared" si="0"/>
        <v>152874.70000000001</v>
      </c>
      <c r="AI8" s="23">
        <f t="shared" si="0"/>
        <v>152227.19999999995</v>
      </c>
      <c r="AJ8" s="23">
        <f t="shared" si="0"/>
        <v>178967.69999999995</v>
      </c>
      <c r="AK8" s="23"/>
      <c r="AL8" s="23"/>
      <c r="AM8" s="23"/>
      <c r="AN8" s="23"/>
      <c r="AO8" s="23"/>
      <c r="AP8" s="23">
        <f t="shared" si="0"/>
        <v>178967.69999999995</v>
      </c>
      <c r="AQ8" s="23">
        <f t="shared" ref="AQ8:AR8" si="1">SUM(AQ9:AQ18)</f>
        <v>12553</v>
      </c>
      <c r="AR8" s="23">
        <f t="shared" si="1"/>
        <v>166414.69999999998</v>
      </c>
      <c r="AS8" s="76"/>
      <c r="AT8" s="1"/>
      <c r="AU8" s="1"/>
      <c r="AV8" s="1"/>
      <c r="AW8" s="1"/>
      <c r="AX8" s="1"/>
      <c r="AY8" s="1"/>
      <c r="AZ8" s="1"/>
      <c r="BA8" s="1"/>
    </row>
    <row r="9" spans="1:53" s="2" customFormat="1" ht="17.100000000000001" customHeight="1">
      <c r="A9" s="11" t="s">
        <v>4</v>
      </c>
      <c r="B9" s="24">
        <v>3540709.6</v>
      </c>
      <c r="C9" s="24">
        <v>3316524.6</v>
      </c>
      <c r="D9" s="4">
        <f>IF(E9=0,0,IF(B9=0,1,IF(C9&lt;0,0,IF(C9/B9&gt;1.2,IF((C9/B9-1.2)*0.1+1.2&gt;1.3,1.3,(C9/B9-1.2)*0.1+1.2),C9/B9))))</f>
        <v>0.93668359585321537</v>
      </c>
      <c r="E9" s="10">
        <v>20</v>
      </c>
      <c r="F9" s="5">
        <v>1</v>
      </c>
      <c r="G9" s="5">
        <v>15</v>
      </c>
      <c r="H9" s="24">
        <v>191352</v>
      </c>
      <c r="I9" s="24">
        <v>203422.19999999998</v>
      </c>
      <c r="J9" s="4">
        <f>IF(K9=0,0,IF(H9=0,1,IF(I9&lt;0,0,IF(I9/H9&gt;1.2,IF((I9/H9-1.2)*0.1+1.2&gt;1.3,1.3,(I9/H9-1.2)*0.1+1.2),I9/H9))))</f>
        <v>1.0630785149880846</v>
      </c>
      <c r="K9" s="5">
        <v>15</v>
      </c>
      <c r="L9" s="5" t="s">
        <v>394</v>
      </c>
      <c r="M9" s="5" t="s">
        <v>394</v>
      </c>
      <c r="N9" s="4" t="s">
        <v>394</v>
      </c>
      <c r="O9" s="5"/>
      <c r="P9" s="5" t="s">
        <v>388</v>
      </c>
      <c r="Q9" s="5" t="s">
        <v>388</v>
      </c>
      <c r="R9" s="5" t="s">
        <v>388</v>
      </c>
      <c r="S9" s="5"/>
      <c r="T9" s="5" t="s">
        <v>388</v>
      </c>
      <c r="U9" s="5" t="s">
        <v>388</v>
      </c>
      <c r="V9" s="5" t="s">
        <v>388</v>
      </c>
      <c r="W9" s="5"/>
      <c r="X9" s="78">
        <v>1648.7</v>
      </c>
      <c r="Y9" s="78">
        <v>1470.6</v>
      </c>
      <c r="Z9" s="4">
        <f>IF(AA9=0,0,IF(Y9=0,1.3,IF(Y9&lt;0,0,IF(X9/Y9&gt;1.2,IF((X9/Y9-1.2)*0.1+1.2&gt;1.3,1.3,(X9/Y9-1.2)*0.1+1.2),X9/Y9))))</f>
        <v>1.121107031143751</v>
      </c>
      <c r="AA9" s="5">
        <v>15</v>
      </c>
      <c r="AB9" s="31">
        <f>(D9*E9+F9*G9+J9*K9+Z9*AA9)/(E9+G9+K9+AA9)</f>
        <v>1.0230223862929515</v>
      </c>
      <c r="AC9" s="32">
        <v>296098</v>
      </c>
      <c r="AD9" s="24">
        <f>AC9/11*3</f>
        <v>80754</v>
      </c>
      <c r="AE9" s="24">
        <f t="shared" ref="AE9:AE18" si="2">ROUND(AB9*AD9,1)</f>
        <v>82613.100000000006</v>
      </c>
      <c r="AF9" s="24">
        <f>AE9-AD9</f>
        <v>1859.1000000000058</v>
      </c>
      <c r="AG9" s="24"/>
      <c r="AH9" s="24">
        <v>25174.799999999999</v>
      </c>
      <c r="AI9" s="24">
        <v>26268.6</v>
      </c>
      <c r="AJ9" s="24">
        <f>ROUND(AE9-SUM(AG9:AI9),1)</f>
        <v>31169.7</v>
      </c>
      <c r="AK9" s="40"/>
      <c r="AL9" s="40"/>
      <c r="AM9" s="40"/>
      <c r="AN9" s="40"/>
      <c r="AO9" s="68"/>
      <c r="AP9" s="24">
        <f>IF(OR(AJ9&lt;0,AK9="+",AL9="+",AM9="+",AN9="+",AO9="+"),0,AJ9)</f>
        <v>31169.7</v>
      </c>
      <c r="AQ9" s="24">
        <f>MIN(AP9,1708.3)</f>
        <v>1708.3</v>
      </c>
      <c r="AR9" s="24">
        <f>ROUND(AP9-AQ9,1)</f>
        <v>29461.4</v>
      </c>
      <c r="AS9" s="76"/>
      <c r="AT9" s="1"/>
      <c r="AU9" s="1"/>
      <c r="AV9" s="38"/>
      <c r="AW9" s="38"/>
      <c r="AX9" s="38"/>
      <c r="AY9" s="38"/>
      <c r="AZ9" s="38"/>
      <c r="BA9" s="1"/>
    </row>
    <row r="10" spans="1:53" s="2" customFormat="1" ht="17.100000000000001" customHeight="1">
      <c r="A10" s="11" t="s">
        <v>5</v>
      </c>
      <c r="B10" s="24">
        <v>1491086.5</v>
      </c>
      <c r="C10" s="24">
        <v>1441059.9</v>
      </c>
      <c r="D10" s="4">
        <f t="shared" ref="D10:D56" si="3">IF(E10=0,0,IF(B10=0,1,IF(C10&lt;0,0,IF(C10/B10&gt;1.2,IF((C10/B10-1.2)*0.1+1.2&gt;1.3,1.3,(C10/B10-1.2)*0.1+1.2),C10/B10))))</f>
        <v>0.9664495654678652</v>
      </c>
      <c r="E10" s="10">
        <v>20</v>
      </c>
      <c r="F10" s="5">
        <v>1</v>
      </c>
      <c r="G10" s="5">
        <v>15</v>
      </c>
      <c r="H10" s="24">
        <v>82178</v>
      </c>
      <c r="I10" s="24">
        <v>89259.607999999993</v>
      </c>
      <c r="J10" s="4">
        <f t="shared" ref="J10:J18" si="4">IF(K10=0,0,IF(H10=0,1,IF(I10&lt;0,0,IF(I10/H10&gt;1.2,IF((I10/H10-1.2)*0.1+1.2&gt;1.3,1.3,(I10/H10-1.2)*0.1+1.2),I10/H10))))</f>
        <v>1.0861740125094306</v>
      </c>
      <c r="K10" s="5">
        <v>15</v>
      </c>
      <c r="L10" s="5" t="s">
        <v>394</v>
      </c>
      <c r="M10" s="5" t="s">
        <v>394</v>
      </c>
      <c r="N10" s="4" t="s">
        <v>394</v>
      </c>
      <c r="O10" s="5"/>
      <c r="P10" s="5" t="s">
        <v>388</v>
      </c>
      <c r="Q10" s="5" t="s">
        <v>388</v>
      </c>
      <c r="R10" s="5" t="s">
        <v>388</v>
      </c>
      <c r="S10" s="5"/>
      <c r="T10" s="5" t="s">
        <v>388</v>
      </c>
      <c r="U10" s="5" t="s">
        <v>388</v>
      </c>
      <c r="V10" s="5" t="s">
        <v>388</v>
      </c>
      <c r="W10" s="5"/>
      <c r="X10" s="78">
        <v>999.2</v>
      </c>
      <c r="Y10" s="78">
        <v>461.2</v>
      </c>
      <c r="Z10" s="4">
        <f t="shared" ref="Z10:Z56" si="5">IF(AA10=0,0,IF(Y10=0,1.3,IF(Y10&lt;0,0,IF(X10/Y10&gt;1.2,IF((X10/Y10-1.2)*0.1+1.2&gt;1.3,1.3,(X10/Y10-1.2)*0.1+1.2),X10/Y10))))</f>
        <v>1.296652211621856</v>
      </c>
      <c r="AA10" s="5">
        <v>15</v>
      </c>
      <c r="AB10" s="31">
        <f t="shared" ref="AB10:AB17" si="6">(D10*E10+F10*G10+J10*K10+Z10*AA10)/(E10+G10+K10+AA10)</f>
        <v>1.0780213026357939</v>
      </c>
      <c r="AC10" s="32">
        <v>622707</v>
      </c>
      <c r="AD10" s="24">
        <f t="shared" ref="AD10:AD56" si="7">AC10/11*3</f>
        <v>169829.18181818182</v>
      </c>
      <c r="AE10" s="24">
        <f t="shared" si="2"/>
        <v>183079.5</v>
      </c>
      <c r="AF10" s="24">
        <f t="shared" ref="AF10:AF56" si="8">AE10-AD10</f>
        <v>13250.318181818177</v>
      </c>
      <c r="AG10" s="24"/>
      <c r="AH10" s="24">
        <v>55175</v>
      </c>
      <c r="AI10" s="24">
        <v>55079.3</v>
      </c>
      <c r="AJ10" s="24">
        <f t="shared" ref="AJ10:AJ56" si="9">ROUND(AE10-SUM(AG10:AI10),1)</f>
        <v>72825.2</v>
      </c>
      <c r="AK10" s="40"/>
      <c r="AL10" s="40"/>
      <c r="AM10" s="40"/>
      <c r="AN10" s="40"/>
      <c r="AO10" s="68"/>
      <c r="AP10" s="24">
        <f t="shared" ref="AP10:AP56" si="10">IF(OR(AJ10&lt;0,AK10="+",AL10="+",AM10="+",AN10="+",AO10="+"),0,AJ10)</f>
        <v>72825.2</v>
      </c>
      <c r="AQ10" s="24"/>
      <c r="AR10" s="24">
        <f t="shared" ref="AR10:AR56" si="11">ROUND(AP10-AQ10,1)</f>
        <v>72825.2</v>
      </c>
      <c r="AS10" s="76"/>
      <c r="AT10" s="1"/>
      <c r="AU10" s="1"/>
      <c r="AV10" s="38"/>
      <c r="AW10" s="38"/>
      <c r="AX10" s="1"/>
      <c r="AY10" s="1"/>
      <c r="AZ10" s="1"/>
      <c r="BA10" s="1"/>
    </row>
    <row r="11" spans="1:53" s="2" customFormat="1" ht="17.100000000000001" customHeight="1">
      <c r="A11" s="11" t="s">
        <v>6</v>
      </c>
      <c r="B11" s="24">
        <v>317055.09999999998</v>
      </c>
      <c r="C11" s="24">
        <v>283912.2</v>
      </c>
      <c r="D11" s="4">
        <f t="shared" si="3"/>
        <v>0.89546643469857456</v>
      </c>
      <c r="E11" s="10">
        <v>20</v>
      </c>
      <c r="F11" s="5">
        <v>1</v>
      </c>
      <c r="G11" s="5">
        <v>15</v>
      </c>
      <c r="H11" s="24">
        <v>26960</v>
      </c>
      <c r="I11" s="24">
        <v>26563.200000000001</v>
      </c>
      <c r="J11" s="4">
        <f t="shared" si="4"/>
        <v>0.98528189910979236</v>
      </c>
      <c r="K11" s="5">
        <v>15</v>
      </c>
      <c r="L11" s="5" t="s">
        <v>394</v>
      </c>
      <c r="M11" s="5" t="s">
        <v>394</v>
      </c>
      <c r="N11" s="4" t="s">
        <v>394</v>
      </c>
      <c r="O11" s="5"/>
      <c r="P11" s="5" t="s">
        <v>388</v>
      </c>
      <c r="Q11" s="5" t="s">
        <v>388</v>
      </c>
      <c r="R11" s="5" t="s">
        <v>388</v>
      </c>
      <c r="S11" s="5"/>
      <c r="T11" s="5" t="s">
        <v>388</v>
      </c>
      <c r="U11" s="5" t="s">
        <v>388</v>
      </c>
      <c r="V11" s="5" t="s">
        <v>388</v>
      </c>
      <c r="W11" s="5"/>
      <c r="X11" s="78">
        <v>906.8</v>
      </c>
      <c r="Y11" s="78">
        <v>1164.3</v>
      </c>
      <c r="Z11" s="4">
        <f t="shared" si="5"/>
        <v>0.77883706948381004</v>
      </c>
      <c r="AA11" s="5">
        <v>15</v>
      </c>
      <c r="AB11" s="31">
        <f t="shared" si="6"/>
        <v>0.91340174189039269</v>
      </c>
      <c r="AC11" s="32">
        <v>167666</v>
      </c>
      <c r="AD11" s="24">
        <f t="shared" si="7"/>
        <v>45727.090909090912</v>
      </c>
      <c r="AE11" s="24">
        <f t="shared" si="2"/>
        <v>41767.199999999997</v>
      </c>
      <c r="AF11" s="24">
        <f t="shared" si="8"/>
        <v>-3959.8909090909146</v>
      </c>
      <c r="AG11" s="24"/>
      <c r="AH11" s="24">
        <v>14092</v>
      </c>
      <c r="AI11" s="24">
        <v>15633.9</v>
      </c>
      <c r="AJ11" s="24">
        <f t="shared" si="9"/>
        <v>12041.3</v>
      </c>
      <c r="AK11" s="68"/>
      <c r="AL11" s="40"/>
      <c r="AM11" s="40"/>
      <c r="AN11" s="40"/>
      <c r="AO11" s="68"/>
      <c r="AP11" s="24">
        <f t="shared" si="10"/>
        <v>12041.3</v>
      </c>
      <c r="AQ11" s="24">
        <f>MIN(AP11,7621.2)</f>
        <v>7621.2</v>
      </c>
      <c r="AR11" s="24">
        <f t="shared" si="11"/>
        <v>4420.1000000000004</v>
      </c>
      <c r="AS11" s="76"/>
      <c r="AT11" s="1"/>
      <c r="AU11" s="1"/>
      <c r="AV11" s="38"/>
      <c r="AW11" s="38"/>
      <c r="AX11" s="1"/>
      <c r="AY11" s="1"/>
      <c r="AZ11" s="1"/>
      <c r="BA11" s="1"/>
    </row>
    <row r="12" spans="1:53" s="2" customFormat="1" ht="17.100000000000001" customHeight="1">
      <c r="A12" s="11" t="s">
        <v>7</v>
      </c>
      <c r="B12" s="24">
        <v>275133.7</v>
      </c>
      <c r="C12" s="24">
        <v>301846.40000000002</v>
      </c>
      <c r="D12" s="4">
        <f t="shared" si="3"/>
        <v>1.0970898875710247</v>
      </c>
      <c r="E12" s="10">
        <v>20</v>
      </c>
      <c r="F12" s="5">
        <v>1</v>
      </c>
      <c r="G12" s="5">
        <v>15</v>
      </c>
      <c r="H12" s="24">
        <v>17783</v>
      </c>
      <c r="I12" s="24">
        <v>18151.900000000001</v>
      </c>
      <c r="J12" s="4">
        <f t="shared" si="4"/>
        <v>1.0207445312939325</v>
      </c>
      <c r="K12" s="5">
        <v>15</v>
      </c>
      <c r="L12" s="5" t="s">
        <v>394</v>
      </c>
      <c r="M12" s="5" t="s">
        <v>394</v>
      </c>
      <c r="N12" s="4" t="s">
        <v>394</v>
      </c>
      <c r="O12" s="5"/>
      <c r="P12" s="5" t="s">
        <v>388</v>
      </c>
      <c r="Q12" s="5" t="s">
        <v>388</v>
      </c>
      <c r="R12" s="5" t="s">
        <v>388</v>
      </c>
      <c r="S12" s="5"/>
      <c r="T12" s="5" t="s">
        <v>388</v>
      </c>
      <c r="U12" s="5" t="s">
        <v>388</v>
      </c>
      <c r="V12" s="5" t="s">
        <v>388</v>
      </c>
      <c r="W12" s="5"/>
      <c r="X12" s="78">
        <v>283.3</v>
      </c>
      <c r="Y12" s="78">
        <v>216.3</v>
      </c>
      <c r="Z12" s="4">
        <f t="shared" si="5"/>
        <v>1.2109754969949145</v>
      </c>
      <c r="AA12" s="5">
        <v>15</v>
      </c>
      <c r="AB12" s="31">
        <f t="shared" si="6"/>
        <v>1.083347664242357</v>
      </c>
      <c r="AC12" s="32">
        <v>72029</v>
      </c>
      <c r="AD12" s="24">
        <f t="shared" si="7"/>
        <v>19644.272727272728</v>
      </c>
      <c r="AE12" s="24">
        <f t="shared" si="2"/>
        <v>21281.599999999999</v>
      </c>
      <c r="AF12" s="24">
        <f t="shared" si="8"/>
        <v>1637.3272727272706</v>
      </c>
      <c r="AG12" s="24"/>
      <c r="AH12" s="24">
        <v>7303.6</v>
      </c>
      <c r="AI12" s="24">
        <v>6389.4</v>
      </c>
      <c r="AJ12" s="24">
        <f t="shared" si="9"/>
        <v>7588.6</v>
      </c>
      <c r="AK12" s="40"/>
      <c r="AL12" s="40"/>
      <c r="AM12" s="40"/>
      <c r="AN12" s="40"/>
      <c r="AO12" s="68"/>
      <c r="AP12" s="24">
        <f t="shared" si="10"/>
        <v>7588.6</v>
      </c>
      <c r="AQ12" s="24"/>
      <c r="AR12" s="24">
        <f t="shared" si="11"/>
        <v>7588.6</v>
      </c>
      <c r="AS12" s="76"/>
      <c r="AT12" s="1"/>
      <c r="AU12" s="1"/>
      <c r="AV12" s="38"/>
      <c r="AW12" s="38"/>
      <c r="AX12" s="1"/>
      <c r="AY12" s="1"/>
      <c r="AZ12" s="1"/>
      <c r="BA12" s="1"/>
    </row>
    <row r="13" spans="1:53" s="2" customFormat="1" ht="17.100000000000001" customHeight="1">
      <c r="A13" s="11" t="s">
        <v>8</v>
      </c>
      <c r="B13" s="24">
        <v>99254.2</v>
      </c>
      <c r="C13" s="24">
        <v>87946.1</v>
      </c>
      <c r="D13" s="4">
        <f t="shared" si="3"/>
        <v>0.88606930487576352</v>
      </c>
      <c r="E13" s="10">
        <v>20</v>
      </c>
      <c r="F13" s="5">
        <v>1</v>
      </c>
      <c r="G13" s="5">
        <v>15</v>
      </c>
      <c r="H13" s="24">
        <v>7671</v>
      </c>
      <c r="I13" s="24">
        <v>8203.2999999999993</v>
      </c>
      <c r="J13" s="4">
        <f t="shared" si="4"/>
        <v>1.0693912136618433</v>
      </c>
      <c r="K13" s="5">
        <v>15</v>
      </c>
      <c r="L13" s="5" t="s">
        <v>394</v>
      </c>
      <c r="M13" s="5" t="s">
        <v>394</v>
      </c>
      <c r="N13" s="4" t="s">
        <v>394</v>
      </c>
      <c r="O13" s="5"/>
      <c r="P13" s="5" t="s">
        <v>388</v>
      </c>
      <c r="Q13" s="5" t="s">
        <v>388</v>
      </c>
      <c r="R13" s="5" t="s">
        <v>388</v>
      </c>
      <c r="S13" s="5"/>
      <c r="T13" s="5" t="s">
        <v>388</v>
      </c>
      <c r="U13" s="5" t="s">
        <v>388</v>
      </c>
      <c r="V13" s="5" t="s">
        <v>388</v>
      </c>
      <c r="W13" s="5"/>
      <c r="X13" s="78">
        <v>64.2</v>
      </c>
      <c r="Y13" s="78">
        <v>51.8</v>
      </c>
      <c r="Z13" s="4">
        <f t="shared" si="5"/>
        <v>1.2039382239382239</v>
      </c>
      <c r="AA13" s="5">
        <v>15</v>
      </c>
      <c r="AB13" s="31">
        <f t="shared" si="6"/>
        <v>1.0280204255617889</v>
      </c>
      <c r="AC13" s="32">
        <v>138220</v>
      </c>
      <c r="AD13" s="24">
        <f t="shared" si="7"/>
        <v>37696.36363636364</v>
      </c>
      <c r="AE13" s="24">
        <f t="shared" si="2"/>
        <v>38752.6</v>
      </c>
      <c r="AF13" s="24">
        <f t="shared" si="8"/>
        <v>1056.2363636363589</v>
      </c>
      <c r="AG13" s="24"/>
      <c r="AH13" s="24">
        <v>12378.7</v>
      </c>
      <c r="AI13" s="24">
        <v>14025.2</v>
      </c>
      <c r="AJ13" s="24">
        <f t="shared" si="9"/>
        <v>12348.7</v>
      </c>
      <c r="AK13" s="68"/>
      <c r="AL13" s="40"/>
      <c r="AM13" s="40"/>
      <c r="AN13" s="40"/>
      <c r="AO13" s="68"/>
      <c r="AP13" s="24">
        <f t="shared" si="10"/>
        <v>12348.7</v>
      </c>
      <c r="AQ13" s="24"/>
      <c r="AR13" s="24">
        <f t="shared" si="11"/>
        <v>12348.7</v>
      </c>
      <c r="AS13" s="76"/>
      <c r="AT13" s="1"/>
      <c r="AU13" s="1"/>
      <c r="AV13" s="38"/>
      <c r="AW13" s="38"/>
      <c r="AX13" s="1"/>
      <c r="AY13" s="1"/>
      <c r="AZ13" s="1"/>
      <c r="BA13" s="1"/>
    </row>
    <row r="14" spans="1:53" s="2" customFormat="1" ht="17.100000000000001" customHeight="1">
      <c r="A14" s="11" t="s">
        <v>9</v>
      </c>
      <c r="B14" s="24">
        <v>106824.5</v>
      </c>
      <c r="C14" s="24">
        <v>101462.1</v>
      </c>
      <c r="D14" s="4">
        <f t="shared" si="3"/>
        <v>0.94980177768208607</v>
      </c>
      <c r="E14" s="10">
        <v>20</v>
      </c>
      <c r="F14" s="5">
        <v>1</v>
      </c>
      <c r="G14" s="5">
        <v>15</v>
      </c>
      <c r="H14" s="24">
        <v>8510</v>
      </c>
      <c r="I14" s="24">
        <v>8646.4</v>
      </c>
      <c r="J14" s="4">
        <f t="shared" si="4"/>
        <v>1.0160282021151585</v>
      </c>
      <c r="K14" s="5">
        <v>15</v>
      </c>
      <c r="L14" s="5" t="s">
        <v>394</v>
      </c>
      <c r="M14" s="5" t="s">
        <v>394</v>
      </c>
      <c r="N14" s="4" t="s">
        <v>394</v>
      </c>
      <c r="O14" s="5"/>
      <c r="P14" s="5" t="s">
        <v>388</v>
      </c>
      <c r="Q14" s="5" t="s">
        <v>388</v>
      </c>
      <c r="R14" s="5" t="s">
        <v>388</v>
      </c>
      <c r="S14" s="5"/>
      <c r="T14" s="5" t="s">
        <v>388</v>
      </c>
      <c r="U14" s="5" t="s">
        <v>388</v>
      </c>
      <c r="V14" s="5" t="s">
        <v>388</v>
      </c>
      <c r="W14" s="5"/>
      <c r="X14" s="78">
        <v>77.400000000000006</v>
      </c>
      <c r="Y14" s="78">
        <v>66.400000000000006</v>
      </c>
      <c r="Z14" s="4">
        <f t="shared" si="5"/>
        <v>1.1656626506024097</v>
      </c>
      <c r="AA14" s="5">
        <v>15</v>
      </c>
      <c r="AB14" s="31">
        <f t="shared" si="6"/>
        <v>1.0264830514523882</v>
      </c>
      <c r="AC14" s="32">
        <v>49201</v>
      </c>
      <c r="AD14" s="24">
        <f t="shared" si="7"/>
        <v>13418.454545454546</v>
      </c>
      <c r="AE14" s="24">
        <f t="shared" si="2"/>
        <v>13773.8</v>
      </c>
      <c r="AF14" s="24">
        <f t="shared" si="8"/>
        <v>355.34545454545332</v>
      </c>
      <c r="AG14" s="24"/>
      <c r="AH14" s="24">
        <v>4373.5</v>
      </c>
      <c r="AI14" s="24">
        <v>4578</v>
      </c>
      <c r="AJ14" s="24">
        <f t="shared" si="9"/>
        <v>4822.3</v>
      </c>
      <c r="AK14" s="40"/>
      <c r="AL14" s="40"/>
      <c r="AM14" s="40"/>
      <c r="AN14" s="40"/>
      <c r="AO14" s="68"/>
      <c r="AP14" s="24">
        <f t="shared" si="10"/>
        <v>4822.3</v>
      </c>
      <c r="AQ14" s="24"/>
      <c r="AR14" s="24">
        <f t="shared" si="11"/>
        <v>4822.3</v>
      </c>
      <c r="AS14" s="76"/>
      <c r="AT14" s="1"/>
      <c r="AU14" s="1"/>
      <c r="AV14" s="38"/>
      <c r="AW14" s="38"/>
      <c r="AX14" s="1"/>
      <c r="AY14" s="1"/>
      <c r="AZ14" s="1"/>
      <c r="BA14" s="1"/>
    </row>
    <row r="15" spans="1:53" s="2" customFormat="1" ht="17.100000000000001" customHeight="1">
      <c r="A15" s="11" t="s">
        <v>10</v>
      </c>
      <c r="B15" s="24">
        <v>75303.399999999994</v>
      </c>
      <c r="C15" s="24">
        <v>81821.100000000006</v>
      </c>
      <c r="D15" s="4">
        <f t="shared" si="3"/>
        <v>1.0865525328205634</v>
      </c>
      <c r="E15" s="10">
        <v>20</v>
      </c>
      <c r="F15" s="5">
        <v>1</v>
      </c>
      <c r="G15" s="5">
        <v>15</v>
      </c>
      <c r="H15" s="24">
        <v>7034</v>
      </c>
      <c r="I15" s="24">
        <v>7542.9</v>
      </c>
      <c r="J15" s="4">
        <f t="shared" si="4"/>
        <v>1.072348592550469</v>
      </c>
      <c r="K15" s="5">
        <v>15</v>
      </c>
      <c r="L15" s="5" t="s">
        <v>394</v>
      </c>
      <c r="M15" s="5" t="s">
        <v>394</v>
      </c>
      <c r="N15" s="4" t="s">
        <v>394</v>
      </c>
      <c r="O15" s="5"/>
      <c r="P15" s="5" t="s">
        <v>388</v>
      </c>
      <c r="Q15" s="5" t="s">
        <v>388</v>
      </c>
      <c r="R15" s="5" t="s">
        <v>388</v>
      </c>
      <c r="S15" s="5"/>
      <c r="T15" s="5" t="s">
        <v>388</v>
      </c>
      <c r="U15" s="5" t="s">
        <v>388</v>
      </c>
      <c r="V15" s="5" t="s">
        <v>388</v>
      </c>
      <c r="W15" s="5"/>
      <c r="X15" s="78">
        <v>109.8</v>
      </c>
      <c r="Y15" s="78">
        <v>166.9</v>
      </c>
      <c r="Z15" s="4">
        <f t="shared" si="5"/>
        <v>0.65787896944278001</v>
      </c>
      <c r="AA15" s="5">
        <v>15</v>
      </c>
      <c r="AB15" s="31">
        <f t="shared" si="6"/>
        <v>0.96437637055861536</v>
      </c>
      <c r="AC15" s="32">
        <v>120632</v>
      </c>
      <c r="AD15" s="24">
        <f t="shared" si="7"/>
        <v>32899.63636363636</v>
      </c>
      <c r="AE15" s="24">
        <f t="shared" si="2"/>
        <v>31727.599999999999</v>
      </c>
      <c r="AF15" s="24">
        <f t="shared" si="8"/>
        <v>-1172.0363636363618</v>
      </c>
      <c r="AG15" s="24"/>
      <c r="AH15" s="24">
        <v>11428.8</v>
      </c>
      <c r="AI15" s="24">
        <v>9658.9</v>
      </c>
      <c r="AJ15" s="24">
        <f t="shared" si="9"/>
        <v>10639.9</v>
      </c>
      <c r="AK15" s="68"/>
      <c r="AL15" s="40"/>
      <c r="AM15" s="40"/>
      <c r="AN15" s="40"/>
      <c r="AO15" s="68"/>
      <c r="AP15" s="24">
        <f t="shared" si="10"/>
        <v>10639.9</v>
      </c>
      <c r="AQ15" s="24">
        <f>MIN(AP15,417)</f>
        <v>417</v>
      </c>
      <c r="AR15" s="24">
        <f t="shared" si="11"/>
        <v>10222.9</v>
      </c>
      <c r="AS15" s="76"/>
      <c r="AT15" s="1"/>
      <c r="AU15" s="1"/>
      <c r="AV15" s="38"/>
      <c r="AW15" s="38"/>
      <c r="AX15" s="1"/>
      <c r="AY15" s="1"/>
      <c r="AZ15" s="1"/>
      <c r="BA15" s="1"/>
    </row>
    <row r="16" spans="1:53" s="2" customFormat="1" ht="17.100000000000001" customHeight="1">
      <c r="A16" s="35" t="s">
        <v>11</v>
      </c>
      <c r="B16" s="24">
        <v>27426.7</v>
      </c>
      <c r="C16" s="24">
        <v>25623.4</v>
      </c>
      <c r="D16" s="4">
        <f t="shared" si="3"/>
        <v>0.93425020144603621</v>
      </c>
      <c r="E16" s="10">
        <v>20</v>
      </c>
      <c r="F16" s="5">
        <v>1</v>
      </c>
      <c r="G16" s="5">
        <v>15</v>
      </c>
      <c r="H16" s="24">
        <v>2989</v>
      </c>
      <c r="I16" s="24">
        <v>3023.9</v>
      </c>
      <c r="J16" s="4">
        <f t="shared" si="4"/>
        <v>1.0116761458681833</v>
      </c>
      <c r="K16" s="5">
        <v>15</v>
      </c>
      <c r="L16" s="5" t="s">
        <v>394</v>
      </c>
      <c r="M16" s="5" t="s">
        <v>394</v>
      </c>
      <c r="N16" s="4" t="s">
        <v>394</v>
      </c>
      <c r="O16" s="5"/>
      <c r="P16" s="5" t="s">
        <v>388</v>
      </c>
      <c r="Q16" s="5" t="s">
        <v>388</v>
      </c>
      <c r="R16" s="5" t="s">
        <v>388</v>
      </c>
      <c r="S16" s="5"/>
      <c r="T16" s="5" t="s">
        <v>388</v>
      </c>
      <c r="U16" s="5" t="s">
        <v>388</v>
      </c>
      <c r="V16" s="5" t="s">
        <v>388</v>
      </c>
      <c r="W16" s="5"/>
      <c r="X16" s="78">
        <v>202.2</v>
      </c>
      <c r="Y16" s="78">
        <v>92.2</v>
      </c>
      <c r="Z16" s="4">
        <f>IF(AA16=0,0,IF(Y16=0,1.3,IF(Y16&lt;0,0,IF(X16/Y16&gt;1.2,IF((X16/Y16-1.2)*0.1+1.2&gt;1.3,1.3,(X16/Y16-1.2)*0.1+1.2),X16/Y16))))</f>
        <v>1.2993058568329716</v>
      </c>
      <c r="AA16" s="5">
        <v>15</v>
      </c>
      <c r="AB16" s="31">
        <f t="shared" si="6"/>
        <v>1.0515343702990469</v>
      </c>
      <c r="AC16" s="24">
        <v>79578</v>
      </c>
      <c r="AD16" s="24">
        <f t="shared" si="7"/>
        <v>21703.090909090908</v>
      </c>
      <c r="AE16" s="24">
        <f t="shared" si="2"/>
        <v>22821.5</v>
      </c>
      <c r="AF16" s="24">
        <f t="shared" si="8"/>
        <v>1118.4090909090919</v>
      </c>
      <c r="AG16" s="24"/>
      <c r="AH16" s="24">
        <v>8061.9</v>
      </c>
      <c r="AI16" s="24">
        <v>6373.3</v>
      </c>
      <c r="AJ16" s="24">
        <f t="shared" si="9"/>
        <v>8386.2999999999993</v>
      </c>
      <c r="AK16" s="68"/>
      <c r="AL16" s="40"/>
      <c r="AM16" s="68"/>
      <c r="AN16" s="40"/>
      <c r="AO16" s="68"/>
      <c r="AP16" s="24">
        <f t="shared" si="10"/>
        <v>8386.2999999999993</v>
      </c>
      <c r="AQ16" s="24"/>
      <c r="AR16" s="24">
        <f t="shared" si="11"/>
        <v>8386.2999999999993</v>
      </c>
      <c r="AS16" s="76"/>
      <c r="AT16" s="1"/>
      <c r="AU16" s="1"/>
      <c r="AV16" s="38"/>
      <c r="AW16" s="38"/>
      <c r="AX16" s="1"/>
      <c r="AY16" s="1"/>
      <c r="AZ16" s="1"/>
      <c r="BA16" s="1"/>
    </row>
    <row r="17" spans="1:53" s="2" customFormat="1" ht="17.100000000000001" customHeight="1">
      <c r="A17" s="11" t="s">
        <v>12</v>
      </c>
      <c r="B17" s="24">
        <v>85101.2</v>
      </c>
      <c r="C17" s="24">
        <v>77270.8</v>
      </c>
      <c r="D17" s="4">
        <f t="shared" si="3"/>
        <v>0.90798719642026204</v>
      </c>
      <c r="E17" s="10">
        <v>20</v>
      </c>
      <c r="F17" s="5">
        <v>1</v>
      </c>
      <c r="G17" s="5">
        <v>15</v>
      </c>
      <c r="H17" s="24">
        <v>8316</v>
      </c>
      <c r="I17" s="24">
        <v>8707.7000000000007</v>
      </c>
      <c r="J17" s="4">
        <f t="shared" si="4"/>
        <v>1.0471019721019721</v>
      </c>
      <c r="K17" s="5">
        <v>15</v>
      </c>
      <c r="L17" s="5" t="s">
        <v>394</v>
      </c>
      <c r="M17" s="5" t="s">
        <v>394</v>
      </c>
      <c r="N17" s="4" t="s">
        <v>394</v>
      </c>
      <c r="O17" s="5"/>
      <c r="P17" s="5" t="s">
        <v>388</v>
      </c>
      <c r="Q17" s="5" t="s">
        <v>388</v>
      </c>
      <c r="R17" s="5" t="s">
        <v>388</v>
      </c>
      <c r="S17" s="5"/>
      <c r="T17" s="5" t="s">
        <v>388</v>
      </c>
      <c r="U17" s="5" t="s">
        <v>388</v>
      </c>
      <c r="V17" s="5" t="s">
        <v>388</v>
      </c>
      <c r="W17" s="5"/>
      <c r="X17" s="78">
        <v>18</v>
      </c>
      <c r="Y17" s="78">
        <v>18</v>
      </c>
      <c r="Z17" s="4">
        <f t="shared" si="5"/>
        <v>1</v>
      </c>
      <c r="AA17" s="5">
        <v>15</v>
      </c>
      <c r="AB17" s="31">
        <f t="shared" si="6"/>
        <v>0.98255805399899721</v>
      </c>
      <c r="AC17" s="32">
        <v>111916</v>
      </c>
      <c r="AD17" s="24">
        <f t="shared" si="7"/>
        <v>30522.545454545456</v>
      </c>
      <c r="AE17" s="24">
        <f t="shared" si="2"/>
        <v>29990.2</v>
      </c>
      <c r="AF17" s="24">
        <f t="shared" si="8"/>
        <v>-532.34545454545514</v>
      </c>
      <c r="AG17" s="24"/>
      <c r="AH17" s="24">
        <v>9327.5</v>
      </c>
      <c r="AI17" s="24">
        <v>8938.7999999999993</v>
      </c>
      <c r="AJ17" s="24">
        <f t="shared" si="9"/>
        <v>11723.9</v>
      </c>
      <c r="AK17" s="68"/>
      <c r="AL17" s="40"/>
      <c r="AM17" s="40"/>
      <c r="AN17" s="40"/>
      <c r="AO17" s="68"/>
      <c r="AP17" s="24">
        <f t="shared" si="10"/>
        <v>11723.9</v>
      </c>
      <c r="AQ17" s="24"/>
      <c r="AR17" s="24">
        <f t="shared" si="11"/>
        <v>11723.9</v>
      </c>
      <c r="AS17" s="76"/>
      <c r="AT17" s="1"/>
      <c r="AU17" s="1"/>
      <c r="AV17" s="38"/>
      <c r="AW17" s="38"/>
      <c r="AX17" s="1"/>
      <c r="AY17" s="1"/>
      <c r="AZ17" s="1"/>
      <c r="BA17" s="1"/>
    </row>
    <row r="18" spans="1:53" s="2" customFormat="1" ht="17.100000000000001" customHeight="1">
      <c r="A18" s="11" t="s">
        <v>13</v>
      </c>
      <c r="B18" s="24">
        <v>47429.4</v>
      </c>
      <c r="C18" s="24">
        <v>42270.400000000001</v>
      </c>
      <c r="D18" s="4">
        <f t="shared" si="3"/>
        <v>0.89122780385161948</v>
      </c>
      <c r="E18" s="10">
        <v>20</v>
      </c>
      <c r="F18" s="5">
        <v>1</v>
      </c>
      <c r="G18" s="5">
        <v>15</v>
      </c>
      <c r="H18" s="24">
        <v>3000</v>
      </c>
      <c r="I18" s="24">
        <v>3938.1</v>
      </c>
      <c r="J18" s="4">
        <f t="shared" si="4"/>
        <v>1.2112699999999998</v>
      </c>
      <c r="K18" s="5">
        <v>15</v>
      </c>
      <c r="L18" s="5" t="s">
        <v>394</v>
      </c>
      <c r="M18" s="5" t="s">
        <v>394</v>
      </c>
      <c r="N18" s="4" t="s">
        <v>394</v>
      </c>
      <c r="O18" s="5"/>
      <c r="P18" s="5" t="s">
        <v>388</v>
      </c>
      <c r="Q18" s="5" t="s">
        <v>388</v>
      </c>
      <c r="R18" s="5" t="s">
        <v>388</v>
      </c>
      <c r="S18" s="5"/>
      <c r="T18" s="5" t="s">
        <v>388</v>
      </c>
      <c r="U18" s="5" t="s">
        <v>388</v>
      </c>
      <c r="V18" s="5" t="s">
        <v>388</v>
      </c>
      <c r="W18" s="5"/>
      <c r="X18" s="78">
        <v>55.9</v>
      </c>
      <c r="Y18" s="78">
        <v>20.9</v>
      </c>
      <c r="Z18" s="4">
        <f t="shared" si="5"/>
        <v>1.3</v>
      </c>
      <c r="AA18" s="5">
        <v>15</v>
      </c>
      <c r="AB18" s="31">
        <f>(D18*E18+F18*G18+J18*K18+Z18*AA18)/(E18+G18+K18+AA18)</f>
        <v>1.0845170165697289</v>
      </c>
      <c r="AC18" s="32">
        <v>61744</v>
      </c>
      <c r="AD18" s="24">
        <f t="shared" si="7"/>
        <v>16839.272727272728</v>
      </c>
      <c r="AE18" s="24">
        <f t="shared" si="2"/>
        <v>18262.5</v>
      </c>
      <c r="AF18" s="24">
        <f t="shared" si="8"/>
        <v>1423.2272727272721</v>
      </c>
      <c r="AG18" s="24"/>
      <c r="AH18" s="24">
        <v>5558.9</v>
      </c>
      <c r="AI18" s="24">
        <v>5281.8</v>
      </c>
      <c r="AJ18" s="24">
        <f t="shared" si="9"/>
        <v>7421.8</v>
      </c>
      <c r="AK18" s="68"/>
      <c r="AL18" s="40"/>
      <c r="AM18" s="40"/>
      <c r="AN18" s="40"/>
      <c r="AO18" s="68"/>
      <c r="AP18" s="24">
        <f t="shared" si="10"/>
        <v>7421.8</v>
      </c>
      <c r="AQ18" s="24">
        <f>MIN(AP18,2806.5)</f>
        <v>2806.5</v>
      </c>
      <c r="AR18" s="24">
        <f t="shared" si="11"/>
        <v>4615.3</v>
      </c>
      <c r="AS18" s="76"/>
      <c r="AT18" s="1"/>
      <c r="AU18" s="1"/>
      <c r="AV18" s="38"/>
      <c r="AW18" s="38"/>
      <c r="AX18" s="1"/>
      <c r="AY18" s="1"/>
      <c r="AZ18" s="1"/>
      <c r="BA18" s="1"/>
    </row>
    <row r="19" spans="1:53" s="2" customFormat="1" ht="17.100000000000001" customHeight="1">
      <c r="A19" s="25" t="s">
        <v>365</v>
      </c>
      <c r="B19" s="26">
        <f>SUM(B20:B28)</f>
        <v>108172.7</v>
      </c>
      <c r="C19" s="26">
        <f>SUM(C20:C28)</f>
        <v>127444.8</v>
      </c>
      <c r="D19" s="6">
        <f>IF(C19/B19&gt;1.2,IF((C19/B19-1.2)*0.1+1.2&gt;1.3,1.3,(C19/B19-1.2)*0.1+1.2),C19/B19)</f>
        <v>1.1781604785680675</v>
      </c>
      <c r="E19" s="26"/>
      <c r="F19" s="26"/>
      <c r="G19" s="26"/>
      <c r="H19" s="26"/>
      <c r="I19" s="26"/>
      <c r="J19" s="6">
        <f>J8</f>
        <v>1.0608955431950602</v>
      </c>
      <c r="K19" s="26"/>
      <c r="L19" s="26"/>
      <c r="M19" s="26"/>
      <c r="N19" s="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19">
        <f t="shared" ref="AC19:AR19" si="12">SUM(AC20:AC28)</f>
        <v>1175</v>
      </c>
      <c r="AD19" s="23">
        <f t="shared" si="12"/>
        <v>320.45454545454544</v>
      </c>
      <c r="AE19" s="23">
        <f t="shared" si="12"/>
        <v>341.6</v>
      </c>
      <c r="AF19" s="23">
        <f t="shared" si="12"/>
        <v>21.145454545454584</v>
      </c>
      <c r="AG19" s="23">
        <f t="shared" si="12"/>
        <v>235</v>
      </c>
      <c r="AH19" s="23">
        <f t="shared" si="12"/>
        <v>120.6</v>
      </c>
      <c r="AI19" s="23">
        <f t="shared" si="12"/>
        <v>116.4</v>
      </c>
      <c r="AJ19" s="23">
        <f t="shared" si="12"/>
        <v>-130.4</v>
      </c>
      <c r="AK19" s="23"/>
      <c r="AL19" s="23"/>
      <c r="AM19" s="23"/>
      <c r="AN19" s="23"/>
      <c r="AO19" s="23"/>
      <c r="AP19" s="23">
        <f t="shared" si="12"/>
        <v>0</v>
      </c>
      <c r="AQ19" s="23">
        <f t="shared" si="12"/>
        <v>0</v>
      </c>
      <c r="AR19" s="23">
        <f t="shared" si="12"/>
        <v>0</v>
      </c>
      <c r="AS19" s="76"/>
      <c r="AT19" s="1"/>
      <c r="AU19" s="1"/>
      <c r="AV19" s="38"/>
      <c r="AW19" s="38"/>
      <c r="BA19" s="1"/>
    </row>
    <row r="20" spans="1:53" s="2" customFormat="1" ht="17.100000000000001" customHeight="1">
      <c r="A20" s="11" t="s">
        <v>366</v>
      </c>
      <c r="B20" s="24">
        <v>9959.4</v>
      </c>
      <c r="C20" s="24">
        <v>7107.6</v>
      </c>
      <c r="D20" s="4">
        <f t="shared" si="3"/>
        <v>0.71365744924393038</v>
      </c>
      <c r="E20" s="5">
        <v>20</v>
      </c>
      <c r="F20" s="5">
        <f>F$9</f>
        <v>1</v>
      </c>
      <c r="G20" s="5">
        <v>15</v>
      </c>
      <c r="H20" s="5"/>
      <c r="I20" s="5"/>
      <c r="J20" s="4">
        <f>J$9</f>
        <v>1.0630785149880846</v>
      </c>
      <c r="K20" s="5">
        <v>15</v>
      </c>
      <c r="L20" s="5" t="s">
        <v>394</v>
      </c>
      <c r="M20" s="5" t="s">
        <v>394</v>
      </c>
      <c r="N20" s="4" t="s">
        <v>394</v>
      </c>
      <c r="O20" s="5"/>
      <c r="P20" s="5" t="s">
        <v>388</v>
      </c>
      <c r="Q20" s="5" t="s">
        <v>388</v>
      </c>
      <c r="R20" s="5" t="s">
        <v>388</v>
      </c>
      <c r="S20" s="5"/>
      <c r="T20" s="5" t="s">
        <v>388</v>
      </c>
      <c r="U20" s="5" t="s">
        <v>388</v>
      </c>
      <c r="V20" s="5" t="s">
        <v>388</v>
      </c>
      <c r="W20" s="5"/>
      <c r="X20" s="5"/>
      <c r="Y20" s="5"/>
      <c r="Z20" s="4">
        <f>Z$9</f>
        <v>1.121107031143751</v>
      </c>
      <c r="AA20" s="5">
        <v>15</v>
      </c>
      <c r="AB20" s="31">
        <f t="shared" ref="AB20:AB28" si="13">(D20*E20+F20*G20+J20*K20+Z20*AA20)/(E20+G20+K20+AA20)</f>
        <v>0.95439895656701756</v>
      </c>
      <c r="AC20" s="32">
        <v>0</v>
      </c>
      <c r="AD20" s="24">
        <f t="shared" si="7"/>
        <v>0</v>
      </c>
      <c r="AE20" s="24">
        <f t="shared" ref="AE20:AE28" si="14">ROUND(AB20*AD20,1)</f>
        <v>0</v>
      </c>
      <c r="AF20" s="24">
        <f t="shared" si="8"/>
        <v>0</v>
      </c>
      <c r="AG20" s="24"/>
      <c r="AH20" s="24">
        <v>0</v>
      </c>
      <c r="AI20" s="24">
        <v>0</v>
      </c>
      <c r="AJ20" s="24">
        <f t="shared" si="9"/>
        <v>0</v>
      </c>
      <c r="AK20" s="68"/>
      <c r="AL20" s="40"/>
      <c r="AM20" s="40"/>
      <c r="AN20" s="40"/>
      <c r="AO20" s="68"/>
      <c r="AP20" s="24">
        <f t="shared" si="10"/>
        <v>0</v>
      </c>
      <c r="AQ20" s="24"/>
      <c r="AR20" s="24">
        <f t="shared" si="11"/>
        <v>0</v>
      </c>
      <c r="AS20" s="76"/>
      <c r="AW20" s="38"/>
      <c r="BA20" s="1"/>
    </row>
    <row r="21" spans="1:53" s="2" customFormat="1" ht="17.100000000000001" customHeight="1">
      <c r="A21" s="35" t="s">
        <v>367</v>
      </c>
      <c r="B21" s="24">
        <v>17478.900000000001</v>
      </c>
      <c r="C21" s="24">
        <v>15346.5</v>
      </c>
      <c r="D21" s="4">
        <f t="shared" si="3"/>
        <v>0.87800147606542733</v>
      </c>
      <c r="E21" s="5">
        <v>20</v>
      </c>
      <c r="F21" s="5">
        <f t="shared" ref="F21:F27" si="15">F$9</f>
        <v>1</v>
      </c>
      <c r="G21" s="5">
        <v>15</v>
      </c>
      <c r="H21" s="5"/>
      <c r="I21" s="5"/>
      <c r="J21" s="4">
        <f t="shared" ref="J21:J27" si="16">J$9</f>
        <v>1.0630785149880846</v>
      </c>
      <c r="K21" s="5">
        <v>15</v>
      </c>
      <c r="L21" s="5" t="s">
        <v>394</v>
      </c>
      <c r="M21" s="5" t="s">
        <v>394</v>
      </c>
      <c r="N21" s="4" t="s">
        <v>394</v>
      </c>
      <c r="O21" s="5"/>
      <c r="P21" s="5" t="s">
        <v>388</v>
      </c>
      <c r="Q21" s="5" t="s">
        <v>388</v>
      </c>
      <c r="R21" s="5" t="s">
        <v>388</v>
      </c>
      <c r="S21" s="5"/>
      <c r="T21" s="5" t="s">
        <v>388</v>
      </c>
      <c r="U21" s="5" t="s">
        <v>388</v>
      </c>
      <c r="V21" s="5" t="s">
        <v>388</v>
      </c>
      <c r="W21" s="5"/>
      <c r="X21" s="5"/>
      <c r="Y21" s="5"/>
      <c r="Z21" s="4">
        <f t="shared" ref="Z21:Z27" si="17">Z$9</f>
        <v>1.121107031143751</v>
      </c>
      <c r="AA21" s="5">
        <v>15</v>
      </c>
      <c r="AB21" s="31">
        <f t="shared" si="13"/>
        <v>1.0049663494351706</v>
      </c>
      <c r="AC21" s="32">
        <v>0</v>
      </c>
      <c r="AD21" s="24">
        <f t="shared" si="7"/>
        <v>0</v>
      </c>
      <c r="AE21" s="24">
        <f t="shared" si="14"/>
        <v>0</v>
      </c>
      <c r="AF21" s="24">
        <f t="shared" si="8"/>
        <v>0</v>
      </c>
      <c r="AG21" s="24"/>
      <c r="AH21" s="24">
        <v>0</v>
      </c>
      <c r="AI21" s="24">
        <v>0</v>
      </c>
      <c r="AJ21" s="24">
        <f t="shared" si="9"/>
        <v>0</v>
      </c>
      <c r="AK21" s="68"/>
      <c r="AL21" s="40"/>
      <c r="AM21" s="40"/>
      <c r="AN21" s="40"/>
      <c r="AO21" s="68"/>
      <c r="AP21" s="24">
        <f t="shared" si="10"/>
        <v>0</v>
      </c>
      <c r="AQ21" s="24"/>
      <c r="AR21" s="24">
        <f t="shared" si="11"/>
        <v>0</v>
      </c>
      <c r="AS21" s="76"/>
      <c r="AW21" s="38"/>
      <c r="BA21" s="1"/>
    </row>
    <row r="22" spans="1:53" s="2" customFormat="1" ht="17.100000000000001" customHeight="1">
      <c r="A22" s="35" t="s">
        <v>368</v>
      </c>
      <c r="B22" s="24">
        <v>7343</v>
      </c>
      <c r="C22" s="24">
        <v>7930.5</v>
      </c>
      <c r="D22" s="4">
        <f t="shared" si="3"/>
        <v>1.080008171047256</v>
      </c>
      <c r="E22" s="5">
        <v>20</v>
      </c>
      <c r="F22" s="5">
        <f t="shared" si="15"/>
        <v>1</v>
      </c>
      <c r="G22" s="5">
        <v>15</v>
      </c>
      <c r="H22" s="5"/>
      <c r="I22" s="5"/>
      <c r="J22" s="4">
        <f t="shared" si="16"/>
        <v>1.0630785149880846</v>
      </c>
      <c r="K22" s="5">
        <v>15</v>
      </c>
      <c r="L22" s="5" t="s">
        <v>394</v>
      </c>
      <c r="M22" s="5" t="s">
        <v>394</v>
      </c>
      <c r="N22" s="4" t="s">
        <v>394</v>
      </c>
      <c r="O22" s="5"/>
      <c r="P22" s="5" t="s">
        <v>388</v>
      </c>
      <c r="Q22" s="5" t="s">
        <v>388</v>
      </c>
      <c r="R22" s="5" t="s">
        <v>388</v>
      </c>
      <c r="S22" s="5"/>
      <c r="T22" s="5" t="s">
        <v>388</v>
      </c>
      <c r="U22" s="5" t="s">
        <v>388</v>
      </c>
      <c r="V22" s="5" t="s">
        <v>388</v>
      </c>
      <c r="W22" s="5"/>
      <c r="X22" s="5"/>
      <c r="Y22" s="5"/>
      <c r="Z22" s="4">
        <f t="shared" si="17"/>
        <v>1.121107031143751</v>
      </c>
      <c r="AA22" s="5">
        <v>15</v>
      </c>
      <c r="AB22" s="31">
        <f t="shared" si="13"/>
        <v>1.0671222555834254</v>
      </c>
      <c r="AC22" s="32">
        <v>0</v>
      </c>
      <c r="AD22" s="24">
        <f t="shared" si="7"/>
        <v>0</v>
      </c>
      <c r="AE22" s="24">
        <f t="shared" si="14"/>
        <v>0</v>
      </c>
      <c r="AF22" s="24">
        <f t="shared" si="8"/>
        <v>0</v>
      </c>
      <c r="AG22" s="24"/>
      <c r="AH22" s="24">
        <v>0</v>
      </c>
      <c r="AI22" s="24">
        <v>0</v>
      </c>
      <c r="AJ22" s="24">
        <f t="shared" si="9"/>
        <v>0</v>
      </c>
      <c r="AK22" s="68"/>
      <c r="AL22" s="40"/>
      <c r="AM22" s="40"/>
      <c r="AN22" s="40"/>
      <c r="AO22" s="68"/>
      <c r="AP22" s="24">
        <f t="shared" si="10"/>
        <v>0</v>
      </c>
      <c r="AQ22" s="24"/>
      <c r="AR22" s="24">
        <f t="shared" si="11"/>
        <v>0</v>
      </c>
      <c r="AS22" s="76"/>
      <c r="AW22" s="38"/>
      <c r="BA22" s="1"/>
    </row>
    <row r="23" spans="1:53" s="2" customFormat="1" ht="17.100000000000001" customHeight="1">
      <c r="A23" s="35" t="s">
        <v>369</v>
      </c>
      <c r="B23" s="24">
        <v>10566.8</v>
      </c>
      <c r="C23" s="24">
        <v>9547.9</v>
      </c>
      <c r="D23" s="4">
        <f t="shared" si="3"/>
        <v>0.90357534920695015</v>
      </c>
      <c r="E23" s="5">
        <v>20</v>
      </c>
      <c r="F23" s="5">
        <f t="shared" si="15"/>
        <v>1</v>
      </c>
      <c r="G23" s="5">
        <v>15</v>
      </c>
      <c r="H23" s="5"/>
      <c r="I23" s="5"/>
      <c r="J23" s="4">
        <f t="shared" si="16"/>
        <v>1.0630785149880846</v>
      </c>
      <c r="K23" s="5">
        <v>15</v>
      </c>
      <c r="L23" s="5" t="s">
        <v>394</v>
      </c>
      <c r="M23" s="5" t="s">
        <v>394</v>
      </c>
      <c r="N23" s="4" t="s">
        <v>394</v>
      </c>
      <c r="O23" s="5"/>
      <c r="P23" s="5" t="s">
        <v>388</v>
      </c>
      <c r="Q23" s="5" t="s">
        <v>388</v>
      </c>
      <c r="R23" s="5" t="s">
        <v>388</v>
      </c>
      <c r="S23" s="5"/>
      <c r="T23" s="5" t="s">
        <v>388</v>
      </c>
      <c r="U23" s="5" t="s">
        <v>388</v>
      </c>
      <c r="V23" s="5" t="s">
        <v>388</v>
      </c>
      <c r="W23" s="5"/>
      <c r="X23" s="5"/>
      <c r="Y23" s="5"/>
      <c r="Z23" s="4">
        <f t="shared" si="17"/>
        <v>1.121107031143751</v>
      </c>
      <c r="AA23" s="5">
        <v>15</v>
      </c>
      <c r="AB23" s="31">
        <f t="shared" si="13"/>
        <v>1.0128352334787161</v>
      </c>
      <c r="AC23" s="32">
        <v>0</v>
      </c>
      <c r="AD23" s="24">
        <f t="shared" si="7"/>
        <v>0</v>
      </c>
      <c r="AE23" s="24">
        <f t="shared" si="14"/>
        <v>0</v>
      </c>
      <c r="AF23" s="24">
        <f t="shared" si="8"/>
        <v>0</v>
      </c>
      <c r="AG23" s="24"/>
      <c r="AH23" s="24">
        <v>0</v>
      </c>
      <c r="AI23" s="24">
        <v>0</v>
      </c>
      <c r="AJ23" s="24">
        <f t="shared" si="9"/>
        <v>0</v>
      </c>
      <c r="AK23" s="68"/>
      <c r="AL23" s="40"/>
      <c r="AM23" s="40"/>
      <c r="AN23" s="40"/>
      <c r="AO23" s="68"/>
      <c r="AP23" s="24">
        <f t="shared" si="10"/>
        <v>0</v>
      </c>
      <c r="AQ23" s="24"/>
      <c r="AR23" s="24">
        <f t="shared" si="11"/>
        <v>0</v>
      </c>
      <c r="AS23" s="76"/>
      <c r="AW23" s="38"/>
      <c r="BA23" s="1"/>
    </row>
    <row r="24" spans="1:53" s="2" customFormat="1" ht="17.100000000000001" customHeight="1">
      <c r="A24" s="35" t="s">
        <v>370</v>
      </c>
      <c r="B24" s="24">
        <v>11416.3</v>
      </c>
      <c r="C24" s="24">
        <v>17181</v>
      </c>
      <c r="D24" s="4">
        <f t="shared" si="3"/>
        <v>1.2304953443760238</v>
      </c>
      <c r="E24" s="5">
        <v>20</v>
      </c>
      <c r="F24" s="5">
        <f>F$9</f>
        <v>1</v>
      </c>
      <c r="G24" s="5">
        <v>15</v>
      </c>
      <c r="H24" s="5"/>
      <c r="I24" s="5"/>
      <c r="J24" s="4">
        <f t="shared" si="16"/>
        <v>1.0630785149880846</v>
      </c>
      <c r="K24" s="5">
        <v>15</v>
      </c>
      <c r="L24" s="5" t="s">
        <v>394</v>
      </c>
      <c r="M24" s="5" t="s">
        <v>394</v>
      </c>
      <c r="N24" s="4" t="s">
        <v>394</v>
      </c>
      <c r="O24" s="5"/>
      <c r="P24" s="5" t="s">
        <v>388</v>
      </c>
      <c r="Q24" s="5" t="s">
        <v>388</v>
      </c>
      <c r="R24" s="5" t="s">
        <v>388</v>
      </c>
      <c r="S24" s="5"/>
      <c r="T24" s="5" t="s">
        <v>388</v>
      </c>
      <c r="U24" s="5" t="s">
        <v>388</v>
      </c>
      <c r="V24" s="5" t="s">
        <v>388</v>
      </c>
      <c r="W24" s="5"/>
      <c r="X24" s="5"/>
      <c r="Y24" s="5"/>
      <c r="Z24" s="4">
        <f t="shared" si="17"/>
        <v>1.121107031143751</v>
      </c>
      <c r="AA24" s="5">
        <v>15</v>
      </c>
      <c r="AB24" s="31">
        <f t="shared" si="13"/>
        <v>1.1134260012230464</v>
      </c>
      <c r="AC24" s="32">
        <v>0</v>
      </c>
      <c r="AD24" s="24">
        <f t="shared" si="7"/>
        <v>0</v>
      </c>
      <c r="AE24" s="24">
        <f t="shared" si="14"/>
        <v>0</v>
      </c>
      <c r="AF24" s="24">
        <f t="shared" si="8"/>
        <v>0</v>
      </c>
      <c r="AG24" s="24"/>
      <c r="AH24" s="24">
        <v>0</v>
      </c>
      <c r="AI24" s="24">
        <v>0</v>
      </c>
      <c r="AJ24" s="24">
        <f t="shared" si="9"/>
        <v>0</v>
      </c>
      <c r="AK24" s="68"/>
      <c r="AL24" s="40"/>
      <c r="AM24" s="40"/>
      <c r="AN24" s="40"/>
      <c r="AO24" s="68"/>
      <c r="AP24" s="24">
        <f t="shared" si="10"/>
        <v>0</v>
      </c>
      <c r="AQ24" s="24"/>
      <c r="AR24" s="24">
        <f t="shared" si="11"/>
        <v>0</v>
      </c>
      <c r="AS24" s="76"/>
      <c r="AW24" s="38"/>
      <c r="BA24" s="1"/>
    </row>
    <row r="25" spans="1:53" s="2" customFormat="1" ht="17.100000000000001" customHeight="1">
      <c r="A25" s="35" t="s">
        <v>371</v>
      </c>
      <c r="B25" s="24">
        <v>18210</v>
      </c>
      <c r="C25" s="24">
        <v>15560.5</v>
      </c>
      <c r="D25" s="4">
        <f t="shared" si="3"/>
        <v>0.85450302031850633</v>
      </c>
      <c r="E25" s="5">
        <v>20</v>
      </c>
      <c r="F25" s="5">
        <f t="shared" si="15"/>
        <v>1</v>
      </c>
      <c r="G25" s="5">
        <v>15</v>
      </c>
      <c r="H25" s="5"/>
      <c r="I25" s="5"/>
      <c r="J25" s="4">
        <f t="shared" si="16"/>
        <v>1.0630785149880846</v>
      </c>
      <c r="K25" s="5">
        <v>15</v>
      </c>
      <c r="L25" s="5" t="s">
        <v>394</v>
      </c>
      <c r="M25" s="5" t="s">
        <v>394</v>
      </c>
      <c r="N25" s="4" t="s">
        <v>394</v>
      </c>
      <c r="O25" s="5"/>
      <c r="P25" s="5" t="s">
        <v>388</v>
      </c>
      <c r="Q25" s="5" t="s">
        <v>388</v>
      </c>
      <c r="R25" s="5" t="s">
        <v>388</v>
      </c>
      <c r="S25" s="5"/>
      <c r="T25" s="5" t="s">
        <v>388</v>
      </c>
      <c r="U25" s="5" t="s">
        <v>388</v>
      </c>
      <c r="V25" s="5" t="s">
        <v>388</v>
      </c>
      <c r="W25" s="5"/>
      <c r="X25" s="5"/>
      <c r="Y25" s="5"/>
      <c r="Z25" s="4">
        <f t="shared" si="17"/>
        <v>1.121107031143751</v>
      </c>
      <c r="AA25" s="5">
        <v>15</v>
      </c>
      <c r="AB25" s="31">
        <f t="shared" si="13"/>
        <v>0.99773605535919474</v>
      </c>
      <c r="AC25" s="32">
        <v>0</v>
      </c>
      <c r="AD25" s="24">
        <f t="shared" si="7"/>
        <v>0</v>
      </c>
      <c r="AE25" s="24">
        <f t="shared" si="14"/>
        <v>0</v>
      </c>
      <c r="AF25" s="24">
        <f t="shared" si="8"/>
        <v>0</v>
      </c>
      <c r="AG25" s="24"/>
      <c r="AH25" s="24">
        <v>0</v>
      </c>
      <c r="AI25" s="24">
        <v>0</v>
      </c>
      <c r="AJ25" s="24">
        <f t="shared" si="9"/>
        <v>0</v>
      </c>
      <c r="AK25" s="68"/>
      <c r="AL25" s="40"/>
      <c r="AM25" s="40"/>
      <c r="AN25" s="40"/>
      <c r="AO25" s="68"/>
      <c r="AP25" s="24">
        <f t="shared" si="10"/>
        <v>0</v>
      </c>
      <c r="AQ25" s="24"/>
      <c r="AR25" s="24">
        <f t="shared" si="11"/>
        <v>0</v>
      </c>
      <c r="AS25" s="76"/>
      <c r="AW25" s="38"/>
      <c r="BA25" s="1"/>
    </row>
    <row r="26" spans="1:53" s="2" customFormat="1" ht="17.100000000000001" customHeight="1">
      <c r="A26" s="35" t="s">
        <v>372</v>
      </c>
      <c r="B26" s="24">
        <v>18198.5</v>
      </c>
      <c r="C26" s="24">
        <v>35103.199999999997</v>
      </c>
      <c r="D26" s="4">
        <f t="shared" si="3"/>
        <v>1.2728906228535317</v>
      </c>
      <c r="E26" s="5">
        <v>20</v>
      </c>
      <c r="F26" s="5">
        <f t="shared" si="15"/>
        <v>1</v>
      </c>
      <c r="G26" s="5">
        <v>15</v>
      </c>
      <c r="H26" s="5"/>
      <c r="I26" s="5"/>
      <c r="J26" s="4">
        <f t="shared" si="16"/>
        <v>1.0630785149880846</v>
      </c>
      <c r="K26" s="5">
        <v>15</v>
      </c>
      <c r="L26" s="5" t="s">
        <v>394</v>
      </c>
      <c r="M26" s="5" t="s">
        <v>394</v>
      </c>
      <c r="N26" s="4" t="s">
        <v>394</v>
      </c>
      <c r="O26" s="5"/>
      <c r="P26" s="5" t="s">
        <v>388</v>
      </c>
      <c r="Q26" s="5" t="s">
        <v>388</v>
      </c>
      <c r="R26" s="5" t="s">
        <v>388</v>
      </c>
      <c r="S26" s="5"/>
      <c r="T26" s="5" t="s">
        <v>388</v>
      </c>
      <c r="U26" s="5" t="s">
        <v>388</v>
      </c>
      <c r="V26" s="5" t="s">
        <v>388</v>
      </c>
      <c r="W26" s="5"/>
      <c r="X26" s="5"/>
      <c r="Y26" s="5"/>
      <c r="Z26" s="4">
        <f t="shared" si="17"/>
        <v>1.121107031143751</v>
      </c>
      <c r="AA26" s="5">
        <v>15</v>
      </c>
      <c r="AB26" s="31">
        <f t="shared" si="13"/>
        <v>1.1264707022930487</v>
      </c>
      <c r="AC26" s="32">
        <v>0</v>
      </c>
      <c r="AD26" s="24">
        <f t="shared" si="7"/>
        <v>0</v>
      </c>
      <c r="AE26" s="24">
        <f t="shared" si="14"/>
        <v>0</v>
      </c>
      <c r="AF26" s="24">
        <f t="shared" si="8"/>
        <v>0</v>
      </c>
      <c r="AG26" s="24"/>
      <c r="AH26" s="24">
        <v>0</v>
      </c>
      <c r="AI26" s="24">
        <v>0</v>
      </c>
      <c r="AJ26" s="24">
        <f t="shared" si="9"/>
        <v>0</v>
      </c>
      <c r="AK26" s="68"/>
      <c r="AL26" s="40"/>
      <c r="AM26" s="40"/>
      <c r="AN26" s="40"/>
      <c r="AO26" s="68"/>
      <c r="AP26" s="24">
        <f t="shared" si="10"/>
        <v>0</v>
      </c>
      <c r="AQ26" s="24"/>
      <c r="AR26" s="24">
        <f t="shared" si="11"/>
        <v>0</v>
      </c>
      <c r="AS26" s="76"/>
      <c r="AW26" s="38"/>
      <c r="BA26" s="1"/>
    </row>
    <row r="27" spans="1:53" s="2" customFormat="1" ht="17.100000000000001" customHeight="1">
      <c r="A27" s="11" t="s">
        <v>374</v>
      </c>
      <c r="B27" s="24">
        <v>4100.8999999999996</v>
      </c>
      <c r="C27" s="24">
        <v>7931.8</v>
      </c>
      <c r="D27" s="4">
        <f t="shared" si="3"/>
        <v>1.2734160793972054</v>
      </c>
      <c r="E27" s="5">
        <v>20</v>
      </c>
      <c r="F27" s="5">
        <f t="shared" si="15"/>
        <v>1</v>
      </c>
      <c r="G27" s="5">
        <v>15</v>
      </c>
      <c r="H27" s="5"/>
      <c r="I27" s="5"/>
      <c r="J27" s="4">
        <f t="shared" si="16"/>
        <v>1.0630785149880846</v>
      </c>
      <c r="K27" s="5">
        <v>15</v>
      </c>
      <c r="L27" s="5" t="s">
        <v>394</v>
      </c>
      <c r="M27" s="5" t="s">
        <v>394</v>
      </c>
      <c r="N27" s="4" t="s">
        <v>394</v>
      </c>
      <c r="O27" s="5"/>
      <c r="P27" s="5" t="s">
        <v>388</v>
      </c>
      <c r="Q27" s="5" t="s">
        <v>388</v>
      </c>
      <c r="R27" s="5" t="s">
        <v>388</v>
      </c>
      <c r="S27" s="5"/>
      <c r="T27" s="5" t="s">
        <v>388</v>
      </c>
      <c r="U27" s="5" t="s">
        <v>388</v>
      </c>
      <c r="V27" s="5" t="s">
        <v>388</v>
      </c>
      <c r="W27" s="5"/>
      <c r="X27" s="5"/>
      <c r="Y27" s="5"/>
      <c r="Z27" s="4">
        <f t="shared" si="17"/>
        <v>1.121107031143751</v>
      </c>
      <c r="AA27" s="5">
        <v>15</v>
      </c>
      <c r="AB27" s="31">
        <f t="shared" si="13"/>
        <v>1.1266323812295636</v>
      </c>
      <c r="AC27" s="32">
        <v>0</v>
      </c>
      <c r="AD27" s="24">
        <f t="shared" si="7"/>
        <v>0</v>
      </c>
      <c r="AE27" s="24">
        <f t="shared" si="14"/>
        <v>0</v>
      </c>
      <c r="AF27" s="24">
        <f t="shared" si="8"/>
        <v>0</v>
      </c>
      <c r="AG27" s="24"/>
      <c r="AH27" s="24">
        <v>0</v>
      </c>
      <c r="AI27" s="24">
        <v>0</v>
      </c>
      <c r="AJ27" s="24">
        <f t="shared" si="9"/>
        <v>0</v>
      </c>
      <c r="AK27" s="68"/>
      <c r="AL27" s="40"/>
      <c r="AM27" s="40"/>
      <c r="AN27" s="40"/>
      <c r="AO27" s="68"/>
      <c r="AP27" s="24">
        <f t="shared" si="10"/>
        <v>0</v>
      </c>
      <c r="AQ27" s="24"/>
      <c r="AR27" s="24">
        <f t="shared" si="11"/>
        <v>0</v>
      </c>
      <c r="AS27" s="76"/>
      <c r="AW27" s="38"/>
      <c r="BA27" s="1"/>
    </row>
    <row r="28" spans="1:53" s="2" customFormat="1" ht="17.100000000000001" customHeight="1">
      <c r="A28" s="11" t="s">
        <v>373</v>
      </c>
      <c r="B28" s="24">
        <v>10898.9</v>
      </c>
      <c r="C28" s="24">
        <v>11735.8</v>
      </c>
      <c r="D28" s="4">
        <f t="shared" si="3"/>
        <v>1.0767875657176411</v>
      </c>
      <c r="E28" s="5">
        <v>20</v>
      </c>
      <c r="F28" s="5">
        <f>F$9</f>
        <v>1</v>
      </c>
      <c r="G28" s="5">
        <v>15</v>
      </c>
      <c r="H28" s="5"/>
      <c r="I28" s="5"/>
      <c r="J28" s="4">
        <f>J$9</f>
        <v>1.0630785149880846</v>
      </c>
      <c r="K28" s="5">
        <v>15</v>
      </c>
      <c r="L28" s="5" t="s">
        <v>394</v>
      </c>
      <c r="M28" s="5" t="s">
        <v>394</v>
      </c>
      <c r="N28" s="4" t="s">
        <v>394</v>
      </c>
      <c r="O28" s="5"/>
      <c r="P28" s="5" t="s">
        <v>388</v>
      </c>
      <c r="Q28" s="5" t="s">
        <v>388</v>
      </c>
      <c r="R28" s="5" t="s">
        <v>388</v>
      </c>
      <c r="S28" s="5"/>
      <c r="T28" s="5" t="s">
        <v>388</v>
      </c>
      <c r="U28" s="5" t="s">
        <v>388</v>
      </c>
      <c r="V28" s="5" t="s">
        <v>388</v>
      </c>
      <c r="W28" s="5"/>
      <c r="X28" s="5"/>
      <c r="Y28" s="5"/>
      <c r="Z28" s="4">
        <f>Z$9</f>
        <v>1.121107031143751</v>
      </c>
      <c r="AA28" s="5">
        <v>15</v>
      </c>
      <c r="AB28" s="31">
        <f t="shared" si="13"/>
        <v>1.06613130009739</v>
      </c>
      <c r="AC28" s="32">
        <v>1175</v>
      </c>
      <c r="AD28" s="24">
        <f t="shared" si="7"/>
        <v>320.45454545454544</v>
      </c>
      <c r="AE28" s="24">
        <f t="shared" si="14"/>
        <v>341.6</v>
      </c>
      <c r="AF28" s="24">
        <f t="shared" si="8"/>
        <v>21.145454545454584</v>
      </c>
      <c r="AG28" s="24">
        <v>235</v>
      </c>
      <c r="AH28" s="24">
        <v>120.6</v>
      </c>
      <c r="AI28" s="24">
        <v>116.4</v>
      </c>
      <c r="AJ28" s="24">
        <f>ROUND(AE28-SUM(AG28:AI28),1)</f>
        <v>-130.4</v>
      </c>
      <c r="AK28" s="68"/>
      <c r="AL28" s="40"/>
      <c r="AM28" s="40"/>
      <c r="AN28" s="40"/>
      <c r="AO28" s="68"/>
      <c r="AP28" s="24">
        <f t="shared" si="10"/>
        <v>0</v>
      </c>
      <c r="AQ28" s="24"/>
      <c r="AR28" s="24">
        <f t="shared" si="11"/>
        <v>0</v>
      </c>
      <c r="AS28" s="76"/>
      <c r="AW28" s="38"/>
      <c r="BA28" s="1"/>
    </row>
    <row r="29" spans="1:53" s="2" customFormat="1" ht="17.100000000000001" customHeight="1">
      <c r="A29" s="14" t="s">
        <v>16</v>
      </c>
      <c r="B29" s="23">
        <f>SUM(B30:B56)</f>
        <v>1301207.0000000002</v>
      </c>
      <c r="C29" s="23">
        <f>SUM(C30:C56)</f>
        <v>1329239.8999999997</v>
      </c>
      <c r="D29" s="6">
        <f>IF(C29/B29&gt;1.2,IF((C29/B29-1.2)*0.1+1.2&gt;1.3,1.3,(C29/B29-1.2)*0.1+1.2),C29/B29)</f>
        <v>1.0215437666720202</v>
      </c>
      <c r="E29" s="20"/>
      <c r="F29" s="20"/>
      <c r="G29" s="20"/>
      <c r="H29" s="23">
        <f>SUM(H30:H56)</f>
        <v>65231</v>
      </c>
      <c r="I29" s="23">
        <f>SUM(I30:I56)</f>
        <v>63738.39</v>
      </c>
      <c r="J29" s="6">
        <f>IF(I29/H29&gt;1.2,IF((I29/H29-1.2)*0.1+1.2&gt;1.3,1.3,(I29/H29-1.2)*0.1+1.2),I29/H29)</f>
        <v>0.97711808802563194</v>
      </c>
      <c r="K29" s="20"/>
      <c r="L29" s="23"/>
      <c r="M29" s="23"/>
      <c r="N29" s="6"/>
      <c r="O29" s="20"/>
      <c r="P29" s="23"/>
      <c r="Q29" s="23"/>
      <c r="R29" s="6"/>
      <c r="S29" s="20"/>
      <c r="T29" s="23"/>
      <c r="U29" s="23"/>
      <c r="V29" s="6"/>
      <c r="W29" s="20"/>
      <c r="X29" s="23">
        <f>SUM(X30:X56)</f>
        <v>875.79999999999973</v>
      </c>
      <c r="Y29" s="23">
        <f>SUM(Y30:Y56)</f>
        <v>828.69999999999993</v>
      </c>
      <c r="Z29" s="6">
        <f>IF(X29/Y29&gt;1.2,IF((X29/Y29-1.2)*0.1+1.2&gt;1.3,1.3,(X29/Y29-1.2)*0.1+1.2),X29/Y29)</f>
        <v>1.056836008205623</v>
      </c>
      <c r="AA29" s="20"/>
      <c r="AB29" s="21"/>
      <c r="AC29" s="19">
        <f>SUM(AC30:AC56)</f>
        <v>945995</v>
      </c>
      <c r="AD29" s="23">
        <f>SUM(AD30:AD56)</f>
        <v>257998.63636363638</v>
      </c>
      <c r="AE29" s="23">
        <f>SUM(AE30:AE56)</f>
        <v>258686.40000000002</v>
      </c>
      <c r="AF29" s="23">
        <f t="shared" ref="AF29:AP29" si="18">SUM(AF30:AF56)</f>
        <v>687.76363636363658</v>
      </c>
      <c r="AG29" s="23">
        <f t="shared" si="18"/>
        <v>0</v>
      </c>
      <c r="AH29" s="23">
        <f t="shared" si="18"/>
        <v>85676.099999999977</v>
      </c>
      <c r="AI29" s="23">
        <f t="shared" si="18"/>
        <v>86160.9</v>
      </c>
      <c r="AJ29" s="23">
        <f t="shared" si="18"/>
        <v>86849.400000000009</v>
      </c>
      <c r="AK29" s="23"/>
      <c r="AL29" s="23"/>
      <c r="AM29" s="23"/>
      <c r="AN29" s="23"/>
      <c r="AO29" s="23"/>
      <c r="AP29" s="23">
        <f t="shared" si="18"/>
        <v>86849.400000000009</v>
      </c>
      <c r="AQ29" s="23">
        <f t="shared" ref="AQ29:AR29" si="19">SUM(AQ30:AQ56)</f>
        <v>10929.9</v>
      </c>
      <c r="AR29" s="23">
        <f t="shared" si="19"/>
        <v>75919.499999999985</v>
      </c>
      <c r="AS29" s="76"/>
      <c r="AW29" s="38"/>
      <c r="AX29" s="1"/>
      <c r="AY29" s="1"/>
      <c r="AZ29" s="1"/>
      <c r="BA29" s="1"/>
    </row>
    <row r="30" spans="1:53" s="2" customFormat="1" ht="17.100000000000001" customHeight="1">
      <c r="A30" s="12" t="s">
        <v>0</v>
      </c>
      <c r="B30" s="24">
        <v>13171.8</v>
      </c>
      <c r="C30" s="24">
        <v>15971.4</v>
      </c>
      <c r="D30" s="4">
        <f t="shared" si="3"/>
        <v>1.2012544982462534</v>
      </c>
      <c r="E30" s="10">
        <v>15</v>
      </c>
      <c r="F30" s="5">
        <v>1</v>
      </c>
      <c r="G30" s="5">
        <v>10</v>
      </c>
      <c r="H30" s="24">
        <v>600</v>
      </c>
      <c r="I30" s="24">
        <v>561.15</v>
      </c>
      <c r="J30" s="4">
        <f>IF(K30=0,0,IF(H30=0,1,IF(I30&lt;0,0,IF(I30/H30&gt;1.2,IF((I30/H30-1.2)*0.1+1.2&gt;1.3,1.3,(I30/H30-1.2)*0.1+1.2),I30/H30))))</f>
        <v>0.93524999999999991</v>
      </c>
      <c r="K30" s="5">
        <v>10</v>
      </c>
      <c r="L30" s="5" t="s">
        <v>394</v>
      </c>
      <c r="M30" s="5" t="s">
        <v>394</v>
      </c>
      <c r="N30" s="4" t="s">
        <v>394</v>
      </c>
      <c r="O30" s="5"/>
      <c r="P30" s="5" t="s">
        <v>394</v>
      </c>
      <c r="Q30" s="5" t="s">
        <v>394</v>
      </c>
      <c r="R30" s="5" t="s">
        <v>394</v>
      </c>
      <c r="S30" s="5"/>
      <c r="T30" s="5" t="s">
        <v>394</v>
      </c>
      <c r="U30" s="5" t="s">
        <v>394</v>
      </c>
      <c r="V30" s="5" t="s">
        <v>394</v>
      </c>
      <c r="W30" s="5"/>
      <c r="X30" s="78">
        <v>2.7</v>
      </c>
      <c r="Y30" s="78">
        <v>3</v>
      </c>
      <c r="Z30" s="4">
        <f>IF(AA30=0,0,IF(Y30=0,1.3,IF(Y30&lt;0,0,IF(X30/Y30&gt;1.2,IF((X30/Y30-1.2)*0.1+1.2&gt;1.3,1.3,(X30/Y30-1.2)*0.1+1.2),X30/Y30))))</f>
        <v>0.9</v>
      </c>
      <c r="AA30" s="5">
        <v>15</v>
      </c>
      <c r="AB30" s="31">
        <f t="shared" ref="AB30:AB56" si="20">(D30*E30+F30*G30+J30*K30+Z30*AA30)/(E30+G30+K30+AA30)</f>
        <v>1.017426349473876</v>
      </c>
      <c r="AC30" s="32">
        <v>32550</v>
      </c>
      <c r="AD30" s="24">
        <f t="shared" si="7"/>
        <v>8877.2727272727279</v>
      </c>
      <c r="AE30" s="24">
        <f t="shared" ref="AE30:AE56" si="21">ROUND(AB30*AD30,1)</f>
        <v>9032</v>
      </c>
      <c r="AF30" s="24">
        <f t="shared" si="8"/>
        <v>154.72727272727207</v>
      </c>
      <c r="AG30" s="24"/>
      <c r="AH30" s="24">
        <v>2619.9</v>
      </c>
      <c r="AI30" s="24">
        <v>3007.4</v>
      </c>
      <c r="AJ30" s="24">
        <f t="shared" si="9"/>
        <v>3404.7</v>
      </c>
      <c r="AK30" s="68"/>
      <c r="AL30" s="40"/>
      <c r="AM30" s="40"/>
      <c r="AN30" s="40"/>
      <c r="AO30" s="68"/>
      <c r="AP30" s="24">
        <f t="shared" si="10"/>
        <v>3404.7</v>
      </c>
      <c r="AQ30" s="24"/>
      <c r="AR30" s="24">
        <f t="shared" si="11"/>
        <v>3404.7</v>
      </c>
      <c r="AS30" s="76"/>
      <c r="AT30" s="1"/>
      <c r="AU30" s="1"/>
      <c r="AV30" s="38"/>
      <c r="AW30" s="38"/>
      <c r="AX30" s="1"/>
      <c r="AY30" s="1"/>
      <c r="AZ30" s="1"/>
      <c r="BA30" s="1"/>
    </row>
    <row r="31" spans="1:53" s="2" customFormat="1" ht="17.100000000000001" customHeight="1">
      <c r="A31" s="12" t="s">
        <v>17</v>
      </c>
      <c r="B31" s="24">
        <v>55931.9</v>
      </c>
      <c r="C31" s="24">
        <v>57609.1</v>
      </c>
      <c r="D31" s="4">
        <f t="shared" si="3"/>
        <v>1.0299864656841622</v>
      </c>
      <c r="E31" s="10">
        <v>15</v>
      </c>
      <c r="F31" s="5">
        <v>1</v>
      </c>
      <c r="G31" s="5">
        <v>10</v>
      </c>
      <c r="H31" s="24">
        <v>4234</v>
      </c>
      <c r="I31" s="24">
        <v>4404.3999999999996</v>
      </c>
      <c r="J31" s="4">
        <f t="shared" ref="J31:J56" si="22">IF(K31=0,0,IF(H31=0,1,IF(I31&lt;0,0,IF(I31/H31&gt;1.2,IF((I31/H31-1.2)*0.1+1.2&gt;1.3,1.3,(I31/H31-1.2)*0.1+1.2),I31/H31))))</f>
        <v>1.0402456306093528</v>
      </c>
      <c r="K31" s="5">
        <v>10</v>
      </c>
      <c r="L31" s="5" t="s">
        <v>394</v>
      </c>
      <c r="M31" s="5" t="s">
        <v>394</v>
      </c>
      <c r="N31" s="4" t="s">
        <v>394</v>
      </c>
      <c r="O31" s="5"/>
      <c r="P31" s="5" t="s">
        <v>394</v>
      </c>
      <c r="Q31" s="5" t="s">
        <v>394</v>
      </c>
      <c r="R31" s="5" t="s">
        <v>394</v>
      </c>
      <c r="S31" s="5"/>
      <c r="T31" s="5" t="s">
        <v>394</v>
      </c>
      <c r="U31" s="5" t="s">
        <v>394</v>
      </c>
      <c r="V31" s="5" t="s">
        <v>394</v>
      </c>
      <c r="W31" s="5"/>
      <c r="X31" s="78">
        <v>58.8</v>
      </c>
      <c r="Y31" s="78">
        <v>11.2</v>
      </c>
      <c r="Z31" s="4">
        <f t="shared" si="5"/>
        <v>1.3</v>
      </c>
      <c r="AA31" s="5">
        <v>15</v>
      </c>
      <c r="AB31" s="31">
        <f t="shared" si="20"/>
        <v>1.1070450658271191</v>
      </c>
      <c r="AC31" s="32">
        <v>38433</v>
      </c>
      <c r="AD31" s="24">
        <f>AC31/11*3</f>
        <v>10481.727272727272</v>
      </c>
      <c r="AE31" s="24">
        <f t="shared" si="21"/>
        <v>11603.7</v>
      </c>
      <c r="AF31" s="24">
        <f t="shared" si="8"/>
        <v>1121.9727272727287</v>
      </c>
      <c r="AG31" s="24"/>
      <c r="AH31" s="24">
        <v>3925</v>
      </c>
      <c r="AI31" s="24">
        <v>3620.4</v>
      </c>
      <c r="AJ31" s="24">
        <f t="shared" si="9"/>
        <v>4058.3</v>
      </c>
      <c r="AK31" s="68"/>
      <c r="AL31" s="40"/>
      <c r="AM31" s="40"/>
      <c r="AN31" s="40"/>
      <c r="AO31" s="68"/>
      <c r="AP31" s="24">
        <f t="shared" si="10"/>
        <v>4058.3</v>
      </c>
      <c r="AQ31" s="24"/>
      <c r="AR31" s="24">
        <f t="shared" si="11"/>
        <v>4058.3</v>
      </c>
      <c r="AS31" s="76"/>
      <c r="AT31" s="1"/>
      <c r="AU31" s="1"/>
      <c r="AV31" s="38"/>
      <c r="AW31" s="38"/>
      <c r="AX31" s="1"/>
      <c r="AY31" s="1"/>
      <c r="AZ31" s="1"/>
      <c r="BA31" s="1"/>
    </row>
    <row r="32" spans="1:53" s="2" customFormat="1" ht="17.100000000000001" customHeight="1">
      <c r="A32" s="12" t="s">
        <v>18</v>
      </c>
      <c r="B32" s="24">
        <v>24132.3</v>
      </c>
      <c r="C32" s="24">
        <v>22126.3</v>
      </c>
      <c r="D32" s="4">
        <f t="shared" si="3"/>
        <v>0.91687489381451415</v>
      </c>
      <c r="E32" s="10">
        <v>15</v>
      </c>
      <c r="F32" s="5">
        <v>1</v>
      </c>
      <c r="G32" s="5">
        <v>10</v>
      </c>
      <c r="H32" s="24">
        <v>1355</v>
      </c>
      <c r="I32" s="24">
        <v>1291.9000000000001</v>
      </c>
      <c r="J32" s="4">
        <f t="shared" si="22"/>
        <v>0.95343173431734329</v>
      </c>
      <c r="K32" s="5">
        <v>10</v>
      </c>
      <c r="L32" s="5" t="s">
        <v>394</v>
      </c>
      <c r="M32" s="5" t="s">
        <v>394</v>
      </c>
      <c r="N32" s="4" t="s">
        <v>394</v>
      </c>
      <c r="O32" s="5"/>
      <c r="P32" s="5" t="s">
        <v>394</v>
      </c>
      <c r="Q32" s="5" t="s">
        <v>394</v>
      </c>
      <c r="R32" s="5" t="s">
        <v>394</v>
      </c>
      <c r="S32" s="5"/>
      <c r="T32" s="5" t="s">
        <v>394</v>
      </c>
      <c r="U32" s="5" t="s">
        <v>394</v>
      </c>
      <c r="V32" s="5" t="s">
        <v>394</v>
      </c>
      <c r="W32" s="5"/>
      <c r="X32" s="78">
        <v>10.1</v>
      </c>
      <c r="Y32" s="78">
        <v>2.8</v>
      </c>
      <c r="Z32" s="4">
        <f>IF(AA32=0,0,IF(Y32=0,1.3,IF(Y32&lt;0,0,IF(X32/Y32&gt;1.2,IF((X32/Y32-1.2)*0.1+1.2&gt;1.3,1.3,(X32/Y32-1.2)*0.1+1.2),X32/Y32))))</f>
        <v>1.3</v>
      </c>
      <c r="AA32" s="5">
        <v>15</v>
      </c>
      <c r="AB32" s="31">
        <f t="shared" si="20"/>
        <v>1.0557488150078229</v>
      </c>
      <c r="AC32" s="32">
        <v>32641</v>
      </c>
      <c r="AD32" s="24">
        <f t="shared" si="7"/>
        <v>8902.0909090909099</v>
      </c>
      <c r="AE32" s="24">
        <f t="shared" si="21"/>
        <v>9398.4</v>
      </c>
      <c r="AF32" s="24">
        <f t="shared" si="8"/>
        <v>496.30909090908972</v>
      </c>
      <c r="AG32" s="24"/>
      <c r="AH32" s="24">
        <v>2759</v>
      </c>
      <c r="AI32" s="24">
        <v>2740.5</v>
      </c>
      <c r="AJ32" s="24">
        <f t="shared" si="9"/>
        <v>3898.9</v>
      </c>
      <c r="AK32" s="68"/>
      <c r="AL32" s="40"/>
      <c r="AM32" s="40"/>
      <c r="AN32" s="40"/>
      <c r="AO32" s="68"/>
      <c r="AP32" s="24">
        <f t="shared" si="10"/>
        <v>3898.9</v>
      </c>
      <c r="AQ32" s="24"/>
      <c r="AR32" s="24">
        <f t="shared" si="11"/>
        <v>3898.9</v>
      </c>
      <c r="AS32" s="76"/>
      <c r="AT32" s="1"/>
      <c r="AU32" s="1"/>
      <c r="AV32" s="38"/>
      <c r="AW32" s="38"/>
      <c r="AX32" s="1"/>
      <c r="AY32" s="1"/>
      <c r="AZ32" s="1"/>
      <c r="BA32" s="1"/>
    </row>
    <row r="33" spans="1:53" s="2" customFormat="1" ht="17.100000000000001" customHeight="1">
      <c r="A33" s="12" t="s">
        <v>19</v>
      </c>
      <c r="B33" s="24">
        <v>31129.5</v>
      </c>
      <c r="C33" s="24">
        <v>37381.9</v>
      </c>
      <c r="D33" s="4">
        <f t="shared" si="3"/>
        <v>1.2000851282545495</v>
      </c>
      <c r="E33" s="10">
        <v>15</v>
      </c>
      <c r="F33" s="5">
        <v>1</v>
      </c>
      <c r="G33" s="5">
        <v>10</v>
      </c>
      <c r="H33" s="24">
        <v>1266</v>
      </c>
      <c r="I33" s="24">
        <v>1164.8</v>
      </c>
      <c r="J33" s="4">
        <f t="shared" si="22"/>
        <v>0.92006319115323854</v>
      </c>
      <c r="K33" s="5">
        <v>10</v>
      </c>
      <c r="L33" s="5" t="s">
        <v>394</v>
      </c>
      <c r="M33" s="5" t="s">
        <v>394</v>
      </c>
      <c r="N33" s="4" t="s">
        <v>394</v>
      </c>
      <c r="O33" s="5"/>
      <c r="P33" s="5" t="s">
        <v>394</v>
      </c>
      <c r="Q33" s="5" t="s">
        <v>394</v>
      </c>
      <c r="R33" s="5" t="s">
        <v>394</v>
      </c>
      <c r="S33" s="5"/>
      <c r="T33" s="5" t="s">
        <v>394</v>
      </c>
      <c r="U33" s="5" t="s">
        <v>394</v>
      </c>
      <c r="V33" s="5" t="s">
        <v>394</v>
      </c>
      <c r="W33" s="5"/>
      <c r="X33" s="78">
        <v>15.7</v>
      </c>
      <c r="Y33" s="78">
        <v>16.8</v>
      </c>
      <c r="Z33" s="4">
        <f t="shared" si="5"/>
        <v>0.93452380952380942</v>
      </c>
      <c r="AA33" s="5">
        <v>15</v>
      </c>
      <c r="AB33" s="31">
        <f t="shared" si="20"/>
        <v>1.0243953195641553</v>
      </c>
      <c r="AC33" s="32">
        <v>29857</v>
      </c>
      <c r="AD33" s="24">
        <f t="shared" si="7"/>
        <v>8142.818181818182</v>
      </c>
      <c r="AE33" s="24">
        <f t="shared" si="21"/>
        <v>8341.5</v>
      </c>
      <c r="AF33" s="24">
        <f t="shared" si="8"/>
        <v>198.68181818181802</v>
      </c>
      <c r="AG33" s="24"/>
      <c r="AH33" s="24">
        <v>2112.8000000000002</v>
      </c>
      <c r="AI33" s="24">
        <v>2383</v>
      </c>
      <c r="AJ33" s="24">
        <f t="shared" si="9"/>
        <v>3845.7</v>
      </c>
      <c r="AK33" s="68"/>
      <c r="AL33" s="40"/>
      <c r="AM33" s="40"/>
      <c r="AN33" s="40"/>
      <c r="AO33" s="68"/>
      <c r="AP33" s="24">
        <f t="shared" si="10"/>
        <v>3845.7</v>
      </c>
      <c r="AQ33" s="24"/>
      <c r="AR33" s="24">
        <f t="shared" si="11"/>
        <v>3845.7</v>
      </c>
      <c r="AS33" s="76"/>
      <c r="AT33" s="1"/>
      <c r="AU33" s="1"/>
      <c r="AV33" s="38"/>
      <c r="AW33" s="38"/>
      <c r="AX33" s="1"/>
      <c r="AY33" s="1"/>
      <c r="AZ33" s="1"/>
      <c r="BA33" s="1"/>
    </row>
    <row r="34" spans="1:53" s="2" customFormat="1" ht="17.100000000000001" customHeight="1">
      <c r="A34" s="12" t="s">
        <v>20</v>
      </c>
      <c r="B34" s="24">
        <v>24523.1</v>
      </c>
      <c r="C34" s="24">
        <v>27770.1</v>
      </c>
      <c r="D34" s="4">
        <f t="shared" si="3"/>
        <v>1.1324057725165253</v>
      </c>
      <c r="E34" s="10">
        <v>15</v>
      </c>
      <c r="F34" s="5">
        <v>1</v>
      </c>
      <c r="G34" s="5">
        <v>10</v>
      </c>
      <c r="H34" s="24">
        <v>1023</v>
      </c>
      <c r="I34" s="24">
        <v>969.50199999999995</v>
      </c>
      <c r="J34" s="4">
        <f t="shared" si="22"/>
        <v>0.947704789833822</v>
      </c>
      <c r="K34" s="5">
        <v>10</v>
      </c>
      <c r="L34" s="5" t="s">
        <v>394</v>
      </c>
      <c r="M34" s="5" t="s">
        <v>394</v>
      </c>
      <c r="N34" s="4" t="s">
        <v>394</v>
      </c>
      <c r="O34" s="5"/>
      <c r="P34" s="5" t="s">
        <v>394</v>
      </c>
      <c r="Q34" s="5" t="s">
        <v>394</v>
      </c>
      <c r="R34" s="5" t="s">
        <v>394</v>
      </c>
      <c r="S34" s="5"/>
      <c r="T34" s="5" t="s">
        <v>394</v>
      </c>
      <c r="U34" s="5" t="s">
        <v>394</v>
      </c>
      <c r="V34" s="5" t="s">
        <v>394</v>
      </c>
      <c r="W34" s="5"/>
      <c r="X34" s="78">
        <v>7</v>
      </c>
      <c r="Y34" s="78">
        <v>7.7</v>
      </c>
      <c r="Z34" s="4">
        <f t="shared" si="5"/>
        <v>0.90909090909090906</v>
      </c>
      <c r="AA34" s="5">
        <v>15</v>
      </c>
      <c r="AB34" s="31">
        <f t="shared" si="20"/>
        <v>1.001989962448995</v>
      </c>
      <c r="AC34" s="32">
        <v>41942</v>
      </c>
      <c r="AD34" s="24">
        <f t="shared" si="7"/>
        <v>11438.727272727272</v>
      </c>
      <c r="AE34" s="24">
        <f t="shared" si="21"/>
        <v>11461.5</v>
      </c>
      <c r="AF34" s="24">
        <f t="shared" si="8"/>
        <v>22.772727272727934</v>
      </c>
      <c r="AG34" s="24"/>
      <c r="AH34" s="24">
        <v>4074.1</v>
      </c>
      <c r="AI34" s="24">
        <v>3771.8</v>
      </c>
      <c r="AJ34" s="24">
        <f t="shared" si="9"/>
        <v>3615.6</v>
      </c>
      <c r="AK34" s="68"/>
      <c r="AL34" s="40"/>
      <c r="AM34" s="40"/>
      <c r="AN34" s="40"/>
      <c r="AO34" s="68"/>
      <c r="AP34" s="24">
        <f t="shared" si="10"/>
        <v>3615.6</v>
      </c>
      <c r="AQ34" s="24"/>
      <c r="AR34" s="24">
        <f t="shared" si="11"/>
        <v>3615.6</v>
      </c>
      <c r="AS34" s="76"/>
      <c r="AT34" s="1"/>
      <c r="AU34" s="1"/>
      <c r="AV34" s="38"/>
      <c r="AW34" s="38"/>
      <c r="AX34" s="1"/>
      <c r="AY34" s="1"/>
      <c r="AZ34" s="1"/>
      <c r="BA34" s="1"/>
    </row>
    <row r="35" spans="1:53" s="2" customFormat="1" ht="17.100000000000001" customHeight="1">
      <c r="A35" s="12" t="s">
        <v>21</v>
      </c>
      <c r="B35" s="24">
        <v>24113</v>
      </c>
      <c r="C35" s="24">
        <v>30487</v>
      </c>
      <c r="D35" s="4">
        <f t="shared" si="3"/>
        <v>1.2064338738439846</v>
      </c>
      <c r="E35" s="10">
        <v>15</v>
      </c>
      <c r="F35" s="5">
        <v>1</v>
      </c>
      <c r="G35" s="5">
        <v>10</v>
      </c>
      <c r="H35" s="24">
        <v>1416</v>
      </c>
      <c r="I35" s="24">
        <v>1416.7</v>
      </c>
      <c r="J35" s="4">
        <f t="shared" si="22"/>
        <v>1.0004943502824859</v>
      </c>
      <c r="K35" s="5">
        <v>10</v>
      </c>
      <c r="L35" s="5" t="s">
        <v>394</v>
      </c>
      <c r="M35" s="5" t="s">
        <v>394</v>
      </c>
      <c r="N35" s="4" t="s">
        <v>394</v>
      </c>
      <c r="O35" s="5"/>
      <c r="P35" s="5" t="s">
        <v>394</v>
      </c>
      <c r="Q35" s="5" t="s">
        <v>394</v>
      </c>
      <c r="R35" s="5" t="s">
        <v>394</v>
      </c>
      <c r="S35" s="5"/>
      <c r="T35" s="5" t="s">
        <v>394</v>
      </c>
      <c r="U35" s="5" t="s">
        <v>394</v>
      </c>
      <c r="V35" s="5" t="s">
        <v>394</v>
      </c>
      <c r="W35" s="5"/>
      <c r="X35" s="78">
        <v>7.8</v>
      </c>
      <c r="Y35" s="78">
        <v>0</v>
      </c>
      <c r="Z35" s="4">
        <f t="shared" si="5"/>
        <v>1.3</v>
      </c>
      <c r="AA35" s="5">
        <v>15</v>
      </c>
      <c r="AB35" s="31">
        <f t="shared" si="20"/>
        <v>1.1520290322096927</v>
      </c>
      <c r="AC35" s="32">
        <v>43648</v>
      </c>
      <c r="AD35" s="24">
        <f t="shared" si="7"/>
        <v>11904</v>
      </c>
      <c r="AE35" s="24">
        <f t="shared" si="21"/>
        <v>13713.8</v>
      </c>
      <c r="AF35" s="24">
        <f t="shared" si="8"/>
        <v>1809.7999999999993</v>
      </c>
      <c r="AG35" s="24"/>
      <c r="AH35" s="24">
        <v>4584.6000000000004</v>
      </c>
      <c r="AI35" s="24">
        <v>4462.8</v>
      </c>
      <c r="AJ35" s="24">
        <f t="shared" si="9"/>
        <v>4666.3999999999996</v>
      </c>
      <c r="AK35" s="68"/>
      <c r="AL35" s="68"/>
      <c r="AM35" s="40"/>
      <c r="AN35" s="40"/>
      <c r="AO35" s="68"/>
      <c r="AP35" s="24">
        <f t="shared" si="10"/>
        <v>4666.3999999999996</v>
      </c>
      <c r="AQ35" s="24"/>
      <c r="AR35" s="24">
        <f t="shared" si="11"/>
        <v>4666.3999999999996</v>
      </c>
      <c r="AS35" s="76"/>
      <c r="AT35" s="1"/>
      <c r="AU35" s="1"/>
      <c r="AV35" s="38"/>
      <c r="AW35" s="38"/>
      <c r="AX35" s="1"/>
      <c r="AY35" s="1"/>
      <c r="AZ35" s="1"/>
      <c r="BA35" s="1"/>
    </row>
    <row r="36" spans="1:53" s="2" customFormat="1" ht="17.100000000000001" customHeight="1">
      <c r="A36" s="12" t="s">
        <v>22</v>
      </c>
      <c r="B36" s="24">
        <v>251210.3</v>
      </c>
      <c r="C36" s="24">
        <v>271761.3</v>
      </c>
      <c r="D36" s="4">
        <f t="shared" si="3"/>
        <v>1.081807951345944</v>
      </c>
      <c r="E36" s="10">
        <v>15</v>
      </c>
      <c r="F36" s="5">
        <v>1</v>
      </c>
      <c r="G36" s="5">
        <v>10</v>
      </c>
      <c r="H36" s="24">
        <v>9785</v>
      </c>
      <c r="I36" s="24">
        <v>10380.799999999999</v>
      </c>
      <c r="J36" s="4">
        <f t="shared" si="22"/>
        <v>1.060889115993868</v>
      </c>
      <c r="K36" s="5">
        <v>10</v>
      </c>
      <c r="L36" s="5" t="s">
        <v>394</v>
      </c>
      <c r="M36" s="5" t="s">
        <v>394</v>
      </c>
      <c r="N36" s="4" t="s">
        <v>394</v>
      </c>
      <c r="O36" s="5"/>
      <c r="P36" s="5" t="s">
        <v>394</v>
      </c>
      <c r="Q36" s="5" t="s">
        <v>394</v>
      </c>
      <c r="R36" s="5" t="s">
        <v>394</v>
      </c>
      <c r="S36" s="5"/>
      <c r="T36" s="5" t="s">
        <v>394</v>
      </c>
      <c r="U36" s="5" t="s">
        <v>394</v>
      </c>
      <c r="V36" s="5" t="s">
        <v>394</v>
      </c>
      <c r="W36" s="5"/>
      <c r="X36" s="78">
        <v>128.4</v>
      </c>
      <c r="Y36" s="78">
        <v>125.1</v>
      </c>
      <c r="Z36" s="4">
        <f t="shared" si="5"/>
        <v>1.0263788968824941</v>
      </c>
      <c r="AA36" s="5">
        <v>15</v>
      </c>
      <c r="AB36" s="31">
        <f t="shared" si="20"/>
        <v>1.044633877667305</v>
      </c>
      <c r="AC36" s="32">
        <v>29860</v>
      </c>
      <c r="AD36" s="24">
        <f t="shared" si="7"/>
        <v>8143.636363636364</v>
      </c>
      <c r="AE36" s="24">
        <f t="shared" si="21"/>
        <v>8507.1</v>
      </c>
      <c r="AF36" s="24">
        <f t="shared" si="8"/>
        <v>363.4636363636364</v>
      </c>
      <c r="AG36" s="24"/>
      <c r="AH36" s="24">
        <v>2730.5</v>
      </c>
      <c r="AI36" s="24">
        <v>3041.6</v>
      </c>
      <c r="AJ36" s="24">
        <f t="shared" si="9"/>
        <v>2735</v>
      </c>
      <c r="AK36" s="40"/>
      <c r="AL36" s="40"/>
      <c r="AM36" s="40"/>
      <c r="AN36" s="40"/>
      <c r="AO36" s="68"/>
      <c r="AP36" s="24">
        <f t="shared" si="10"/>
        <v>2735</v>
      </c>
      <c r="AQ36" s="24">
        <f>MIN(AP36,1145)</f>
        <v>1145</v>
      </c>
      <c r="AR36" s="24">
        <f t="shared" si="11"/>
        <v>1590</v>
      </c>
      <c r="AS36" s="76"/>
      <c r="AT36" s="1"/>
      <c r="AU36" s="1"/>
      <c r="AV36" s="38"/>
      <c r="AW36" s="38"/>
      <c r="AX36" s="1"/>
      <c r="AY36" s="1"/>
      <c r="AZ36" s="1"/>
      <c r="BA36" s="1"/>
    </row>
    <row r="37" spans="1:53" s="2" customFormat="1" ht="17.100000000000001" customHeight="1">
      <c r="A37" s="12" t="s">
        <v>23</v>
      </c>
      <c r="B37" s="24">
        <v>9845.2999999999993</v>
      </c>
      <c r="C37" s="24">
        <v>10761</v>
      </c>
      <c r="D37" s="4">
        <f t="shared" si="3"/>
        <v>1.0930088468609389</v>
      </c>
      <c r="E37" s="10">
        <v>15</v>
      </c>
      <c r="F37" s="5">
        <v>1</v>
      </c>
      <c r="G37" s="5">
        <v>10</v>
      </c>
      <c r="H37" s="24">
        <v>575</v>
      </c>
      <c r="I37" s="24">
        <v>525.255</v>
      </c>
      <c r="J37" s="4">
        <f t="shared" si="22"/>
        <v>0.91348695652173917</v>
      </c>
      <c r="K37" s="5">
        <v>10</v>
      </c>
      <c r="L37" s="5" t="s">
        <v>394</v>
      </c>
      <c r="M37" s="5" t="s">
        <v>394</v>
      </c>
      <c r="N37" s="4" t="s">
        <v>394</v>
      </c>
      <c r="O37" s="5"/>
      <c r="P37" s="5" t="s">
        <v>394</v>
      </c>
      <c r="Q37" s="5" t="s">
        <v>394</v>
      </c>
      <c r="R37" s="5" t="s">
        <v>394</v>
      </c>
      <c r="S37" s="5"/>
      <c r="T37" s="5" t="s">
        <v>394</v>
      </c>
      <c r="U37" s="5" t="s">
        <v>394</v>
      </c>
      <c r="V37" s="5" t="s">
        <v>394</v>
      </c>
      <c r="W37" s="5"/>
      <c r="X37" s="78">
        <v>6.3</v>
      </c>
      <c r="Y37" s="78">
        <v>10</v>
      </c>
      <c r="Z37" s="4">
        <f t="shared" si="5"/>
        <v>0.63</v>
      </c>
      <c r="AA37" s="5">
        <v>15</v>
      </c>
      <c r="AB37" s="31">
        <f t="shared" si="20"/>
        <v>0.89960004536262939</v>
      </c>
      <c r="AC37" s="32">
        <v>18726</v>
      </c>
      <c r="AD37" s="24">
        <f t="shared" si="7"/>
        <v>5107.090909090909</v>
      </c>
      <c r="AE37" s="24">
        <f t="shared" si="21"/>
        <v>4594.3</v>
      </c>
      <c r="AF37" s="24">
        <f t="shared" si="8"/>
        <v>-512.79090909090883</v>
      </c>
      <c r="AG37" s="24"/>
      <c r="AH37" s="24">
        <v>1926.3</v>
      </c>
      <c r="AI37" s="24">
        <v>1488.6</v>
      </c>
      <c r="AJ37" s="24">
        <f t="shared" si="9"/>
        <v>1179.4000000000001</v>
      </c>
      <c r="AK37" s="68"/>
      <c r="AL37" s="68"/>
      <c r="AM37" s="40"/>
      <c r="AN37" s="40"/>
      <c r="AO37" s="68"/>
      <c r="AP37" s="24">
        <f t="shared" si="10"/>
        <v>1179.4000000000001</v>
      </c>
      <c r="AQ37" s="24"/>
      <c r="AR37" s="24">
        <f t="shared" si="11"/>
        <v>1179.4000000000001</v>
      </c>
      <c r="AS37" s="76"/>
      <c r="AT37" s="1"/>
      <c r="AU37" s="1"/>
      <c r="AV37" s="38"/>
      <c r="AW37" s="38"/>
      <c r="AX37" s="1"/>
      <c r="AY37" s="1"/>
      <c r="AZ37" s="1"/>
      <c r="BA37" s="1"/>
    </row>
    <row r="38" spans="1:53" s="2" customFormat="1" ht="17.100000000000001" customHeight="1">
      <c r="A38" s="12" t="s">
        <v>24</v>
      </c>
      <c r="B38" s="24">
        <v>21474.1</v>
      </c>
      <c r="C38" s="24">
        <v>20126.5</v>
      </c>
      <c r="D38" s="4">
        <f t="shared" si="3"/>
        <v>0.93724533274968458</v>
      </c>
      <c r="E38" s="10">
        <v>15</v>
      </c>
      <c r="F38" s="5">
        <v>1</v>
      </c>
      <c r="G38" s="5">
        <v>10</v>
      </c>
      <c r="H38" s="24">
        <v>723</v>
      </c>
      <c r="I38" s="24">
        <v>742.31600000000003</v>
      </c>
      <c r="J38" s="4">
        <f t="shared" si="22"/>
        <v>1.0267164591977871</v>
      </c>
      <c r="K38" s="5">
        <v>10</v>
      </c>
      <c r="L38" s="5" t="s">
        <v>394</v>
      </c>
      <c r="M38" s="5" t="s">
        <v>394</v>
      </c>
      <c r="N38" s="4" t="s">
        <v>394</v>
      </c>
      <c r="O38" s="5"/>
      <c r="P38" s="5" t="s">
        <v>394</v>
      </c>
      <c r="Q38" s="5" t="s">
        <v>394</v>
      </c>
      <c r="R38" s="5" t="s">
        <v>394</v>
      </c>
      <c r="S38" s="5"/>
      <c r="T38" s="5" t="s">
        <v>394</v>
      </c>
      <c r="U38" s="5" t="s">
        <v>394</v>
      </c>
      <c r="V38" s="5" t="s">
        <v>394</v>
      </c>
      <c r="W38" s="5"/>
      <c r="X38" s="78">
        <v>6.1</v>
      </c>
      <c r="Y38" s="78">
        <v>4</v>
      </c>
      <c r="Z38" s="4">
        <f t="shared" si="5"/>
        <v>1.2324999999999999</v>
      </c>
      <c r="AA38" s="5">
        <v>15</v>
      </c>
      <c r="AB38" s="31">
        <f t="shared" si="20"/>
        <v>1.0562668916644629</v>
      </c>
      <c r="AC38" s="32">
        <v>44585</v>
      </c>
      <c r="AD38" s="24">
        <f t="shared" si="7"/>
        <v>12159.545454545454</v>
      </c>
      <c r="AE38" s="24">
        <f t="shared" si="21"/>
        <v>12843.7</v>
      </c>
      <c r="AF38" s="24">
        <f t="shared" si="8"/>
        <v>684.15454545454668</v>
      </c>
      <c r="AG38" s="24"/>
      <c r="AH38" s="24">
        <v>4100.8</v>
      </c>
      <c r="AI38" s="24">
        <v>4264.7</v>
      </c>
      <c r="AJ38" s="24">
        <f t="shared" si="9"/>
        <v>4478.2</v>
      </c>
      <c r="AK38" s="68"/>
      <c r="AL38" s="40"/>
      <c r="AM38" s="40"/>
      <c r="AN38" s="40"/>
      <c r="AO38" s="68"/>
      <c r="AP38" s="24">
        <f t="shared" si="10"/>
        <v>4478.2</v>
      </c>
      <c r="AQ38" s="24"/>
      <c r="AR38" s="24">
        <f t="shared" si="11"/>
        <v>4478.2</v>
      </c>
      <c r="AS38" s="76"/>
      <c r="AT38" s="1"/>
      <c r="AU38" s="1"/>
      <c r="AV38" s="38"/>
      <c r="AW38" s="38"/>
      <c r="AX38" s="1"/>
      <c r="AY38" s="1"/>
      <c r="AZ38" s="1"/>
      <c r="BA38" s="1"/>
    </row>
    <row r="39" spans="1:53" s="2" customFormat="1" ht="16.5" customHeight="1">
      <c r="A39" s="12" t="s">
        <v>25</v>
      </c>
      <c r="B39" s="24">
        <v>11391.1</v>
      </c>
      <c r="C39" s="24">
        <v>11187.2</v>
      </c>
      <c r="D39" s="4">
        <f t="shared" si="3"/>
        <v>0.98210006057360577</v>
      </c>
      <c r="E39" s="10">
        <v>15</v>
      </c>
      <c r="F39" s="5">
        <v>1</v>
      </c>
      <c r="G39" s="5">
        <v>10</v>
      </c>
      <c r="H39" s="24">
        <v>600</v>
      </c>
      <c r="I39" s="24">
        <v>476.05700000000002</v>
      </c>
      <c r="J39" s="4">
        <f t="shared" si="22"/>
        <v>0.7934283333333334</v>
      </c>
      <c r="K39" s="5">
        <v>10</v>
      </c>
      <c r="L39" s="5" t="s">
        <v>394</v>
      </c>
      <c r="M39" s="5" t="s">
        <v>394</v>
      </c>
      <c r="N39" s="4" t="s">
        <v>394</v>
      </c>
      <c r="O39" s="5"/>
      <c r="P39" s="5" t="s">
        <v>394</v>
      </c>
      <c r="Q39" s="5" t="s">
        <v>394</v>
      </c>
      <c r="R39" s="5" t="s">
        <v>394</v>
      </c>
      <c r="S39" s="5"/>
      <c r="T39" s="5" t="s">
        <v>394</v>
      </c>
      <c r="U39" s="5" t="s">
        <v>394</v>
      </c>
      <c r="V39" s="5" t="s">
        <v>394</v>
      </c>
      <c r="W39" s="5"/>
      <c r="X39" s="78">
        <v>7.3</v>
      </c>
      <c r="Y39" s="78">
        <v>6.7</v>
      </c>
      <c r="Z39" s="4">
        <f t="shared" si="5"/>
        <v>1.0895522388059702</v>
      </c>
      <c r="AA39" s="5">
        <v>15</v>
      </c>
      <c r="AB39" s="31">
        <f t="shared" si="20"/>
        <v>0.98018135648053939</v>
      </c>
      <c r="AC39" s="32">
        <v>24699</v>
      </c>
      <c r="AD39" s="24">
        <f t="shared" si="7"/>
        <v>6736.0909090909099</v>
      </c>
      <c r="AE39" s="24">
        <f t="shared" si="21"/>
        <v>6602.6</v>
      </c>
      <c r="AF39" s="24">
        <f t="shared" si="8"/>
        <v>-133.49090909090955</v>
      </c>
      <c r="AG39" s="24"/>
      <c r="AH39" s="24">
        <v>2452.1</v>
      </c>
      <c r="AI39" s="24">
        <v>2515.4</v>
      </c>
      <c r="AJ39" s="24">
        <f t="shared" si="9"/>
        <v>1635.1</v>
      </c>
      <c r="AK39" s="68"/>
      <c r="AL39" s="68"/>
      <c r="AM39" s="40"/>
      <c r="AN39" s="40"/>
      <c r="AO39" s="68"/>
      <c r="AP39" s="24">
        <f t="shared" si="10"/>
        <v>1635.1</v>
      </c>
      <c r="AQ39" s="24"/>
      <c r="AR39" s="24">
        <f t="shared" si="11"/>
        <v>1635.1</v>
      </c>
      <c r="AS39" s="76"/>
      <c r="AT39" s="1"/>
      <c r="AU39" s="1"/>
      <c r="AV39" s="38"/>
      <c r="AW39" s="38"/>
      <c r="AX39" s="1"/>
      <c r="AY39" s="1"/>
      <c r="AZ39" s="1"/>
      <c r="BA39" s="1"/>
    </row>
    <row r="40" spans="1:53" s="2" customFormat="1" ht="17.100000000000001" customHeight="1">
      <c r="A40" s="12" t="s">
        <v>26</v>
      </c>
      <c r="B40" s="24">
        <v>62544.2</v>
      </c>
      <c r="C40" s="24">
        <v>63050.8</v>
      </c>
      <c r="D40" s="4">
        <f t="shared" si="3"/>
        <v>1.0080998717706839</v>
      </c>
      <c r="E40" s="10">
        <v>15</v>
      </c>
      <c r="F40" s="5">
        <v>1</v>
      </c>
      <c r="G40" s="5">
        <v>10</v>
      </c>
      <c r="H40" s="24">
        <v>1463</v>
      </c>
      <c r="I40" s="24">
        <v>1606.6</v>
      </c>
      <c r="J40" s="4">
        <f t="shared" si="22"/>
        <v>1.0981544771018454</v>
      </c>
      <c r="K40" s="5">
        <v>10</v>
      </c>
      <c r="L40" s="5" t="s">
        <v>394</v>
      </c>
      <c r="M40" s="5" t="s">
        <v>394</v>
      </c>
      <c r="N40" s="4" t="s">
        <v>394</v>
      </c>
      <c r="O40" s="5"/>
      <c r="P40" s="5" t="s">
        <v>394</v>
      </c>
      <c r="Q40" s="5" t="s">
        <v>394</v>
      </c>
      <c r="R40" s="5" t="s">
        <v>394</v>
      </c>
      <c r="S40" s="5"/>
      <c r="T40" s="5" t="s">
        <v>394</v>
      </c>
      <c r="U40" s="5" t="s">
        <v>394</v>
      </c>
      <c r="V40" s="5" t="s">
        <v>394</v>
      </c>
      <c r="W40" s="5"/>
      <c r="X40" s="78">
        <v>6</v>
      </c>
      <c r="Y40" s="78">
        <v>6.7</v>
      </c>
      <c r="Z40" s="4">
        <f t="shared" si="5"/>
        <v>0.89552238805970152</v>
      </c>
      <c r="AA40" s="5">
        <v>15</v>
      </c>
      <c r="AB40" s="31">
        <f t="shared" si="20"/>
        <v>0.99071757336948485</v>
      </c>
      <c r="AC40" s="32">
        <v>7497</v>
      </c>
      <c r="AD40" s="24">
        <f t="shared" si="7"/>
        <v>2044.6363636363635</v>
      </c>
      <c r="AE40" s="24">
        <f t="shared" si="21"/>
        <v>2025.7</v>
      </c>
      <c r="AF40" s="24">
        <f t="shared" si="8"/>
        <v>-18.936363636363467</v>
      </c>
      <c r="AG40" s="24"/>
      <c r="AH40" s="24">
        <v>668.7</v>
      </c>
      <c r="AI40" s="24">
        <v>646.1</v>
      </c>
      <c r="AJ40" s="24">
        <f t="shared" si="9"/>
        <v>710.9</v>
      </c>
      <c r="AK40" s="68"/>
      <c r="AL40" s="40"/>
      <c r="AM40" s="40"/>
      <c r="AN40" s="40"/>
      <c r="AO40" s="68"/>
      <c r="AP40" s="24">
        <f t="shared" si="10"/>
        <v>710.9</v>
      </c>
      <c r="AQ40" s="24"/>
      <c r="AR40" s="24">
        <f t="shared" si="11"/>
        <v>710.9</v>
      </c>
      <c r="AS40" s="76"/>
      <c r="AT40" s="1"/>
      <c r="AU40" s="1"/>
      <c r="AV40" s="38"/>
      <c r="AW40" s="38"/>
      <c r="AY40" s="1"/>
      <c r="AZ40" s="1"/>
      <c r="BA40" s="1"/>
    </row>
    <row r="41" spans="1:53" s="2" customFormat="1" ht="17.100000000000001" customHeight="1">
      <c r="A41" s="12" t="s">
        <v>27</v>
      </c>
      <c r="B41" s="24">
        <v>70380.600000000006</v>
      </c>
      <c r="C41" s="24">
        <v>64737.3</v>
      </c>
      <c r="D41" s="4">
        <f t="shared" si="3"/>
        <v>0.91981739286110087</v>
      </c>
      <c r="E41" s="10">
        <v>15</v>
      </c>
      <c r="F41" s="5">
        <v>1</v>
      </c>
      <c r="G41" s="5">
        <v>10</v>
      </c>
      <c r="H41" s="24">
        <v>3252</v>
      </c>
      <c r="I41" s="24">
        <v>3157.5</v>
      </c>
      <c r="J41" s="4">
        <f t="shared" si="22"/>
        <v>0.97094095940959413</v>
      </c>
      <c r="K41" s="5">
        <v>10</v>
      </c>
      <c r="L41" s="5" t="s">
        <v>394</v>
      </c>
      <c r="M41" s="5" t="s">
        <v>394</v>
      </c>
      <c r="N41" s="4" t="s">
        <v>394</v>
      </c>
      <c r="O41" s="5"/>
      <c r="P41" s="5" t="s">
        <v>394</v>
      </c>
      <c r="Q41" s="5" t="s">
        <v>394</v>
      </c>
      <c r="R41" s="5" t="s">
        <v>394</v>
      </c>
      <c r="S41" s="5"/>
      <c r="T41" s="5" t="s">
        <v>394</v>
      </c>
      <c r="U41" s="5" t="s">
        <v>394</v>
      </c>
      <c r="V41" s="5" t="s">
        <v>394</v>
      </c>
      <c r="W41" s="5"/>
      <c r="X41" s="78">
        <v>12</v>
      </c>
      <c r="Y41" s="78">
        <v>11.9</v>
      </c>
      <c r="Z41" s="4">
        <f t="shared" si="5"/>
        <v>1.0084033613445378</v>
      </c>
      <c r="AA41" s="5">
        <v>15</v>
      </c>
      <c r="AB41" s="31">
        <f t="shared" si="20"/>
        <v>0.97265441814361053</v>
      </c>
      <c r="AC41" s="32">
        <v>19492</v>
      </c>
      <c r="AD41" s="24">
        <f t="shared" si="7"/>
        <v>5316</v>
      </c>
      <c r="AE41" s="24">
        <f t="shared" si="21"/>
        <v>5170.6000000000004</v>
      </c>
      <c r="AF41" s="24">
        <f t="shared" si="8"/>
        <v>-145.39999999999964</v>
      </c>
      <c r="AG41" s="24"/>
      <c r="AH41" s="24">
        <v>1545.4</v>
      </c>
      <c r="AI41" s="24">
        <v>1558.9</v>
      </c>
      <c r="AJ41" s="24">
        <f t="shared" si="9"/>
        <v>2066.3000000000002</v>
      </c>
      <c r="AK41" s="68"/>
      <c r="AL41" s="40"/>
      <c r="AM41" s="40"/>
      <c r="AN41" s="40"/>
      <c r="AO41" s="68"/>
      <c r="AP41" s="24">
        <f t="shared" si="10"/>
        <v>2066.3000000000002</v>
      </c>
      <c r="AQ41" s="24"/>
      <c r="AR41" s="24">
        <f t="shared" si="11"/>
        <v>2066.3000000000002</v>
      </c>
      <c r="AS41" s="76"/>
      <c r="AT41" s="1"/>
      <c r="AU41" s="1"/>
      <c r="AV41" s="38"/>
      <c r="AW41" s="38"/>
      <c r="AY41" s="1"/>
      <c r="AZ41" s="1"/>
      <c r="BA41" s="1"/>
    </row>
    <row r="42" spans="1:53" s="2" customFormat="1" ht="17.100000000000001" customHeight="1">
      <c r="A42" s="12" t="s">
        <v>28</v>
      </c>
      <c r="B42" s="24">
        <v>22328.799999999999</v>
      </c>
      <c r="C42" s="24">
        <v>19445.400000000001</v>
      </c>
      <c r="D42" s="4">
        <f t="shared" si="3"/>
        <v>0.87086632510479745</v>
      </c>
      <c r="E42" s="10">
        <v>15</v>
      </c>
      <c r="F42" s="5">
        <v>1</v>
      </c>
      <c r="G42" s="5">
        <v>10</v>
      </c>
      <c r="H42" s="24">
        <v>826</v>
      </c>
      <c r="I42" s="24">
        <v>746.85199999999998</v>
      </c>
      <c r="J42" s="4">
        <f t="shared" si="22"/>
        <v>0.9041791767554479</v>
      </c>
      <c r="K42" s="5">
        <v>10</v>
      </c>
      <c r="L42" s="5" t="s">
        <v>394</v>
      </c>
      <c r="M42" s="5" t="s">
        <v>394</v>
      </c>
      <c r="N42" s="4" t="s">
        <v>394</v>
      </c>
      <c r="O42" s="5"/>
      <c r="P42" s="5" t="s">
        <v>394</v>
      </c>
      <c r="Q42" s="5" t="s">
        <v>394</v>
      </c>
      <c r="R42" s="5" t="s">
        <v>394</v>
      </c>
      <c r="S42" s="5"/>
      <c r="T42" s="5" t="s">
        <v>394</v>
      </c>
      <c r="U42" s="5" t="s">
        <v>394</v>
      </c>
      <c r="V42" s="5" t="s">
        <v>394</v>
      </c>
      <c r="W42" s="5"/>
      <c r="X42" s="78">
        <v>4.5</v>
      </c>
      <c r="Y42" s="78">
        <v>3.7</v>
      </c>
      <c r="Z42" s="4">
        <f t="shared" si="5"/>
        <v>1.2016216216216216</v>
      </c>
      <c r="AA42" s="5">
        <v>15</v>
      </c>
      <c r="AB42" s="31">
        <f t="shared" si="20"/>
        <v>1.0025822193690153</v>
      </c>
      <c r="AC42" s="32">
        <v>17936</v>
      </c>
      <c r="AD42" s="24">
        <f t="shared" si="7"/>
        <v>4891.636363636364</v>
      </c>
      <c r="AE42" s="24">
        <f t="shared" si="21"/>
        <v>4904.3</v>
      </c>
      <c r="AF42" s="24">
        <f t="shared" si="8"/>
        <v>12.663636363636215</v>
      </c>
      <c r="AG42" s="24"/>
      <c r="AH42" s="24">
        <v>1320.7</v>
      </c>
      <c r="AI42" s="24">
        <v>1494.6</v>
      </c>
      <c r="AJ42" s="24">
        <f t="shared" si="9"/>
        <v>2089</v>
      </c>
      <c r="AK42" s="68"/>
      <c r="AL42" s="40"/>
      <c r="AM42" s="40"/>
      <c r="AN42" s="40"/>
      <c r="AO42" s="68"/>
      <c r="AP42" s="24">
        <f t="shared" si="10"/>
        <v>2089</v>
      </c>
      <c r="AQ42" s="24"/>
      <c r="AR42" s="24">
        <f t="shared" si="11"/>
        <v>2089</v>
      </c>
      <c r="AS42" s="76"/>
      <c r="AT42" s="1"/>
      <c r="AU42" s="1"/>
      <c r="AV42" s="38"/>
      <c r="AW42" s="38"/>
      <c r="AY42" s="1"/>
      <c r="AZ42" s="1"/>
      <c r="BA42" s="1"/>
    </row>
    <row r="43" spans="1:53" s="2" customFormat="1" ht="17.100000000000001" customHeight="1">
      <c r="A43" s="12" t="s">
        <v>29</v>
      </c>
      <c r="B43" s="24">
        <v>30693.1</v>
      </c>
      <c r="C43" s="24">
        <v>36559.599999999999</v>
      </c>
      <c r="D43" s="4">
        <f t="shared" si="3"/>
        <v>1.1911341637045461</v>
      </c>
      <c r="E43" s="10">
        <v>15</v>
      </c>
      <c r="F43" s="5">
        <v>1</v>
      </c>
      <c r="G43" s="5">
        <v>10</v>
      </c>
      <c r="H43" s="24">
        <v>2983</v>
      </c>
      <c r="I43" s="24">
        <v>2759.7</v>
      </c>
      <c r="J43" s="4">
        <f t="shared" si="22"/>
        <v>0.92514247401944349</v>
      </c>
      <c r="K43" s="5">
        <v>10</v>
      </c>
      <c r="L43" s="5" t="s">
        <v>394</v>
      </c>
      <c r="M43" s="5" t="s">
        <v>394</v>
      </c>
      <c r="N43" s="4" t="s">
        <v>394</v>
      </c>
      <c r="O43" s="5"/>
      <c r="P43" s="5" t="s">
        <v>394</v>
      </c>
      <c r="Q43" s="5" t="s">
        <v>394</v>
      </c>
      <c r="R43" s="5" t="s">
        <v>394</v>
      </c>
      <c r="S43" s="5"/>
      <c r="T43" s="5" t="s">
        <v>394</v>
      </c>
      <c r="U43" s="5" t="s">
        <v>394</v>
      </c>
      <c r="V43" s="5" t="s">
        <v>394</v>
      </c>
      <c r="W43" s="5"/>
      <c r="X43" s="78">
        <v>7</v>
      </c>
      <c r="Y43" s="78">
        <v>0</v>
      </c>
      <c r="Z43" s="4">
        <f t="shared" si="5"/>
        <v>1.3</v>
      </c>
      <c r="AA43" s="5">
        <v>15</v>
      </c>
      <c r="AB43" s="31">
        <f t="shared" si="20"/>
        <v>1.1323687439152526</v>
      </c>
      <c r="AC43" s="32">
        <v>41493</v>
      </c>
      <c r="AD43" s="24">
        <f t="shared" si="7"/>
        <v>11316.272727272728</v>
      </c>
      <c r="AE43" s="24">
        <f t="shared" si="21"/>
        <v>12814.2</v>
      </c>
      <c r="AF43" s="24">
        <f t="shared" si="8"/>
        <v>1497.9272727272728</v>
      </c>
      <c r="AG43" s="24"/>
      <c r="AH43" s="24">
        <v>4290.1000000000004</v>
      </c>
      <c r="AI43" s="24">
        <v>3450.5</v>
      </c>
      <c r="AJ43" s="24">
        <f t="shared" si="9"/>
        <v>5073.6000000000004</v>
      </c>
      <c r="AK43" s="68"/>
      <c r="AL43" s="40"/>
      <c r="AM43" s="40"/>
      <c r="AN43" s="40"/>
      <c r="AO43" s="68"/>
      <c r="AP43" s="24">
        <f t="shared" si="10"/>
        <v>5073.6000000000004</v>
      </c>
      <c r="AQ43" s="24"/>
      <c r="AR43" s="24">
        <f t="shared" si="11"/>
        <v>5073.6000000000004</v>
      </c>
      <c r="AS43" s="76"/>
      <c r="AT43" s="1"/>
      <c r="AU43" s="1"/>
      <c r="AV43" s="38"/>
      <c r="AW43" s="38"/>
      <c r="AY43" s="1"/>
      <c r="AZ43" s="1"/>
      <c r="BA43" s="1"/>
    </row>
    <row r="44" spans="1:53" s="2" customFormat="1" ht="17.100000000000001" customHeight="1">
      <c r="A44" s="12" t="s">
        <v>30</v>
      </c>
      <c r="B44" s="24">
        <v>29697.5</v>
      </c>
      <c r="C44" s="24">
        <v>37206.699999999997</v>
      </c>
      <c r="D44" s="4">
        <f t="shared" si="3"/>
        <v>1.2052856301035439</v>
      </c>
      <c r="E44" s="10">
        <v>15</v>
      </c>
      <c r="F44" s="5">
        <v>1</v>
      </c>
      <c r="G44" s="5">
        <v>10</v>
      </c>
      <c r="H44" s="24">
        <v>1138</v>
      </c>
      <c r="I44" s="24">
        <v>1026.7</v>
      </c>
      <c r="J44" s="4">
        <f t="shared" si="22"/>
        <v>0.90219683655536032</v>
      </c>
      <c r="K44" s="5">
        <v>10</v>
      </c>
      <c r="L44" s="5" t="s">
        <v>394</v>
      </c>
      <c r="M44" s="5" t="s">
        <v>394</v>
      </c>
      <c r="N44" s="4" t="s">
        <v>394</v>
      </c>
      <c r="O44" s="5"/>
      <c r="P44" s="5" t="s">
        <v>394</v>
      </c>
      <c r="Q44" s="5" t="s">
        <v>394</v>
      </c>
      <c r="R44" s="5" t="s">
        <v>394</v>
      </c>
      <c r="S44" s="5"/>
      <c r="T44" s="5" t="s">
        <v>394</v>
      </c>
      <c r="U44" s="5" t="s">
        <v>394</v>
      </c>
      <c r="V44" s="5" t="s">
        <v>394</v>
      </c>
      <c r="W44" s="5"/>
      <c r="X44" s="78">
        <v>80.7</v>
      </c>
      <c r="Y44" s="78">
        <v>78</v>
      </c>
      <c r="Z44" s="4">
        <f t="shared" si="5"/>
        <v>1.0346153846153847</v>
      </c>
      <c r="AA44" s="5">
        <v>15</v>
      </c>
      <c r="AB44" s="31">
        <f t="shared" si="20"/>
        <v>1.0524096717267506</v>
      </c>
      <c r="AC44" s="32">
        <v>30618</v>
      </c>
      <c r="AD44" s="24">
        <f t="shared" si="7"/>
        <v>8350.363636363636</v>
      </c>
      <c r="AE44" s="24">
        <f t="shared" si="21"/>
        <v>8788</v>
      </c>
      <c r="AF44" s="24">
        <f t="shared" si="8"/>
        <v>437.63636363636397</v>
      </c>
      <c r="AG44" s="24"/>
      <c r="AH44" s="24">
        <v>2415.9</v>
      </c>
      <c r="AI44" s="24">
        <v>3271.2</v>
      </c>
      <c r="AJ44" s="24">
        <f t="shared" si="9"/>
        <v>3100.9</v>
      </c>
      <c r="AK44" s="68"/>
      <c r="AL44" s="40"/>
      <c r="AM44" s="40"/>
      <c r="AN44" s="40"/>
      <c r="AO44" s="68"/>
      <c r="AP44" s="24">
        <f t="shared" si="10"/>
        <v>3100.9</v>
      </c>
      <c r="AQ44" s="24">
        <f>MIN(AP44,1391.7)</f>
        <v>1391.7</v>
      </c>
      <c r="AR44" s="24">
        <f t="shared" si="11"/>
        <v>1709.2</v>
      </c>
      <c r="AS44" s="76"/>
      <c r="AT44" s="1"/>
      <c r="AU44" s="1"/>
      <c r="AV44" s="38"/>
      <c r="AW44" s="38"/>
      <c r="AY44" s="1"/>
      <c r="AZ44" s="1"/>
      <c r="BA44" s="1"/>
    </row>
    <row r="45" spans="1:53" s="2" customFormat="1" ht="17.100000000000001" customHeight="1">
      <c r="A45" s="12" t="s">
        <v>1</v>
      </c>
      <c r="B45" s="24">
        <v>121159.5</v>
      </c>
      <c r="C45" s="24">
        <v>108061.7</v>
      </c>
      <c r="D45" s="4">
        <f t="shared" si="3"/>
        <v>0.89189621944626707</v>
      </c>
      <c r="E45" s="10">
        <v>15</v>
      </c>
      <c r="F45" s="5">
        <v>1</v>
      </c>
      <c r="G45" s="5">
        <v>10</v>
      </c>
      <c r="H45" s="24">
        <v>6500</v>
      </c>
      <c r="I45" s="24">
        <v>6555</v>
      </c>
      <c r="J45" s="4">
        <f t="shared" si="22"/>
        <v>1.0084615384615385</v>
      </c>
      <c r="K45" s="5">
        <v>10</v>
      </c>
      <c r="L45" s="5" t="s">
        <v>394</v>
      </c>
      <c r="M45" s="5" t="s">
        <v>394</v>
      </c>
      <c r="N45" s="4" t="s">
        <v>394</v>
      </c>
      <c r="O45" s="5"/>
      <c r="P45" s="5" t="s">
        <v>394</v>
      </c>
      <c r="Q45" s="5" t="s">
        <v>394</v>
      </c>
      <c r="R45" s="5" t="s">
        <v>394</v>
      </c>
      <c r="S45" s="5"/>
      <c r="T45" s="5" t="s">
        <v>394</v>
      </c>
      <c r="U45" s="5" t="s">
        <v>394</v>
      </c>
      <c r="V45" s="5" t="s">
        <v>394</v>
      </c>
      <c r="W45" s="5"/>
      <c r="X45" s="78">
        <v>68.2</v>
      </c>
      <c r="Y45" s="78">
        <v>69.900000000000006</v>
      </c>
      <c r="Z45" s="4">
        <f t="shared" si="5"/>
        <v>0.97567954220314734</v>
      </c>
      <c r="AA45" s="5">
        <v>15</v>
      </c>
      <c r="AB45" s="31">
        <f t="shared" si="20"/>
        <v>0.96196503618713192</v>
      </c>
      <c r="AC45" s="32">
        <v>42719</v>
      </c>
      <c r="AD45" s="24">
        <f t="shared" si="7"/>
        <v>11650.636363636364</v>
      </c>
      <c r="AE45" s="24">
        <f t="shared" si="21"/>
        <v>11207.5</v>
      </c>
      <c r="AF45" s="24">
        <f t="shared" si="8"/>
        <v>-443.13636363636397</v>
      </c>
      <c r="AG45" s="24"/>
      <c r="AH45" s="24">
        <v>3604.8</v>
      </c>
      <c r="AI45" s="24">
        <v>3633.2</v>
      </c>
      <c r="AJ45" s="24">
        <f t="shared" si="9"/>
        <v>3969.5</v>
      </c>
      <c r="AK45" s="68"/>
      <c r="AL45" s="40"/>
      <c r="AM45" s="40"/>
      <c r="AN45" s="40"/>
      <c r="AO45" s="68"/>
      <c r="AP45" s="24">
        <f t="shared" si="10"/>
        <v>3969.5</v>
      </c>
      <c r="AQ45" s="24"/>
      <c r="AR45" s="24">
        <f t="shared" si="11"/>
        <v>3969.5</v>
      </c>
      <c r="AS45" s="76"/>
      <c r="AT45" s="1"/>
      <c r="AU45" s="1"/>
      <c r="AV45" s="38"/>
      <c r="AW45" s="38"/>
      <c r="AY45" s="1"/>
      <c r="AZ45" s="1"/>
      <c r="BA45" s="1"/>
    </row>
    <row r="46" spans="1:53" s="2" customFormat="1" ht="17.100000000000001" customHeight="1">
      <c r="A46" s="12" t="s">
        <v>31</v>
      </c>
      <c r="B46" s="24">
        <v>56386.5</v>
      </c>
      <c r="C46" s="24">
        <v>53211</v>
      </c>
      <c r="D46" s="4">
        <f t="shared" si="3"/>
        <v>0.94368332845627945</v>
      </c>
      <c r="E46" s="10">
        <v>15</v>
      </c>
      <c r="F46" s="5">
        <v>1</v>
      </c>
      <c r="G46" s="5">
        <v>10</v>
      </c>
      <c r="H46" s="24">
        <v>3883</v>
      </c>
      <c r="I46" s="24">
        <v>3892</v>
      </c>
      <c r="J46" s="4">
        <f t="shared" si="22"/>
        <v>1.0023177955189286</v>
      </c>
      <c r="K46" s="5">
        <v>10</v>
      </c>
      <c r="L46" s="5" t="s">
        <v>394</v>
      </c>
      <c r="M46" s="5" t="s">
        <v>394</v>
      </c>
      <c r="N46" s="4" t="s">
        <v>394</v>
      </c>
      <c r="O46" s="5"/>
      <c r="P46" s="5" t="s">
        <v>394</v>
      </c>
      <c r="Q46" s="5" t="s">
        <v>394</v>
      </c>
      <c r="R46" s="5" t="s">
        <v>394</v>
      </c>
      <c r="S46" s="5"/>
      <c r="T46" s="5" t="s">
        <v>394</v>
      </c>
      <c r="U46" s="5" t="s">
        <v>394</v>
      </c>
      <c r="V46" s="5" t="s">
        <v>394</v>
      </c>
      <c r="W46" s="5"/>
      <c r="X46" s="78">
        <v>140.19999999999999</v>
      </c>
      <c r="Y46" s="78">
        <v>110.7</v>
      </c>
      <c r="Z46" s="4">
        <f t="shared" si="5"/>
        <v>1.2066485998193315</v>
      </c>
      <c r="AA46" s="5">
        <v>15</v>
      </c>
      <c r="AB46" s="31">
        <f t="shared" si="20"/>
        <v>1.0455631375864689</v>
      </c>
      <c r="AC46" s="32">
        <v>38544</v>
      </c>
      <c r="AD46" s="24">
        <f t="shared" si="7"/>
        <v>10512</v>
      </c>
      <c r="AE46" s="24">
        <f t="shared" si="21"/>
        <v>10991</v>
      </c>
      <c r="AF46" s="24">
        <f t="shared" si="8"/>
        <v>479</v>
      </c>
      <c r="AG46" s="24"/>
      <c r="AH46" s="24">
        <v>3038.9</v>
      </c>
      <c r="AI46" s="24">
        <v>3113.8</v>
      </c>
      <c r="AJ46" s="24">
        <f t="shared" si="9"/>
        <v>4838.3</v>
      </c>
      <c r="AK46" s="68"/>
      <c r="AL46" s="40"/>
      <c r="AM46" s="40"/>
      <c r="AN46" s="40"/>
      <c r="AO46" s="68"/>
      <c r="AP46" s="24">
        <f t="shared" si="10"/>
        <v>4838.3</v>
      </c>
      <c r="AQ46" s="24"/>
      <c r="AR46" s="24">
        <f t="shared" si="11"/>
        <v>4838.3</v>
      </c>
      <c r="AS46" s="76"/>
      <c r="AT46" s="1"/>
      <c r="AU46" s="1"/>
      <c r="AV46" s="38"/>
      <c r="AW46" s="38"/>
      <c r="AX46" s="1"/>
      <c r="AY46" s="1"/>
      <c r="AZ46" s="1"/>
      <c r="BA46" s="1"/>
    </row>
    <row r="47" spans="1:53" s="2" customFormat="1" ht="17.100000000000001" customHeight="1">
      <c r="A47" s="12" t="s">
        <v>32</v>
      </c>
      <c r="B47" s="24">
        <v>27542.5</v>
      </c>
      <c r="C47" s="24">
        <v>39535.199999999997</v>
      </c>
      <c r="D47" s="4">
        <f t="shared" si="3"/>
        <v>1.2235425251883452</v>
      </c>
      <c r="E47" s="10">
        <v>15</v>
      </c>
      <c r="F47" s="5">
        <v>1</v>
      </c>
      <c r="G47" s="5">
        <v>10</v>
      </c>
      <c r="H47" s="24">
        <v>918</v>
      </c>
      <c r="I47" s="24">
        <v>824.77200000000005</v>
      </c>
      <c r="J47" s="4">
        <f t="shared" si="22"/>
        <v>0.89844444444444449</v>
      </c>
      <c r="K47" s="5">
        <v>10</v>
      </c>
      <c r="L47" s="5" t="s">
        <v>394</v>
      </c>
      <c r="M47" s="5" t="s">
        <v>394</v>
      </c>
      <c r="N47" s="4" t="s">
        <v>394</v>
      </c>
      <c r="O47" s="5"/>
      <c r="P47" s="5" t="s">
        <v>394</v>
      </c>
      <c r="Q47" s="5" t="s">
        <v>394</v>
      </c>
      <c r="R47" s="5" t="s">
        <v>394</v>
      </c>
      <c r="S47" s="5"/>
      <c r="T47" s="5" t="s">
        <v>394</v>
      </c>
      <c r="U47" s="5" t="s">
        <v>394</v>
      </c>
      <c r="V47" s="5" t="s">
        <v>394</v>
      </c>
      <c r="W47" s="5"/>
      <c r="X47" s="78">
        <v>10.4</v>
      </c>
      <c r="Y47" s="78">
        <v>14.4</v>
      </c>
      <c r="Z47" s="4">
        <f t="shared" si="5"/>
        <v>0.72222222222222221</v>
      </c>
      <c r="AA47" s="5">
        <v>15</v>
      </c>
      <c r="AB47" s="31">
        <f t="shared" si="20"/>
        <v>0.96341831311205928</v>
      </c>
      <c r="AC47" s="32">
        <v>27283</v>
      </c>
      <c r="AD47" s="24">
        <f t="shared" si="7"/>
        <v>7440.818181818182</v>
      </c>
      <c r="AE47" s="24">
        <f t="shared" si="21"/>
        <v>7168.6</v>
      </c>
      <c r="AF47" s="24">
        <f t="shared" si="8"/>
        <v>-272.21818181818162</v>
      </c>
      <c r="AG47" s="24"/>
      <c r="AH47" s="24">
        <v>2703.2</v>
      </c>
      <c r="AI47" s="24">
        <v>2882</v>
      </c>
      <c r="AJ47" s="24">
        <f t="shared" si="9"/>
        <v>1583.4</v>
      </c>
      <c r="AK47" s="68"/>
      <c r="AL47" s="40"/>
      <c r="AM47" s="40"/>
      <c r="AN47" s="40"/>
      <c r="AO47" s="68"/>
      <c r="AP47" s="24">
        <f t="shared" si="10"/>
        <v>1583.4</v>
      </c>
      <c r="AQ47" s="24">
        <f>MIN(AP47,1240.1)</f>
        <v>1240.0999999999999</v>
      </c>
      <c r="AR47" s="24">
        <f t="shared" si="11"/>
        <v>343.3</v>
      </c>
      <c r="AS47" s="76"/>
      <c r="AT47" s="1"/>
      <c r="AU47" s="1"/>
      <c r="AV47" s="38"/>
      <c r="AW47" s="38"/>
      <c r="AX47" s="1"/>
      <c r="AY47" s="1"/>
      <c r="AZ47" s="1"/>
      <c r="BA47" s="1"/>
    </row>
    <row r="48" spans="1:53" s="2" customFormat="1" ht="17.100000000000001" customHeight="1">
      <c r="A48" s="12" t="s">
        <v>33</v>
      </c>
      <c r="B48" s="24">
        <v>26244.6</v>
      </c>
      <c r="C48" s="24">
        <v>26745</v>
      </c>
      <c r="D48" s="4">
        <f t="shared" si="3"/>
        <v>1.0190667794517729</v>
      </c>
      <c r="E48" s="10">
        <v>15</v>
      </c>
      <c r="F48" s="5">
        <v>1</v>
      </c>
      <c r="G48" s="5">
        <v>10</v>
      </c>
      <c r="H48" s="24">
        <v>1273</v>
      </c>
      <c r="I48" s="24">
        <v>1179.0999999999999</v>
      </c>
      <c r="J48" s="4">
        <f t="shared" si="22"/>
        <v>0.92623723487824028</v>
      </c>
      <c r="K48" s="5">
        <v>10</v>
      </c>
      <c r="L48" s="5" t="s">
        <v>394</v>
      </c>
      <c r="M48" s="5" t="s">
        <v>394</v>
      </c>
      <c r="N48" s="4" t="s">
        <v>394</v>
      </c>
      <c r="O48" s="5"/>
      <c r="P48" s="5" t="s">
        <v>394</v>
      </c>
      <c r="Q48" s="5" t="s">
        <v>394</v>
      </c>
      <c r="R48" s="5" t="s">
        <v>394</v>
      </c>
      <c r="S48" s="5"/>
      <c r="T48" s="5" t="s">
        <v>394</v>
      </c>
      <c r="U48" s="5" t="s">
        <v>394</v>
      </c>
      <c r="V48" s="5" t="s">
        <v>394</v>
      </c>
      <c r="W48" s="5"/>
      <c r="X48" s="78">
        <v>3.8</v>
      </c>
      <c r="Y48" s="78">
        <v>3.5</v>
      </c>
      <c r="Z48" s="4">
        <f t="shared" si="5"/>
        <v>1.0857142857142856</v>
      </c>
      <c r="AA48" s="5">
        <v>15</v>
      </c>
      <c r="AB48" s="31">
        <f t="shared" si="20"/>
        <v>1.0166817665254657</v>
      </c>
      <c r="AC48" s="32">
        <v>51618</v>
      </c>
      <c r="AD48" s="24">
        <f t="shared" si="7"/>
        <v>14077.636363636364</v>
      </c>
      <c r="AE48" s="24">
        <f t="shared" si="21"/>
        <v>14312.5</v>
      </c>
      <c r="AF48" s="24">
        <f t="shared" si="8"/>
        <v>234.86363636363603</v>
      </c>
      <c r="AG48" s="24"/>
      <c r="AH48" s="24">
        <v>4632.7</v>
      </c>
      <c r="AI48" s="24">
        <v>4853.2</v>
      </c>
      <c r="AJ48" s="24">
        <f t="shared" si="9"/>
        <v>4826.6000000000004</v>
      </c>
      <c r="AK48" s="68"/>
      <c r="AL48" s="40"/>
      <c r="AM48" s="40"/>
      <c r="AN48" s="40"/>
      <c r="AO48" s="68"/>
      <c r="AP48" s="24">
        <f t="shared" si="10"/>
        <v>4826.6000000000004</v>
      </c>
      <c r="AQ48" s="24"/>
      <c r="AR48" s="24">
        <f t="shared" si="11"/>
        <v>4826.6000000000004</v>
      </c>
      <c r="AS48" s="76"/>
      <c r="AT48" s="1"/>
      <c r="AU48" s="1"/>
      <c r="AV48" s="38"/>
      <c r="AW48" s="38"/>
      <c r="AX48" s="1"/>
      <c r="AY48" s="1"/>
      <c r="AZ48" s="1"/>
      <c r="BA48" s="1"/>
    </row>
    <row r="49" spans="1:191" s="2" customFormat="1" ht="17.100000000000001" customHeight="1">
      <c r="A49" s="12" t="s">
        <v>34</v>
      </c>
      <c r="B49" s="24">
        <v>23970.799999999999</v>
      </c>
      <c r="C49" s="24">
        <v>28008.2</v>
      </c>
      <c r="D49" s="4">
        <f t="shared" si="3"/>
        <v>1.1684299230730724</v>
      </c>
      <c r="E49" s="10">
        <v>15</v>
      </c>
      <c r="F49" s="5">
        <v>1</v>
      </c>
      <c r="G49" s="5">
        <v>10</v>
      </c>
      <c r="H49" s="24">
        <v>1320</v>
      </c>
      <c r="I49" s="24">
        <v>1376.9</v>
      </c>
      <c r="J49" s="4">
        <f t="shared" si="22"/>
        <v>1.0431060606060607</v>
      </c>
      <c r="K49" s="5">
        <v>10</v>
      </c>
      <c r="L49" s="5" t="s">
        <v>394</v>
      </c>
      <c r="M49" s="5" t="s">
        <v>394</v>
      </c>
      <c r="N49" s="4" t="s">
        <v>394</v>
      </c>
      <c r="O49" s="5"/>
      <c r="P49" s="5" t="s">
        <v>394</v>
      </c>
      <c r="Q49" s="5" t="s">
        <v>394</v>
      </c>
      <c r="R49" s="5" t="s">
        <v>394</v>
      </c>
      <c r="S49" s="5"/>
      <c r="T49" s="5" t="s">
        <v>394</v>
      </c>
      <c r="U49" s="5" t="s">
        <v>394</v>
      </c>
      <c r="V49" s="5" t="s">
        <v>394</v>
      </c>
      <c r="W49" s="5"/>
      <c r="X49" s="78">
        <v>26.9</v>
      </c>
      <c r="Y49" s="78">
        <v>45.2</v>
      </c>
      <c r="Z49" s="4">
        <f t="shared" si="5"/>
        <v>0.59513274336283184</v>
      </c>
      <c r="AA49" s="5">
        <v>15</v>
      </c>
      <c r="AB49" s="31">
        <f t="shared" si="20"/>
        <v>0.93769001205198332</v>
      </c>
      <c r="AC49" s="32">
        <v>40697</v>
      </c>
      <c r="AD49" s="24">
        <f t="shared" si="7"/>
        <v>11099.181818181818</v>
      </c>
      <c r="AE49" s="24">
        <f t="shared" si="21"/>
        <v>10407.6</v>
      </c>
      <c r="AF49" s="24">
        <f t="shared" si="8"/>
        <v>-691.58181818181765</v>
      </c>
      <c r="AG49" s="24"/>
      <c r="AH49" s="24">
        <v>3910.7</v>
      </c>
      <c r="AI49" s="24">
        <v>4150.5</v>
      </c>
      <c r="AJ49" s="24">
        <f t="shared" si="9"/>
        <v>2346.4</v>
      </c>
      <c r="AK49" s="68"/>
      <c r="AL49" s="40"/>
      <c r="AM49" s="40"/>
      <c r="AN49" s="40"/>
      <c r="AO49" s="68"/>
      <c r="AP49" s="24">
        <f t="shared" si="10"/>
        <v>2346.4</v>
      </c>
      <c r="AQ49" s="24">
        <f>MIN(AP49,1849.9)</f>
        <v>1849.9</v>
      </c>
      <c r="AR49" s="24">
        <f t="shared" si="11"/>
        <v>496.5</v>
      </c>
      <c r="AS49" s="76"/>
      <c r="AT49" s="1"/>
      <c r="AU49" s="1"/>
      <c r="AV49" s="38"/>
      <c r="AW49" s="38"/>
      <c r="AX49" s="1"/>
      <c r="AY49" s="1"/>
      <c r="AZ49" s="1"/>
      <c r="BA49" s="1"/>
    </row>
    <row r="50" spans="1:191" s="2" customFormat="1" ht="17.100000000000001" customHeight="1">
      <c r="A50" s="12" t="s">
        <v>35</v>
      </c>
      <c r="B50" s="24">
        <v>105041.3</v>
      </c>
      <c r="C50" s="24">
        <v>98113.8</v>
      </c>
      <c r="D50" s="4">
        <f t="shared" si="3"/>
        <v>0.93404974995549372</v>
      </c>
      <c r="E50" s="10">
        <v>15</v>
      </c>
      <c r="F50" s="5">
        <v>1</v>
      </c>
      <c r="G50" s="5">
        <v>10</v>
      </c>
      <c r="H50" s="24">
        <v>4021</v>
      </c>
      <c r="I50" s="24">
        <v>4085.5</v>
      </c>
      <c r="J50" s="4">
        <f t="shared" si="22"/>
        <v>1.0160407858741607</v>
      </c>
      <c r="K50" s="5">
        <v>10</v>
      </c>
      <c r="L50" s="5" t="s">
        <v>394</v>
      </c>
      <c r="M50" s="5" t="s">
        <v>394</v>
      </c>
      <c r="N50" s="4" t="s">
        <v>394</v>
      </c>
      <c r="O50" s="5"/>
      <c r="P50" s="5" t="s">
        <v>394</v>
      </c>
      <c r="Q50" s="5" t="s">
        <v>394</v>
      </c>
      <c r="R50" s="5" t="s">
        <v>394</v>
      </c>
      <c r="S50" s="5"/>
      <c r="T50" s="5" t="s">
        <v>394</v>
      </c>
      <c r="U50" s="5" t="s">
        <v>394</v>
      </c>
      <c r="V50" s="5" t="s">
        <v>394</v>
      </c>
      <c r="W50" s="5"/>
      <c r="X50" s="78">
        <v>63.8</v>
      </c>
      <c r="Y50" s="78">
        <v>31.5</v>
      </c>
      <c r="Z50" s="4">
        <f t="shared" si="5"/>
        <v>1.2825396825396824</v>
      </c>
      <c r="AA50" s="5">
        <v>15</v>
      </c>
      <c r="AB50" s="31">
        <f t="shared" si="20"/>
        <v>1.068184986923385</v>
      </c>
      <c r="AC50" s="32">
        <v>35165</v>
      </c>
      <c r="AD50" s="24">
        <f t="shared" si="7"/>
        <v>9590.454545454546</v>
      </c>
      <c r="AE50" s="24">
        <f t="shared" si="21"/>
        <v>10244.4</v>
      </c>
      <c r="AF50" s="24">
        <f t="shared" si="8"/>
        <v>653.94545454545369</v>
      </c>
      <c r="AG50" s="24"/>
      <c r="AH50" s="24">
        <v>3424.7</v>
      </c>
      <c r="AI50" s="24">
        <v>2952.5</v>
      </c>
      <c r="AJ50" s="24">
        <f t="shared" si="9"/>
        <v>3867.2</v>
      </c>
      <c r="AK50" s="68"/>
      <c r="AL50" s="40"/>
      <c r="AM50" s="40"/>
      <c r="AN50" s="40"/>
      <c r="AO50" s="68"/>
      <c r="AP50" s="24">
        <f t="shared" si="10"/>
        <v>3867.2</v>
      </c>
      <c r="AQ50" s="24">
        <f>MIN(AP50,1183)</f>
        <v>1183</v>
      </c>
      <c r="AR50" s="24">
        <f t="shared" si="11"/>
        <v>2684.2</v>
      </c>
      <c r="AS50" s="76"/>
      <c r="AT50" s="1"/>
      <c r="AU50" s="1"/>
      <c r="AV50" s="38"/>
      <c r="AW50" s="38"/>
      <c r="AX50" s="1"/>
      <c r="AY50" s="1"/>
      <c r="AZ50" s="1"/>
      <c r="BA50" s="1"/>
    </row>
    <row r="51" spans="1:191" s="2" customFormat="1" ht="17.100000000000001" customHeight="1">
      <c r="A51" s="12" t="s">
        <v>36</v>
      </c>
      <c r="B51" s="24">
        <v>147522</v>
      </c>
      <c r="C51" s="24">
        <v>133440.4</v>
      </c>
      <c r="D51" s="4">
        <f t="shared" si="3"/>
        <v>0.90454576266590747</v>
      </c>
      <c r="E51" s="10">
        <v>15</v>
      </c>
      <c r="F51" s="5">
        <v>1</v>
      </c>
      <c r="G51" s="5">
        <v>10</v>
      </c>
      <c r="H51" s="24">
        <v>9437</v>
      </c>
      <c r="I51" s="24">
        <v>8086.2</v>
      </c>
      <c r="J51" s="4">
        <f t="shared" si="22"/>
        <v>0.85686129066440608</v>
      </c>
      <c r="K51" s="5">
        <v>10</v>
      </c>
      <c r="L51" s="5" t="s">
        <v>394</v>
      </c>
      <c r="M51" s="5" t="s">
        <v>394</v>
      </c>
      <c r="N51" s="4" t="s">
        <v>394</v>
      </c>
      <c r="O51" s="5"/>
      <c r="P51" s="5" t="s">
        <v>394</v>
      </c>
      <c r="Q51" s="5" t="s">
        <v>394</v>
      </c>
      <c r="R51" s="5" t="s">
        <v>394</v>
      </c>
      <c r="S51" s="5"/>
      <c r="T51" s="5" t="s">
        <v>394</v>
      </c>
      <c r="U51" s="5" t="s">
        <v>394</v>
      </c>
      <c r="V51" s="5" t="s">
        <v>394</v>
      </c>
      <c r="W51" s="5"/>
      <c r="X51" s="78">
        <v>134.30000000000001</v>
      </c>
      <c r="Y51" s="78">
        <v>172.1</v>
      </c>
      <c r="Z51" s="4">
        <f t="shared" si="5"/>
        <v>0.78036025566531098</v>
      </c>
      <c r="AA51" s="5">
        <v>15</v>
      </c>
      <c r="AB51" s="31">
        <f t="shared" si="20"/>
        <v>0.87684406363224665</v>
      </c>
      <c r="AC51" s="32">
        <v>75304</v>
      </c>
      <c r="AD51" s="24">
        <f t="shared" si="7"/>
        <v>20537.454545454544</v>
      </c>
      <c r="AE51" s="24">
        <f t="shared" si="21"/>
        <v>18008.099999999999</v>
      </c>
      <c r="AF51" s="24">
        <f t="shared" si="8"/>
        <v>-2529.3545454545456</v>
      </c>
      <c r="AG51" s="24"/>
      <c r="AH51" s="24">
        <v>6862.3</v>
      </c>
      <c r="AI51" s="24">
        <v>6235.3</v>
      </c>
      <c r="AJ51" s="24">
        <f t="shared" si="9"/>
        <v>4910.5</v>
      </c>
      <c r="AK51" s="68"/>
      <c r="AL51" s="40"/>
      <c r="AM51" s="40"/>
      <c r="AN51" s="40"/>
      <c r="AO51" s="68"/>
      <c r="AP51" s="24">
        <f t="shared" si="10"/>
        <v>4910.5</v>
      </c>
      <c r="AQ51" s="24"/>
      <c r="AR51" s="24">
        <f t="shared" si="11"/>
        <v>4910.5</v>
      </c>
      <c r="AS51" s="76"/>
      <c r="AT51" s="1"/>
      <c r="AU51" s="1"/>
      <c r="AV51" s="38"/>
      <c r="AW51" s="38"/>
      <c r="AX51" s="1"/>
      <c r="AY51" s="1"/>
      <c r="AZ51" s="1"/>
      <c r="BA51" s="1"/>
    </row>
    <row r="52" spans="1:191" s="2" customFormat="1" ht="17.100000000000001" customHeight="1">
      <c r="A52" s="12" t="s">
        <v>37</v>
      </c>
      <c r="B52" s="24">
        <v>35820.300000000003</v>
      </c>
      <c r="C52" s="24">
        <v>40414.800000000003</v>
      </c>
      <c r="D52" s="4">
        <f t="shared" si="3"/>
        <v>1.1282652574099044</v>
      </c>
      <c r="E52" s="10">
        <v>15</v>
      </c>
      <c r="F52" s="5">
        <v>1</v>
      </c>
      <c r="G52" s="5">
        <v>10</v>
      </c>
      <c r="H52" s="24">
        <v>1587</v>
      </c>
      <c r="I52" s="24">
        <v>1625</v>
      </c>
      <c r="J52" s="4">
        <f t="shared" si="22"/>
        <v>1.0239445494643982</v>
      </c>
      <c r="K52" s="5">
        <v>10</v>
      </c>
      <c r="L52" s="5" t="s">
        <v>394</v>
      </c>
      <c r="M52" s="5" t="s">
        <v>394</v>
      </c>
      <c r="N52" s="4" t="s">
        <v>394</v>
      </c>
      <c r="O52" s="5"/>
      <c r="P52" s="5" t="s">
        <v>394</v>
      </c>
      <c r="Q52" s="5" t="s">
        <v>394</v>
      </c>
      <c r="R52" s="5" t="s">
        <v>394</v>
      </c>
      <c r="S52" s="5"/>
      <c r="T52" s="5" t="s">
        <v>394</v>
      </c>
      <c r="U52" s="5" t="s">
        <v>394</v>
      </c>
      <c r="V52" s="5" t="s">
        <v>394</v>
      </c>
      <c r="W52" s="5"/>
      <c r="X52" s="78">
        <v>14.4</v>
      </c>
      <c r="Y52" s="78">
        <v>23.8</v>
      </c>
      <c r="Z52" s="4">
        <f t="shared" si="5"/>
        <v>0.60504201680672265</v>
      </c>
      <c r="AA52" s="5">
        <v>15</v>
      </c>
      <c r="AB52" s="31">
        <f t="shared" si="20"/>
        <v>0.92478109215786763</v>
      </c>
      <c r="AC52" s="32">
        <v>35659</v>
      </c>
      <c r="AD52" s="24">
        <f t="shared" si="7"/>
        <v>9725.181818181818</v>
      </c>
      <c r="AE52" s="24">
        <f t="shared" si="21"/>
        <v>8993.7000000000007</v>
      </c>
      <c r="AF52" s="24">
        <f t="shared" si="8"/>
        <v>-731.48181818181729</v>
      </c>
      <c r="AG52" s="24"/>
      <c r="AH52" s="24">
        <v>3394.5</v>
      </c>
      <c r="AI52" s="24">
        <v>3024.1</v>
      </c>
      <c r="AJ52" s="24">
        <f t="shared" si="9"/>
        <v>2575.1</v>
      </c>
      <c r="AK52" s="68"/>
      <c r="AL52" s="68"/>
      <c r="AM52" s="40"/>
      <c r="AN52" s="40"/>
      <c r="AO52" s="68"/>
      <c r="AP52" s="24">
        <f t="shared" si="10"/>
        <v>2575.1</v>
      </c>
      <c r="AQ52" s="24">
        <f>MIN(AP52,1620.9)</f>
        <v>1620.9</v>
      </c>
      <c r="AR52" s="24">
        <f t="shared" si="11"/>
        <v>954.2</v>
      </c>
      <c r="AS52" s="76"/>
      <c r="AT52" s="1"/>
      <c r="AU52" s="1"/>
      <c r="AV52" s="38"/>
      <c r="AW52" s="38"/>
      <c r="BA52" s="1"/>
    </row>
    <row r="53" spans="1:191" s="2" customFormat="1" ht="17.100000000000001" customHeight="1">
      <c r="A53" s="12" t="s">
        <v>2</v>
      </c>
      <c r="B53" s="24">
        <v>18467.599999999999</v>
      </c>
      <c r="C53" s="24">
        <v>19944.400000000001</v>
      </c>
      <c r="D53" s="4">
        <f t="shared" si="3"/>
        <v>1.0799670774762289</v>
      </c>
      <c r="E53" s="10">
        <v>15</v>
      </c>
      <c r="F53" s="5">
        <v>1</v>
      </c>
      <c r="G53" s="5">
        <v>10</v>
      </c>
      <c r="H53" s="24">
        <v>942</v>
      </c>
      <c r="I53" s="24">
        <v>883.14099999999996</v>
      </c>
      <c r="J53" s="4">
        <f t="shared" si="22"/>
        <v>0.93751698513800419</v>
      </c>
      <c r="K53" s="5">
        <v>10</v>
      </c>
      <c r="L53" s="5" t="s">
        <v>394</v>
      </c>
      <c r="M53" s="5" t="s">
        <v>394</v>
      </c>
      <c r="N53" s="4" t="s">
        <v>394</v>
      </c>
      <c r="O53" s="5"/>
      <c r="P53" s="5" t="s">
        <v>394</v>
      </c>
      <c r="Q53" s="5" t="s">
        <v>394</v>
      </c>
      <c r="R53" s="5" t="s">
        <v>394</v>
      </c>
      <c r="S53" s="5"/>
      <c r="T53" s="5" t="s">
        <v>394</v>
      </c>
      <c r="U53" s="5" t="s">
        <v>394</v>
      </c>
      <c r="V53" s="5" t="s">
        <v>394</v>
      </c>
      <c r="W53" s="5"/>
      <c r="X53" s="78">
        <v>21.4</v>
      </c>
      <c r="Y53" s="78">
        <v>27</v>
      </c>
      <c r="Z53" s="4">
        <f t="shared" si="5"/>
        <v>0.79259259259259252</v>
      </c>
      <c r="AA53" s="5">
        <v>15</v>
      </c>
      <c r="AB53" s="31">
        <f t="shared" si="20"/>
        <v>0.94927129804824717</v>
      </c>
      <c r="AC53" s="32">
        <v>32900</v>
      </c>
      <c r="AD53" s="24">
        <f t="shared" si="7"/>
        <v>8972.7272727272721</v>
      </c>
      <c r="AE53" s="24">
        <f t="shared" si="21"/>
        <v>8517.6</v>
      </c>
      <c r="AF53" s="24">
        <f t="shared" si="8"/>
        <v>-455.1272727272717</v>
      </c>
      <c r="AG53" s="24"/>
      <c r="AH53" s="24">
        <v>3124</v>
      </c>
      <c r="AI53" s="24">
        <v>2829.9</v>
      </c>
      <c r="AJ53" s="24">
        <f t="shared" si="9"/>
        <v>2563.6999999999998</v>
      </c>
      <c r="AK53" s="68"/>
      <c r="AL53" s="40"/>
      <c r="AM53" s="40"/>
      <c r="AN53" s="40"/>
      <c r="AO53" s="68"/>
      <c r="AP53" s="24">
        <f t="shared" si="10"/>
        <v>2563.6999999999998</v>
      </c>
      <c r="AQ53" s="24">
        <f>MIN(AP53,1495.5)</f>
        <v>1495.5</v>
      </c>
      <c r="AR53" s="24">
        <f t="shared" si="11"/>
        <v>1068.2</v>
      </c>
      <c r="AS53" s="76"/>
      <c r="AT53" s="1"/>
      <c r="AU53" s="1"/>
      <c r="AV53" s="38"/>
      <c r="AW53" s="38"/>
      <c r="AX53" s="1"/>
      <c r="AY53" s="1"/>
      <c r="AZ53" s="1"/>
      <c r="BA53" s="1"/>
    </row>
    <row r="54" spans="1:191" s="2" customFormat="1" ht="17.100000000000001" customHeight="1">
      <c r="A54" s="12" t="s">
        <v>38</v>
      </c>
      <c r="B54" s="24">
        <v>17410.3</v>
      </c>
      <c r="C54" s="24">
        <v>14368.6</v>
      </c>
      <c r="D54" s="4">
        <f t="shared" si="3"/>
        <v>0.82529307364031645</v>
      </c>
      <c r="E54" s="10">
        <v>15</v>
      </c>
      <c r="F54" s="5">
        <v>1</v>
      </c>
      <c r="G54" s="5">
        <v>10</v>
      </c>
      <c r="H54" s="24">
        <v>871</v>
      </c>
      <c r="I54" s="24">
        <v>910.14499999999998</v>
      </c>
      <c r="J54" s="4">
        <f t="shared" si="22"/>
        <v>1.0449425947187141</v>
      </c>
      <c r="K54" s="5">
        <v>10</v>
      </c>
      <c r="L54" s="5" t="s">
        <v>394</v>
      </c>
      <c r="M54" s="5" t="s">
        <v>394</v>
      </c>
      <c r="N54" s="4" t="s">
        <v>394</v>
      </c>
      <c r="O54" s="5"/>
      <c r="P54" s="5" t="s">
        <v>394</v>
      </c>
      <c r="Q54" s="5" t="s">
        <v>394</v>
      </c>
      <c r="R54" s="5" t="s">
        <v>394</v>
      </c>
      <c r="S54" s="5"/>
      <c r="T54" s="5" t="s">
        <v>394</v>
      </c>
      <c r="U54" s="5" t="s">
        <v>394</v>
      </c>
      <c r="V54" s="5" t="s">
        <v>394</v>
      </c>
      <c r="W54" s="5"/>
      <c r="X54" s="78">
        <v>5.7</v>
      </c>
      <c r="Y54" s="78">
        <v>6.2</v>
      </c>
      <c r="Z54" s="4">
        <f t="shared" si="5"/>
        <v>0.91935483870967738</v>
      </c>
      <c r="AA54" s="5">
        <v>15</v>
      </c>
      <c r="AB54" s="31">
        <f t="shared" si="20"/>
        <v>0.93238289264874097</v>
      </c>
      <c r="AC54" s="32">
        <v>35463</v>
      </c>
      <c r="AD54" s="24">
        <f t="shared" si="7"/>
        <v>9671.7272727272721</v>
      </c>
      <c r="AE54" s="24">
        <f t="shared" si="21"/>
        <v>9017.7999999999993</v>
      </c>
      <c r="AF54" s="24">
        <f t="shared" si="8"/>
        <v>-653.92727272727279</v>
      </c>
      <c r="AG54" s="24"/>
      <c r="AH54" s="24">
        <v>2875.4</v>
      </c>
      <c r="AI54" s="24">
        <v>3055.6</v>
      </c>
      <c r="AJ54" s="24">
        <f t="shared" si="9"/>
        <v>3086.8</v>
      </c>
      <c r="AK54" s="68"/>
      <c r="AL54" s="68"/>
      <c r="AM54" s="40"/>
      <c r="AN54" s="40"/>
      <c r="AO54" s="68"/>
      <c r="AP54" s="24">
        <f t="shared" si="10"/>
        <v>3086.8</v>
      </c>
      <c r="AQ54" s="24"/>
      <c r="AR54" s="24">
        <f t="shared" si="11"/>
        <v>3086.8</v>
      </c>
      <c r="AS54" s="76"/>
      <c r="AT54" s="1"/>
      <c r="AU54" s="1"/>
      <c r="AV54" s="38"/>
      <c r="AW54" s="38"/>
      <c r="AX54" s="1"/>
      <c r="AY54" s="1"/>
      <c r="AZ54" s="1"/>
      <c r="BA54" s="1"/>
    </row>
    <row r="55" spans="1:191" s="2" customFormat="1" ht="17.100000000000001" customHeight="1">
      <c r="A55" s="12" t="s">
        <v>3</v>
      </c>
      <c r="B55" s="24">
        <v>16467.599999999999</v>
      </c>
      <c r="C55" s="24">
        <v>16909.900000000001</v>
      </c>
      <c r="D55" s="4">
        <f t="shared" si="3"/>
        <v>1.0268588015254199</v>
      </c>
      <c r="E55" s="10">
        <v>15</v>
      </c>
      <c r="F55" s="5">
        <v>1</v>
      </c>
      <c r="G55" s="5">
        <v>10</v>
      </c>
      <c r="H55" s="24">
        <v>1540</v>
      </c>
      <c r="I55" s="24">
        <v>1432.9</v>
      </c>
      <c r="J55" s="4">
        <f t="shared" si="22"/>
        <v>0.93045454545454553</v>
      </c>
      <c r="K55" s="5">
        <v>10</v>
      </c>
      <c r="L55" s="5" t="s">
        <v>394</v>
      </c>
      <c r="M55" s="5" t="s">
        <v>394</v>
      </c>
      <c r="N55" s="4" t="s">
        <v>394</v>
      </c>
      <c r="O55" s="5"/>
      <c r="P55" s="5" t="s">
        <v>394</v>
      </c>
      <c r="Q55" s="5" t="s">
        <v>394</v>
      </c>
      <c r="R55" s="5" t="s">
        <v>394</v>
      </c>
      <c r="S55" s="5"/>
      <c r="T55" s="5" t="s">
        <v>394</v>
      </c>
      <c r="U55" s="5" t="s">
        <v>394</v>
      </c>
      <c r="V55" s="5" t="s">
        <v>394</v>
      </c>
      <c r="W55" s="5"/>
      <c r="X55" s="78">
        <v>5.3</v>
      </c>
      <c r="Y55" s="78">
        <v>5</v>
      </c>
      <c r="Z55" s="4">
        <f t="shared" si="5"/>
        <v>1.06</v>
      </c>
      <c r="AA55" s="5">
        <v>15</v>
      </c>
      <c r="AB55" s="31">
        <f t="shared" si="20"/>
        <v>1.0121485495485352</v>
      </c>
      <c r="AC55" s="32">
        <v>33094</v>
      </c>
      <c r="AD55" s="24">
        <f t="shared" si="7"/>
        <v>9025.636363636364</v>
      </c>
      <c r="AE55" s="24">
        <f t="shared" si="21"/>
        <v>9135.2999999999993</v>
      </c>
      <c r="AF55" s="24">
        <f t="shared" si="8"/>
        <v>109.66363636363531</v>
      </c>
      <c r="AG55" s="24"/>
      <c r="AH55" s="24">
        <v>2821.4</v>
      </c>
      <c r="AI55" s="24">
        <v>3413.5</v>
      </c>
      <c r="AJ55" s="24">
        <f t="shared" si="9"/>
        <v>2900.4</v>
      </c>
      <c r="AK55" s="68"/>
      <c r="AL55" s="40"/>
      <c r="AM55" s="40"/>
      <c r="AN55" s="40"/>
      <c r="AO55" s="68"/>
      <c r="AP55" s="24">
        <f t="shared" si="10"/>
        <v>2900.4</v>
      </c>
      <c r="AQ55" s="24"/>
      <c r="AR55" s="24">
        <f t="shared" si="11"/>
        <v>2900.4</v>
      </c>
      <c r="AS55" s="76"/>
      <c r="AT55" s="1"/>
      <c r="AU55" s="1"/>
      <c r="AV55" s="38"/>
      <c r="AW55" s="38"/>
      <c r="AX55" s="1"/>
      <c r="AY55" s="1"/>
      <c r="AZ55" s="1"/>
      <c r="BA55" s="1"/>
    </row>
    <row r="56" spans="1:191" s="2" customFormat="1" ht="17.100000000000001" customHeight="1">
      <c r="A56" s="12" t="s">
        <v>39</v>
      </c>
      <c r="B56" s="24">
        <v>22607.4</v>
      </c>
      <c r="C56" s="24">
        <v>24305.3</v>
      </c>
      <c r="D56" s="4">
        <f t="shared" si="3"/>
        <v>1.0751037270982067</v>
      </c>
      <c r="E56" s="10">
        <v>15</v>
      </c>
      <c r="F56" s="5">
        <v>1</v>
      </c>
      <c r="G56" s="5">
        <v>10</v>
      </c>
      <c r="H56" s="24">
        <v>1700</v>
      </c>
      <c r="I56" s="24">
        <v>1657.5</v>
      </c>
      <c r="J56" s="4">
        <f t="shared" si="22"/>
        <v>0.97499999999999998</v>
      </c>
      <c r="K56" s="5">
        <v>10</v>
      </c>
      <c r="L56" s="5" t="s">
        <v>394</v>
      </c>
      <c r="M56" s="5" t="s">
        <v>394</v>
      </c>
      <c r="N56" s="4" t="s">
        <v>394</v>
      </c>
      <c r="O56" s="5"/>
      <c r="P56" s="5" t="s">
        <v>394</v>
      </c>
      <c r="Q56" s="5" t="s">
        <v>394</v>
      </c>
      <c r="R56" s="5" t="s">
        <v>394</v>
      </c>
      <c r="S56" s="5"/>
      <c r="T56" s="5" t="s">
        <v>394</v>
      </c>
      <c r="U56" s="5" t="s">
        <v>394</v>
      </c>
      <c r="V56" s="5" t="s">
        <v>394</v>
      </c>
      <c r="W56" s="5"/>
      <c r="X56" s="78">
        <v>21</v>
      </c>
      <c r="Y56" s="78">
        <v>31.8</v>
      </c>
      <c r="Z56" s="4">
        <f t="shared" si="5"/>
        <v>0.660377358490566</v>
      </c>
      <c r="AA56" s="5">
        <v>15</v>
      </c>
      <c r="AB56" s="31">
        <f t="shared" si="20"/>
        <v>0.91564432567663179</v>
      </c>
      <c r="AC56" s="32">
        <v>43572</v>
      </c>
      <c r="AD56" s="24">
        <f t="shared" si="7"/>
        <v>11883.272727272728</v>
      </c>
      <c r="AE56" s="24">
        <f t="shared" si="21"/>
        <v>10880.9</v>
      </c>
      <c r="AF56" s="24">
        <f t="shared" si="8"/>
        <v>-1002.3727272727283</v>
      </c>
      <c r="AG56" s="24"/>
      <c r="AH56" s="24">
        <v>3757.6</v>
      </c>
      <c r="AI56" s="24">
        <v>4299.8</v>
      </c>
      <c r="AJ56" s="24">
        <f t="shared" si="9"/>
        <v>2823.5</v>
      </c>
      <c r="AK56" s="68"/>
      <c r="AL56" s="40"/>
      <c r="AM56" s="40"/>
      <c r="AN56" s="40"/>
      <c r="AO56" s="68"/>
      <c r="AP56" s="24">
        <f t="shared" si="10"/>
        <v>2823.5</v>
      </c>
      <c r="AQ56" s="24">
        <f>MIN(AP56,1003.8)</f>
        <v>1003.8</v>
      </c>
      <c r="AR56" s="24">
        <f t="shared" si="11"/>
        <v>1819.7</v>
      </c>
      <c r="AS56" s="76"/>
      <c r="AT56" s="1"/>
      <c r="AU56" s="1"/>
      <c r="AV56" s="38"/>
      <c r="AW56" s="38"/>
      <c r="AX56" s="1"/>
      <c r="AY56" s="1"/>
      <c r="AZ56" s="1"/>
      <c r="BA56" s="1"/>
    </row>
    <row r="57" spans="1:191" s="2" customFormat="1" ht="17.100000000000001" customHeight="1">
      <c r="A57" s="16" t="s">
        <v>40</v>
      </c>
      <c r="B57" s="23">
        <f>SUM(B58:B380)</f>
        <v>472542.49999999977</v>
      </c>
      <c r="C57" s="23">
        <f>SUM(C58:C380)</f>
        <v>451360.3000000001</v>
      </c>
      <c r="D57" s="6">
        <f>IF(C57/B57&gt;1.2,IF((C57/B57-1.2)*0.1+1.2&gt;1.3,1.3,(C57/B57-1.2)*0.1+1.2),C57/B57)</f>
        <v>0.95517397906008528</v>
      </c>
      <c r="E57" s="15"/>
      <c r="F57" s="15"/>
      <c r="G57" s="15"/>
      <c r="H57" s="23"/>
      <c r="I57" s="23"/>
      <c r="J57" s="6">
        <f>J29</f>
        <v>0.97711808802563194</v>
      </c>
      <c r="K57" s="15"/>
      <c r="L57" s="23"/>
      <c r="M57" s="23"/>
      <c r="N57" s="6"/>
      <c r="O57" s="15"/>
      <c r="P57" s="23"/>
      <c r="Q57" s="23"/>
      <c r="R57" s="23"/>
      <c r="S57" s="15"/>
      <c r="T57" s="23"/>
      <c r="U57" s="23"/>
      <c r="V57" s="23"/>
      <c r="W57" s="15"/>
      <c r="X57" s="15"/>
      <c r="Y57" s="15"/>
      <c r="Z57" s="39"/>
      <c r="AA57" s="15"/>
      <c r="AB57" s="7"/>
      <c r="AC57" s="19">
        <f>SUM(AC58:AC380)</f>
        <v>479865</v>
      </c>
      <c r="AD57" s="23">
        <f t="shared" ref="AD57:AE57" si="23">SUM(AD58:AD380)</f>
        <v>130872.27272727288</v>
      </c>
      <c r="AE57" s="23">
        <f t="shared" si="23"/>
        <v>125284.40000000007</v>
      </c>
      <c r="AF57" s="23">
        <f>SUM(AF58:AF380)</f>
        <v>-5587.8727272727265</v>
      </c>
      <c r="AG57" s="23">
        <f t="shared" ref="AG57:AP57" si="24">SUM(AG58:AG380)</f>
        <v>0</v>
      </c>
      <c r="AH57" s="23">
        <f t="shared" si="24"/>
        <v>39603.30000000001</v>
      </c>
      <c r="AI57" s="23">
        <f t="shared" si="24"/>
        <v>40077.200000000019</v>
      </c>
      <c r="AJ57" s="23">
        <f t="shared" si="24"/>
        <v>45603.900000000009</v>
      </c>
      <c r="AK57" s="23"/>
      <c r="AL57" s="23"/>
      <c r="AM57" s="23"/>
      <c r="AN57" s="23"/>
      <c r="AO57" s="23"/>
      <c r="AP57" s="23">
        <f t="shared" si="24"/>
        <v>45603.900000000009</v>
      </c>
      <c r="AQ57" s="23">
        <f t="shared" ref="AQ57:AR57" si="25">SUM(AQ58:AQ380)</f>
        <v>5272.800000000002</v>
      </c>
      <c r="AR57" s="23">
        <f t="shared" si="25"/>
        <v>40331.100000000006</v>
      </c>
      <c r="AS57" s="76"/>
      <c r="AT57" s="1"/>
      <c r="AU57" s="1"/>
      <c r="AV57" s="38"/>
      <c r="AW57" s="38"/>
      <c r="AX57" s="1"/>
      <c r="AY57" s="1"/>
      <c r="AZ57" s="1"/>
      <c r="BA57" s="1"/>
    </row>
    <row r="58" spans="1:191" s="2" customFormat="1" ht="17.100000000000001" customHeight="1">
      <c r="A58" s="17" t="s">
        <v>41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76"/>
      <c r="AT58" s="1"/>
      <c r="AU58" s="1"/>
      <c r="AV58" s="38"/>
      <c r="AW58" s="38"/>
      <c r="AX58" s="1"/>
      <c r="AY58" s="1"/>
      <c r="AZ58" s="1"/>
      <c r="BA58" s="1"/>
    </row>
    <row r="59" spans="1:191" s="2" customFormat="1" ht="17.100000000000001" customHeight="1">
      <c r="A59" s="13" t="s">
        <v>42</v>
      </c>
      <c r="B59" s="24">
        <v>820.7</v>
      </c>
      <c r="C59" s="24">
        <v>605.6</v>
      </c>
      <c r="D59" s="4">
        <f t="shared" ref="D59:D122" si="26">IF(E59=0,0,IF(B59=0,1,IF(C59&lt;0,0,IF(C59/B59&gt;1.2,IF((C59/B59-1.2)*0.1+1.2&gt;1.3,1.3,(C59/B59-1.2)*0.1+1.2),C59/B59))))</f>
        <v>0.73790666504203728</v>
      </c>
      <c r="E59" s="10">
        <v>15</v>
      </c>
      <c r="F59" s="5">
        <v>1</v>
      </c>
      <c r="G59" s="5">
        <v>10</v>
      </c>
      <c r="H59" s="5"/>
      <c r="I59" s="5"/>
      <c r="J59" s="4">
        <f>J$30</f>
        <v>0.93524999999999991</v>
      </c>
      <c r="K59" s="5">
        <v>10</v>
      </c>
      <c r="L59" s="5" t="s">
        <v>394</v>
      </c>
      <c r="M59" s="5" t="s">
        <v>394</v>
      </c>
      <c r="N59" s="4" t="s">
        <v>394</v>
      </c>
      <c r="O59" s="5"/>
      <c r="P59" s="5" t="s">
        <v>394</v>
      </c>
      <c r="Q59" s="5" t="s">
        <v>394</v>
      </c>
      <c r="R59" s="5" t="s">
        <v>394</v>
      </c>
      <c r="S59" s="5"/>
      <c r="T59" s="5" t="s">
        <v>394</v>
      </c>
      <c r="U59" s="5" t="s">
        <v>394</v>
      </c>
      <c r="V59" s="5" t="s">
        <v>394</v>
      </c>
      <c r="W59" s="5"/>
      <c r="X59" s="5"/>
      <c r="Y59" s="5"/>
      <c r="Z59" s="4">
        <f>Z$30</f>
        <v>0.9</v>
      </c>
      <c r="AA59" s="5">
        <v>15</v>
      </c>
      <c r="AB59" s="31">
        <f t="shared" ref="AB59:AB122" si="27">(D59*E59+F59*G59+J59*K59+Z59*AA59)/(E59+G59+K59+AA59)</f>
        <v>0.87842199951261113</v>
      </c>
      <c r="AC59" s="32">
        <v>1726</v>
      </c>
      <c r="AD59" s="24">
        <f t="shared" ref="AD59:AD122" si="28">AC59/11*3</f>
        <v>470.72727272727275</v>
      </c>
      <c r="AE59" s="24">
        <f>ROUND(AB59*AD59,1)</f>
        <v>413.5</v>
      </c>
      <c r="AF59" s="24">
        <f t="shared" ref="AF59:AF122" si="29">AE59-AD59</f>
        <v>-57.227272727272748</v>
      </c>
      <c r="AG59" s="24"/>
      <c r="AH59" s="24">
        <v>172.6</v>
      </c>
      <c r="AI59" s="24">
        <v>164.8</v>
      </c>
      <c r="AJ59" s="24">
        <f t="shared" ref="AJ59:AJ122" si="30">ROUND(AE59-SUM(AG59:AI59),1)</f>
        <v>76.099999999999994</v>
      </c>
      <c r="AK59" s="68"/>
      <c r="AL59" s="40"/>
      <c r="AM59" s="40"/>
      <c r="AN59" s="68"/>
      <c r="AO59" s="68"/>
      <c r="AP59" s="24">
        <f t="shared" ref="AP59:AP122" si="31">IF(OR(AJ59&lt;0,AK59="+",AL59="+",AM59="+",AN59="+",AO59="+"),0,AJ59)</f>
        <v>76.099999999999994</v>
      </c>
      <c r="AQ59" s="24"/>
      <c r="AR59" s="24">
        <f t="shared" ref="AR59:AR122" si="32">ROUND(AP59-AQ59,1)</f>
        <v>76.099999999999994</v>
      </c>
      <c r="AS59" s="76"/>
      <c r="AT59" s="1"/>
      <c r="AU59" s="1"/>
      <c r="AV59" s="38"/>
      <c r="AW59" s="38"/>
      <c r="AX59" s="1"/>
      <c r="AY59" s="1"/>
      <c r="AZ59" s="1"/>
      <c r="BA59" s="1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9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9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9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9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9"/>
      <c r="GH59" s="8"/>
      <c r="GI59" s="8"/>
    </row>
    <row r="60" spans="1:191" s="2" customFormat="1" ht="17.100000000000001" customHeight="1">
      <c r="A60" s="13" t="s">
        <v>43</v>
      </c>
      <c r="B60" s="24">
        <v>2277.5</v>
      </c>
      <c r="C60" s="24">
        <v>2071.4</v>
      </c>
      <c r="D60" s="4">
        <f t="shared" si="26"/>
        <v>0.90950603732162461</v>
      </c>
      <c r="E60" s="10">
        <v>15</v>
      </c>
      <c r="F60" s="5">
        <v>1</v>
      </c>
      <c r="G60" s="5">
        <v>10</v>
      </c>
      <c r="H60" s="5"/>
      <c r="I60" s="5"/>
      <c r="J60" s="4">
        <f t="shared" ref="J60:J62" si="33">J$30</f>
        <v>0.93524999999999991</v>
      </c>
      <c r="K60" s="5">
        <v>10</v>
      </c>
      <c r="L60" s="5" t="s">
        <v>394</v>
      </c>
      <c r="M60" s="5" t="s">
        <v>394</v>
      </c>
      <c r="N60" s="4" t="s">
        <v>394</v>
      </c>
      <c r="O60" s="5"/>
      <c r="P60" s="5" t="s">
        <v>394</v>
      </c>
      <c r="Q60" s="5" t="s">
        <v>394</v>
      </c>
      <c r="R60" s="5" t="s">
        <v>394</v>
      </c>
      <c r="S60" s="5"/>
      <c r="T60" s="5" t="s">
        <v>394</v>
      </c>
      <c r="U60" s="5" t="s">
        <v>394</v>
      </c>
      <c r="V60" s="5" t="s">
        <v>394</v>
      </c>
      <c r="W60" s="5"/>
      <c r="X60" s="5"/>
      <c r="Y60" s="5"/>
      <c r="Z60" s="4">
        <f t="shared" ref="Z60:Z62" si="34">Z$30</f>
        <v>0.9</v>
      </c>
      <c r="AA60" s="5">
        <v>15</v>
      </c>
      <c r="AB60" s="31">
        <f t="shared" si="27"/>
        <v>0.9299018111964874</v>
      </c>
      <c r="AC60" s="32">
        <v>2007</v>
      </c>
      <c r="AD60" s="24">
        <f t="shared" si="28"/>
        <v>547.36363636363637</v>
      </c>
      <c r="AE60" s="24">
        <f>ROUND(AB60*AD60,1)</f>
        <v>509</v>
      </c>
      <c r="AF60" s="24">
        <f t="shared" si="29"/>
        <v>-38.363636363636374</v>
      </c>
      <c r="AG60" s="24"/>
      <c r="AH60" s="24">
        <v>136.80000000000001</v>
      </c>
      <c r="AI60" s="24">
        <v>188.1</v>
      </c>
      <c r="AJ60" s="24">
        <f t="shared" si="30"/>
        <v>184.1</v>
      </c>
      <c r="AK60" s="68"/>
      <c r="AL60" s="40"/>
      <c r="AM60" s="40"/>
      <c r="AN60" s="68"/>
      <c r="AO60" s="68"/>
      <c r="AP60" s="24">
        <f t="shared" si="31"/>
        <v>184.1</v>
      </c>
      <c r="AQ60" s="24"/>
      <c r="AR60" s="24">
        <f t="shared" si="32"/>
        <v>184.1</v>
      </c>
      <c r="AS60" s="76"/>
      <c r="AT60" s="1"/>
      <c r="AU60" s="1"/>
      <c r="AV60" s="38"/>
      <c r="AW60" s="38"/>
      <c r="AX60" s="1"/>
      <c r="AY60" s="1"/>
      <c r="AZ60" s="1"/>
      <c r="BA60" s="1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9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9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9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9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9"/>
      <c r="GH60" s="8"/>
      <c r="GI60" s="8"/>
    </row>
    <row r="61" spans="1:191" s="2" customFormat="1" ht="17.100000000000001" customHeight="1">
      <c r="A61" s="13" t="s">
        <v>44</v>
      </c>
      <c r="B61" s="24">
        <v>469.6</v>
      </c>
      <c r="C61" s="24">
        <v>285.2</v>
      </c>
      <c r="D61" s="4">
        <f t="shared" si="26"/>
        <v>0.60732538330494035</v>
      </c>
      <c r="E61" s="10">
        <v>15</v>
      </c>
      <c r="F61" s="5">
        <v>1</v>
      </c>
      <c r="G61" s="5">
        <v>10</v>
      </c>
      <c r="H61" s="5"/>
      <c r="I61" s="5"/>
      <c r="J61" s="4">
        <f t="shared" si="33"/>
        <v>0.93524999999999991</v>
      </c>
      <c r="K61" s="5">
        <v>10</v>
      </c>
      <c r="L61" s="5" t="s">
        <v>394</v>
      </c>
      <c r="M61" s="5" t="s">
        <v>394</v>
      </c>
      <c r="N61" s="4" t="s">
        <v>394</v>
      </c>
      <c r="O61" s="5"/>
      <c r="P61" s="5" t="s">
        <v>394</v>
      </c>
      <c r="Q61" s="5" t="s">
        <v>394</v>
      </c>
      <c r="R61" s="5" t="s">
        <v>394</v>
      </c>
      <c r="S61" s="5"/>
      <c r="T61" s="5" t="s">
        <v>394</v>
      </c>
      <c r="U61" s="5" t="s">
        <v>394</v>
      </c>
      <c r="V61" s="5" t="s">
        <v>394</v>
      </c>
      <c r="W61" s="5"/>
      <c r="X61" s="5"/>
      <c r="Y61" s="5"/>
      <c r="Z61" s="4">
        <f t="shared" si="34"/>
        <v>0.9</v>
      </c>
      <c r="AA61" s="5">
        <v>15</v>
      </c>
      <c r="AB61" s="31">
        <f t="shared" si="27"/>
        <v>0.83924761499148204</v>
      </c>
      <c r="AC61" s="32">
        <v>1829</v>
      </c>
      <c r="AD61" s="24">
        <f t="shared" si="28"/>
        <v>498.81818181818187</v>
      </c>
      <c r="AE61" s="24">
        <f>ROUND(AB61*AD61,1)</f>
        <v>418.6</v>
      </c>
      <c r="AF61" s="24">
        <f t="shared" si="29"/>
        <v>-80.218181818181847</v>
      </c>
      <c r="AG61" s="24"/>
      <c r="AH61" s="24">
        <v>112.7</v>
      </c>
      <c r="AI61" s="24">
        <v>177.6</v>
      </c>
      <c r="AJ61" s="24">
        <f t="shared" si="30"/>
        <v>128.30000000000001</v>
      </c>
      <c r="AK61" s="68"/>
      <c r="AL61" s="40"/>
      <c r="AM61" s="40"/>
      <c r="AN61" s="68"/>
      <c r="AO61" s="68"/>
      <c r="AP61" s="24">
        <f t="shared" si="31"/>
        <v>128.30000000000001</v>
      </c>
      <c r="AQ61" s="24"/>
      <c r="AR61" s="24">
        <f t="shared" si="32"/>
        <v>128.30000000000001</v>
      </c>
      <c r="AS61" s="76"/>
      <c r="AT61" s="1"/>
      <c r="AU61" s="1"/>
      <c r="AV61" s="38"/>
      <c r="AW61" s="38"/>
      <c r="AX61" s="1"/>
      <c r="AY61" s="1"/>
      <c r="AZ61" s="1"/>
      <c r="BA61" s="1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9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9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9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9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9"/>
      <c r="GH61" s="8"/>
      <c r="GI61" s="8"/>
    </row>
    <row r="62" spans="1:191" s="2" customFormat="1" ht="17.100000000000001" customHeight="1">
      <c r="A62" s="13" t="s">
        <v>45</v>
      </c>
      <c r="B62" s="24">
        <v>655.9</v>
      </c>
      <c r="C62" s="24">
        <v>1037.9000000000001</v>
      </c>
      <c r="D62" s="4">
        <f t="shared" si="26"/>
        <v>1.2382405854550997</v>
      </c>
      <c r="E62" s="10">
        <v>15</v>
      </c>
      <c r="F62" s="5">
        <v>1</v>
      </c>
      <c r="G62" s="5">
        <v>10</v>
      </c>
      <c r="H62" s="5"/>
      <c r="I62" s="5"/>
      <c r="J62" s="4">
        <f t="shared" si="33"/>
        <v>0.93524999999999991</v>
      </c>
      <c r="K62" s="5">
        <v>10</v>
      </c>
      <c r="L62" s="5" t="s">
        <v>394</v>
      </c>
      <c r="M62" s="5" t="s">
        <v>394</v>
      </c>
      <c r="N62" s="4" t="s">
        <v>394</v>
      </c>
      <c r="O62" s="5"/>
      <c r="P62" s="5" t="s">
        <v>394</v>
      </c>
      <c r="Q62" s="5" t="s">
        <v>394</v>
      </c>
      <c r="R62" s="5" t="s">
        <v>394</v>
      </c>
      <c r="S62" s="5"/>
      <c r="T62" s="5" t="s">
        <v>394</v>
      </c>
      <c r="U62" s="5" t="s">
        <v>394</v>
      </c>
      <c r="V62" s="5" t="s">
        <v>394</v>
      </c>
      <c r="W62" s="5"/>
      <c r="X62" s="5"/>
      <c r="Y62" s="5"/>
      <c r="Z62" s="4">
        <f t="shared" si="34"/>
        <v>0.9</v>
      </c>
      <c r="AA62" s="5">
        <v>15</v>
      </c>
      <c r="AB62" s="31">
        <f t="shared" si="27"/>
        <v>1.0285221756365299</v>
      </c>
      <c r="AC62" s="32">
        <v>1055</v>
      </c>
      <c r="AD62" s="24">
        <f t="shared" si="28"/>
        <v>287.72727272727275</v>
      </c>
      <c r="AE62" s="24">
        <f>ROUND(AB62*AD62,1)</f>
        <v>295.89999999999998</v>
      </c>
      <c r="AF62" s="24">
        <f t="shared" si="29"/>
        <v>8.1727272727272293</v>
      </c>
      <c r="AG62" s="24"/>
      <c r="AH62" s="24">
        <v>80.5</v>
      </c>
      <c r="AI62" s="24">
        <v>66.400000000000006</v>
      </c>
      <c r="AJ62" s="24">
        <f t="shared" si="30"/>
        <v>149</v>
      </c>
      <c r="AK62" s="68"/>
      <c r="AL62" s="40"/>
      <c r="AM62" s="40"/>
      <c r="AN62" s="68"/>
      <c r="AO62" s="68"/>
      <c r="AP62" s="24">
        <f t="shared" si="31"/>
        <v>149</v>
      </c>
      <c r="AQ62" s="24"/>
      <c r="AR62" s="24">
        <f t="shared" si="32"/>
        <v>149</v>
      </c>
      <c r="AS62" s="76"/>
      <c r="AT62" s="1"/>
      <c r="AU62" s="1"/>
      <c r="AV62" s="38"/>
      <c r="AW62" s="38"/>
      <c r="AX62" s="1"/>
      <c r="AY62" s="1"/>
      <c r="AZ62" s="1"/>
      <c r="BA62" s="1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9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9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9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9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9"/>
      <c r="GH62" s="8"/>
      <c r="GI62" s="8"/>
    </row>
    <row r="63" spans="1:191" s="2" customFormat="1" ht="17.100000000000001" customHeight="1">
      <c r="A63" s="13" t="s">
        <v>46</v>
      </c>
      <c r="B63" s="24">
        <v>194.2</v>
      </c>
      <c r="C63" s="24">
        <v>174.4</v>
      </c>
      <c r="D63" s="4">
        <f t="shared" si="26"/>
        <v>0.89804325437693111</v>
      </c>
      <c r="E63" s="10">
        <v>15</v>
      </c>
      <c r="F63" s="5">
        <v>1</v>
      </c>
      <c r="G63" s="5">
        <v>10</v>
      </c>
      <c r="H63" s="5"/>
      <c r="I63" s="5"/>
      <c r="J63" s="4">
        <f>J$30</f>
        <v>0.93524999999999991</v>
      </c>
      <c r="K63" s="5">
        <v>10</v>
      </c>
      <c r="L63" s="5" t="s">
        <v>394</v>
      </c>
      <c r="M63" s="5" t="s">
        <v>394</v>
      </c>
      <c r="N63" s="4" t="s">
        <v>394</v>
      </c>
      <c r="O63" s="5"/>
      <c r="P63" s="5" t="s">
        <v>394</v>
      </c>
      <c r="Q63" s="5" t="s">
        <v>394</v>
      </c>
      <c r="R63" s="5" t="s">
        <v>394</v>
      </c>
      <c r="S63" s="5"/>
      <c r="T63" s="5" t="s">
        <v>394</v>
      </c>
      <c r="U63" s="5" t="s">
        <v>394</v>
      </c>
      <c r="V63" s="5" t="s">
        <v>394</v>
      </c>
      <c r="W63" s="5"/>
      <c r="X63" s="5"/>
      <c r="Y63" s="5"/>
      <c r="Z63" s="4">
        <f>Z$30</f>
        <v>0.9</v>
      </c>
      <c r="AA63" s="5">
        <v>15</v>
      </c>
      <c r="AB63" s="31">
        <f t="shared" si="27"/>
        <v>0.92646297631307928</v>
      </c>
      <c r="AC63" s="32">
        <v>2476</v>
      </c>
      <c r="AD63" s="24">
        <f t="shared" si="28"/>
        <v>675.27272727272725</v>
      </c>
      <c r="AE63" s="24">
        <f>ROUND(AB63*AD63,1)</f>
        <v>625.6</v>
      </c>
      <c r="AF63" s="24">
        <f t="shared" si="29"/>
        <v>-49.672727272727229</v>
      </c>
      <c r="AG63" s="24"/>
      <c r="AH63" s="24">
        <v>215.2</v>
      </c>
      <c r="AI63" s="24">
        <v>233.5</v>
      </c>
      <c r="AJ63" s="24">
        <f t="shared" si="30"/>
        <v>176.9</v>
      </c>
      <c r="AK63" s="68"/>
      <c r="AL63" s="40"/>
      <c r="AM63" s="40"/>
      <c r="AN63" s="68"/>
      <c r="AO63" s="68"/>
      <c r="AP63" s="24">
        <f t="shared" si="31"/>
        <v>176.9</v>
      </c>
      <c r="AQ63" s="24"/>
      <c r="AR63" s="24">
        <f t="shared" si="32"/>
        <v>176.9</v>
      </c>
      <c r="AS63" s="76"/>
      <c r="AT63" s="1"/>
      <c r="AU63" s="1"/>
      <c r="AV63" s="38"/>
      <c r="AW63" s="38"/>
      <c r="AX63" s="1"/>
      <c r="AY63" s="1"/>
      <c r="AZ63" s="1"/>
      <c r="BA63" s="1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9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9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9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9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9"/>
      <c r="GH63" s="8"/>
      <c r="GI63" s="8"/>
    </row>
    <row r="64" spans="1:191" s="2" customFormat="1" ht="17.100000000000001" customHeight="1">
      <c r="A64" s="17" t="s">
        <v>47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76"/>
      <c r="AT64" s="1"/>
      <c r="AU64" s="1"/>
      <c r="AV64" s="38"/>
      <c r="AW64" s="38"/>
      <c r="AX64" s="1"/>
      <c r="AY64" s="1"/>
      <c r="AZ64" s="1"/>
      <c r="BA64" s="1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9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9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9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9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9"/>
      <c r="GH64" s="8"/>
      <c r="GI64" s="8"/>
    </row>
    <row r="65" spans="1:191" s="2" customFormat="1" ht="17.100000000000001" customHeight="1">
      <c r="A65" s="13" t="s">
        <v>48</v>
      </c>
      <c r="B65" s="24">
        <v>13119.8</v>
      </c>
      <c r="C65" s="24">
        <v>10732.3</v>
      </c>
      <c r="D65" s="4">
        <f t="shared" si="26"/>
        <v>0.81802314059665537</v>
      </c>
      <c r="E65" s="10">
        <v>15</v>
      </c>
      <c r="F65" s="5">
        <v>1</v>
      </c>
      <c r="G65" s="5">
        <v>10</v>
      </c>
      <c r="H65" s="5"/>
      <c r="I65" s="5"/>
      <c r="J65" s="4">
        <f>J$31</f>
        <v>1.0402456306093528</v>
      </c>
      <c r="K65" s="5">
        <v>10</v>
      </c>
      <c r="L65" s="5" t="s">
        <v>394</v>
      </c>
      <c r="M65" s="5" t="s">
        <v>394</v>
      </c>
      <c r="N65" s="4" t="s">
        <v>394</v>
      </c>
      <c r="O65" s="5"/>
      <c r="P65" s="5" t="s">
        <v>394</v>
      </c>
      <c r="Q65" s="5" t="s">
        <v>394</v>
      </c>
      <c r="R65" s="5" t="s">
        <v>394</v>
      </c>
      <c r="S65" s="5"/>
      <c r="T65" s="5" t="s">
        <v>394</v>
      </c>
      <c r="U65" s="5" t="s">
        <v>394</v>
      </c>
      <c r="V65" s="5" t="s">
        <v>394</v>
      </c>
      <c r="W65" s="5"/>
      <c r="X65" s="5"/>
      <c r="Y65" s="5"/>
      <c r="Z65" s="4">
        <f>Z$31</f>
        <v>1.3</v>
      </c>
      <c r="AA65" s="5">
        <v>15</v>
      </c>
      <c r="AB65" s="31">
        <f t="shared" si="27"/>
        <v>1.0434560683008671</v>
      </c>
      <c r="AC65" s="32">
        <v>57</v>
      </c>
      <c r="AD65" s="24">
        <f t="shared" si="28"/>
        <v>15.545454545454545</v>
      </c>
      <c r="AE65" s="24">
        <f t="shared" ref="AE65:AE76" si="35">ROUND(AB65*AD65,1)</f>
        <v>16.2</v>
      </c>
      <c r="AF65" s="24">
        <f t="shared" si="29"/>
        <v>0.65454545454545432</v>
      </c>
      <c r="AG65" s="24"/>
      <c r="AH65" s="24">
        <v>5.4</v>
      </c>
      <c r="AI65" s="24">
        <v>4.4000000000000004</v>
      </c>
      <c r="AJ65" s="24">
        <f t="shared" si="30"/>
        <v>6.4</v>
      </c>
      <c r="AK65" s="40"/>
      <c r="AL65" s="40"/>
      <c r="AM65" s="40"/>
      <c r="AN65" s="68"/>
      <c r="AO65" s="68"/>
      <c r="AP65" s="24">
        <f t="shared" si="31"/>
        <v>6.4</v>
      </c>
      <c r="AQ65" s="24"/>
      <c r="AR65" s="24">
        <f t="shared" si="32"/>
        <v>6.4</v>
      </c>
      <c r="AS65" s="76"/>
      <c r="AT65" s="1"/>
      <c r="AU65" s="1"/>
      <c r="AV65" s="38"/>
      <c r="AW65" s="38"/>
      <c r="AX65" s="1"/>
      <c r="AY65" s="1"/>
      <c r="AZ65" s="1"/>
      <c r="BA65" s="1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9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9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9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9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9"/>
      <c r="GH65" s="8"/>
      <c r="GI65" s="8"/>
    </row>
    <row r="66" spans="1:191" s="2" customFormat="1" ht="17.100000000000001" customHeight="1">
      <c r="A66" s="13" t="s">
        <v>49</v>
      </c>
      <c r="B66" s="24">
        <v>234.1</v>
      </c>
      <c r="C66" s="24">
        <v>1014.8</v>
      </c>
      <c r="D66" s="4">
        <f t="shared" si="26"/>
        <v>1.3</v>
      </c>
      <c r="E66" s="10">
        <v>15</v>
      </c>
      <c r="F66" s="5">
        <v>1</v>
      </c>
      <c r="G66" s="5">
        <v>10</v>
      </c>
      <c r="H66" s="5"/>
      <c r="I66" s="5"/>
      <c r="J66" s="4">
        <f t="shared" ref="J66:J75" si="36">J$31</f>
        <v>1.0402456306093528</v>
      </c>
      <c r="K66" s="5">
        <v>10</v>
      </c>
      <c r="L66" s="5" t="s">
        <v>394</v>
      </c>
      <c r="M66" s="5" t="s">
        <v>394</v>
      </c>
      <c r="N66" s="4" t="s">
        <v>394</v>
      </c>
      <c r="O66" s="5"/>
      <c r="P66" s="5" t="s">
        <v>394</v>
      </c>
      <c r="Q66" s="5" t="s">
        <v>394</v>
      </c>
      <c r="R66" s="5" t="s">
        <v>394</v>
      </c>
      <c r="S66" s="5"/>
      <c r="T66" s="5" t="s">
        <v>394</v>
      </c>
      <c r="U66" s="5" t="s">
        <v>394</v>
      </c>
      <c r="V66" s="5" t="s">
        <v>394</v>
      </c>
      <c r="W66" s="5"/>
      <c r="X66" s="5"/>
      <c r="Y66" s="5"/>
      <c r="Z66" s="4">
        <f t="shared" ref="Z66:Z75" si="37">Z$31</f>
        <v>1.3</v>
      </c>
      <c r="AA66" s="5">
        <v>15</v>
      </c>
      <c r="AB66" s="31">
        <f t="shared" si="27"/>
        <v>1.1880491261218706</v>
      </c>
      <c r="AC66" s="32">
        <v>887</v>
      </c>
      <c r="AD66" s="24">
        <f t="shared" si="28"/>
        <v>241.90909090909093</v>
      </c>
      <c r="AE66" s="24">
        <f t="shared" si="35"/>
        <v>287.39999999999998</v>
      </c>
      <c r="AF66" s="24">
        <f t="shared" si="29"/>
        <v>45.490909090909042</v>
      </c>
      <c r="AG66" s="24"/>
      <c r="AH66" s="24">
        <v>95.2</v>
      </c>
      <c r="AI66" s="24">
        <v>95.2</v>
      </c>
      <c r="AJ66" s="24">
        <f t="shared" si="30"/>
        <v>97</v>
      </c>
      <c r="AK66" s="68"/>
      <c r="AL66" s="40"/>
      <c r="AM66" s="40"/>
      <c r="AN66" s="68"/>
      <c r="AO66" s="68"/>
      <c r="AP66" s="24">
        <f t="shared" si="31"/>
        <v>97</v>
      </c>
      <c r="AQ66" s="24">
        <f>MIN(AP66,10.5)</f>
        <v>10.5</v>
      </c>
      <c r="AR66" s="24">
        <f t="shared" si="32"/>
        <v>86.5</v>
      </c>
      <c r="AS66" s="76"/>
      <c r="AT66" s="1"/>
      <c r="AU66" s="1"/>
      <c r="AV66" s="38"/>
      <c r="AW66" s="38"/>
      <c r="AX66" s="1"/>
      <c r="AY66" s="1"/>
      <c r="AZ66" s="1"/>
      <c r="BA66" s="1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9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9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9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9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9"/>
      <c r="GH66" s="8"/>
      <c r="GI66" s="8"/>
    </row>
    <row r="67" spans="1:191" s="2" customFormat="1" ht="17.100000000000001" customHeight="1">
      <c r="A67" s="13" t="s">
        <v>50</v>
      </c>
      <c r="B67" s="24">
        <v>1089.9000000000001</v>
      </c>
      <c r="C67" s="24">
        <v>1720.4</v>
      </c>
      <c r="D67" s="4">
        <f t="shared" si="26"/>
        <v>1.2378493439765115</v>
      </c>
      <c r="E67" s="10">
        <v>15</v>
      </c>
      <c r="F67" s="5">
        <v>1</v>
      </c>
      <c r="G67" s="5">
        <v>10</v>
      </c>
      <c r="H67" s="5"/>
      <c r="I67" s="5"/>
      <c r="J67" s="4">
        <f t="shared" si="36"/>
        <v>1.0402456306093528</v>
      </c>
      <c r="K67" s="5">
        <v>10</v>
      </c>
      <c r="L67" s="5" t="s">
        <v>394</v>
      </c>
      <c r="M67" s="5" t="s">
        <v>394</v>
      </c>
      <c r="N67" s="4" t="s">
        <v>394</v>
      </c>
      <c r="O67" s="5"/>
      <c r="P67" s="5" t="s">
        <v>394</v>
      </c>
      <c r="Q67" s="5" t="s">
        <v>394</v>
      </c>
      <c r="R67" s="5" t="s">
        <v>394</v>
      </c>
      <c r="S67" s="5"/>
      <c r="T67" s="5" t="s">
        <v>394</v>
      </c>
      <c r="U67" s="5" t="s">
        <v>394</v>
      </c>
      <c r="V67" s="5" t="s">
        <v>394</v>
      </c>
      <c r="W67" s="5"/>
      <c r="X67" s="5"/>
      <c r="Y67" s="5"/>
      <c r="Z67" s="4">
        <f t="shared" si="37"/>
        <v>1.3</v>
      </c>
      <c r="AA67" s="5">
        <v>15</v>
      </c>
      <c r="AB67" s="31">
        <f t="shared" si="27"/>
        <v>1.1694039293148242</v>
      </c>
      <c r="AC67" s="32">
        <v>186</v>
      </c>
      <c r="AD67" s="24">
        <f t="shared" si="28"/>
        <v>50.727272727272734</v>
      </c>
      <c r="AE67" s="24">
        <f t="shared" si="35"/>
        <v>59.3</v>
      </c>
      <c r="AF67" s="24">
        <f t="shared" si="29"/>
        <v>8.5727272727272634</v>
      </c>
      <c r="AG67" s="24"/>
      <c r="AH67" s="24">
        <v>19.7</v>
      </c>
      <c r="AI67" s="24">
        <v>19</v>
      </c>
      <c r="AJ67" s="24">
        <f t="shared" si="30"/>
        <v>20.6</v>
      </c>
      <c r="AK67" s="68"/>
      <c r="AL67" s="40"/>
      <c r="AM67" s="40"/>
      <c r="AN67" s="68"/>
      <c r="AO67" s="68"/>
      <c r="AP67" s="24">
        <f t="shared" si="31"/>
        <v>20.6</v>
      </c>
      <c r="AQ67" s="24"/>
      <c r="AR67" s="24">
        <f t="shared" si="32"/>
        <v>20.6</v>
      </c>
      <c r="AS67" s="76"/>
      <c r="AT67" s="1"/>
      <c r="AU67" s="1"/>
      <c r="AV67" s="38"/>
      <c r="AW67" s="3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9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9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9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9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9"/>
      <c r="GH67" s="8"/>
      <c r="GI67" s="8"/>
    </row>
    <row r="68" spans="1:191" s="2" customFormat="1" ht="17.100000000000001" customHeight="1">
      <c r="A68" s="13" t="s">
        <v>51</v>
      </c>
      <c r="B68" s="24">
        <v>266.8</v>
      </c>
      <c r="C68" s="24">
        <v>289.5</v>
      </c>
      <c r="D68" s="4">
        <f t="shared" si="26"/>
        <v>1.0850824587706147</v>
      </c>
      <c r="E68" s="10">
        <v>15</v>
      </c>
      <c r="F68" s="5">
        <v>1</v>
      </c>
      <c r="G68" s="5">
        <v>10</v>
      </c>
      <c r="H68" s="5"/>
      <c r="I68" s="5"/>
      <c r="J68" s="4">
        <f t="shared" si="36"/>
        <v>1.0402456306093528</v>
      </c>
      <c r="K68" s="5">
        <v>10</v>
      </c>
      <c r="L68" s="5" t="s">
        <v>394</v>
      </c>
      <c r="M68" s="5" t="s">
        <v>394</v>
      </c>
      <c r="N68" s="4" t="s">
        <v>394</v>
      </c>
      <c r="O68" s="5"/>
      <c r="P68" s="5" t="s">
        <v>394</v>
      </c>
      <c r="Q68" s="5" t="s">
        <v>394</v>
      </c>
      <c r="R68" s="5" t="s">
        <v>394</v>
      </c>
      <c r="S68" s="5"/>
      <c r="T68" s="5" t="s">
        <v>394</v>
      </c>
      <c r="U68" s="5" t="s">
        <v>394</v>
      </c>
      <c r="V68" s="5" t="s">
        <v>394</v>
      </c>
      <c r="W68" s="5"/>
      <c r="X68" s="5"/>
      <c r="Y68" s="5"/>
      <c r="Z68" s="4">
        <f t="shared" si="37"/>
        <v>1.3</v>
      </c>
      <c r="AA68" s="5">
        <v>15</v>
      </c>
      <c r="AB68" s="31">
        <f t="shared" si="27"/>
        <v>1.123573863753055</v>
      </c>
      <c r="AC68" s="32">
        <v>1399</v>
      </c>
      <c r="AD68" s="24">
        <f t="shared" si="28"/>
        <v>381.54545454545456</v>
      </c>
      <c r="AE68" s="24">
        <f t="shared" si="35"/>
        <v>428.7</v>
      </c>
      <c r="AF68" s="24">
        <f t="shared" si="29"/>
        <v>47.154545454545428</v>
      </c>
      <c r="AG68" s="24"/>
      <c r="AH68" s="24">
        <v>142.6</v>
      </c>
      <c r="AI68" s="24">
        <v>143.69999999999999</v>
      </c>
      <c r="AJ68" s="24">
        <f t="shared" si="30"/>
        <v>142.4</v>
      </c>
      <c r="AK68" s="68"/>
      <c r="AL68" s="40"/>
      <c r="AM68" s="40"/>
      <c r="AN68" s="68"/>
      <c r="AO68" s="68"/>
      <c r="AP68" s="24">
        <f t="shared" si="31"/>
        <v>142.4</v>
      </c>
      <c r="AQ68" s="24">
        <f>MIN(AP68,23.3)</f>
        <v>23.3</v>
      </c>
      <c r="AR68" s="24">
        <f t="shared" si="32"/>
        <v>119.1</v>
      </c>
      <c r="AS68" s="76"/>
      <c r="AT68" s="1"/>
      <c r="AU68" s="1"/>
      <c r="AV68" s="38"/>
      <c r="AW68" s="38"/>
      <c r="AY68" s="1"/>
      <c r="AZ68" s="1"/>
      <c r="BA68" s="1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9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9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9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9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9"/>
      <c r="GH68" s="8"/>
      <c r="GI68" s="8"/>
    </row>
    <row r="69" spans="1:191" s="2" customFormat="1" ht="17.100000000000001" customHeight="1">
      <c r="A69" s="13" t="s">
        <v>52</v>
      </c>
      <c r="B69" s="24">
        <v>319.3</v>
      </c>
      <c r="C69" s="24">
        <v>228.6</v>
      </c>
      <c r="D69" s="4">
        <f t="shared" si="26"/>
        <v>0.71594112120263076</v>
      </c>
      <c r="E69" s="10">
        <v>15</v>
      </c>
      <c r="F69" s="5">
        <v>1</v>
      </c>
      <c r="G69" s="5">
        <v>10</v>
      </c>
      <c r="H69" s="5"/>
      <c r="I69" s="5"/>
      <c r="J69" s="4">
        <f t="shared" si="36"/>
        <v>1.0402456306093528</v>
      </c>
      <c r="K69" s="5">
        <v>10</v>
      </c>
      <c r="L69" s="5" t="s">
        <v>394</v>
      </c>
      <c r="M69" s="5" t="s">
        <v>394</v>
      </c>
      <c r="N69" s="4" t="s">
        <v>394</v>
      </c>
      <c r="O69" s="5"/>
      <c r="P69" s="5" t="s">
        <v>394</v>
      </c>
      <c r="Q69" s="5" t="s">
        <v>394</v>
      </c>
      <c r="R69" s="5" t="s">
        <v>394</v>
      </c>
      <c r="S69" s="5"/>
      <c r="T69" s="5" t="s">
        <v>394</v>
      </c>
      <c r="U69" s="5" t="s">
        <v>394</v>
      </c>
      <c r="V69" s="5" t="s">
        <v>394</v>
      </c>
      <c r="W69" s="5"/>
      <c r="X69" s="5"/>
      <c r="Y69" s="5"/>
      <c r="Z69" s="4">
        <f t="shared" si="37"/>
        <v>1.3</v>
      </c>
      <c r="AA69" s="5">
        <v>15</v>
      </c>
      <c r="AB69" s="31">
        <f t="shared" si="27"/>
        <v>1.0128314624826598</v>
      </c>
      <c r="AC69" s="32">
        <v>1633</v>
      </c>
      <c r="AD69" s="24">
        <f t="shared" si="28"/>
        <v>445.36363636363637</v>
      </c>
      <c r="AE69" s="24">
        <f t="shared" si="35"/>
        <v>451.1</v>
      </c>
      <c r="AF69" s="24">
        <f t="shared" si="29"/>
        <v>5.7363636363636488</v>
      </c>
      <c r="AG69" s="24"/>
      <c r="AH69" s="24">
        <v>171.5</v>
      </c>
      <c r="AI69" s="24">
        <v>150.5</v>
      </c>
      <c r="AJ69" s="24">
        <f t="shared" si="30"/>
        <v>129.1</v>
      </c>
      <c r="AK69" s="68"/>
      <c r="AL69" s="40"/>
      <c r="AM69" s="40"/>
      <c r="AN69" s="68"/>
      <c r="AO69" s="68"/>
      <c r="AP69" s="24">
        <f t="shared" si="31"/>
        <v>129.1</v>
      </c>
      <c r="AQ69" s="24"/>
      <c r="AR69" s="24">
        <f t="shared" si="32"/>
        <v>129.1</v>
      </c>
      <c r="AS69" s="76"/>
      <c r="AT69" s="1"/>
      <c r="AU69" s="1"/>
      <c r="AV69" s="38"/>
      <c r="AW69" s="38"/>
      <c r="AX69" s="1"/>
      <c r="AY69" s="1"/>
      <c r="AZ69" s="1"/>
      <c r="BA69" s="1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9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9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9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9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9"/>
      <c r="GH69" s="8"/>
      <c r="GI69" s="8"/>
    </row>
    <row r="70" spans="1:191" s="2" customFormat="1" ht="17.100000000000001" customHeight="1">
      <c r="A70" s="13" t="s">
        <v>53</v>
      </c>
      <c r="B70" s="24">
        <v>851.7</v>
      </c>
      <c r="C70" s="24">
        <v>131.4</v>
      </c>
      <c r="D70" s="4">
        <f t="shared" si="26"/>
        <v>0.15427967594223319</v>
      </c>
      <c r="E70" s="10">
        <v>15</v>
      </c>
      <c r="F70" s="5">
        <v>1</v>
      </c>
      <c r="G70" s="5">
        <v>10</v>
      </c>
      <c r="H70" s="5"/>
      <c r="I70" s="5"/>
      <c r="J70" s="4">
        <f t="shared" si="36"/>
        <v>1.0402456306093528</v>
      </c>
      <c r="K70" s="5">
        <v>10</v>
      </c>
      <c r="L70" s="5" t="s">
        <v>394</v>
      </c>
      <c r="M70" s="5" t="s">
        <v>394</v>
      </c>
      <c r="N70" s="4" t="s">
        <v>394</v>
      </c>
      <c r="O70" s="5"/>
      <c r="P70" s="5" t="s">
        <v>394</v>
      </c>
      <c r="Q70" s="5" t="s">
        <v>394</v>
      </c>
      <c r="R70" s="5" t="s">
        <v>394</v>
      </c>
      <c r="S70" s="5"/>
      <c r="T70" s="5" t="s">
        <v>394</v>
      </c>
      <c r="U70" s="5" t="s">
        <v>394</v>
      </c>
      <c r="V70" s="5" t="s">
        <v>394</v>
      </c>
      <c r="W70" s="5"/>
      <c r="X70" s="5"/>
      <c r="Y70" s="5"/>
      <c r="Z70" s="4">
        <f t="shared" si="37"/>
        <v>1.3</v>
      </c>
      <c r="AA70" s="5">
        <v>15</v>
      </c>
      <c r="AB70" s="31">
        <f t="shared" si="27"/>
        <v>0.84433302890454054</v>
      </c>
      <c r="AC70" s="32">
        <v>1089</v>
      </c>
      <c r="AD70" s="24">
        <f t="shared" si="28"/>
        <v>297</v>
      </c>
      <c r="AE70" s="24">
        <f t="shared" si="35"/>
        <v>250.8</v>
      </c>
      <c r="AF70" s="24">
        <f t="shared" si="29"/>
        <v>-46.199999999999989</v>
      </c>
      <c r="AG70" s="24"/>
      <c r="AH70" s="24">
        <v>68.7</v>
      </c>
      <c r="AI70" s="24">
        <v>46.7</v>
      </c>
      <c r="AJ70" s="24">
        <f t="shared" si="30"/>
        <v>135.4</v>
      </c>
      <c r="AK70" s="68"/>
      <c r="AL70" s="40"/>
      <c r="AM70" s="40"/>
      <c r="AN70" s="68"/>
      <c r="AO70" s="68"/>
      <c r="AP70" s="24">
        <f t="shared" si="31"/>
        <v>135.4</v>
      </c>
      <c r="AQ70" s="24"/>
      <c r="AR70" s="24">
        <f t="shared" si="32"/>
        <v>135.4</v>
      </c>
      <c r="AS70" s="76"/>
      <c r="AT70" s="1"/>
      <c r="AU70" s="1"/>
      <c r="AV70" s="38"/>
      <c r="AW70" s="38"/>
      <c r="AX70" s="1"/>
      <c r="AY70" s="1"/>
      <c r="AZ70" s="1"/>
      <c r="BA70" s="1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9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9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9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9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9"/>
      <c r="GH70" s="8"/>
      <c r="GI70" s="8"/>
    </row>
    <row r="71" spans="1:191" s="2" customFormat="1" ht="17.100000000000001" customHeight="1">
      <c r="A71" s="13" t="s">
        <v>54</v>
      </c>
      <c r="B71" s="24">
        <v>467.6</v>
      </c>
      <c r="C71" s="24">
        <v>745.2</v>
      </c>
      <c r="D71" s="4">
        <f t="shared" si="26"/>
        <v>1.2393669803250642</v>
      </c>
      <c r="E71" s="10">
        <v>15</v>
      </c>
      <c r="F71" s="5">
        <v>1</v>
      </c>
      <c r="G71" s="5">
        <v>10</v>
      </c>
      <c r="H71" s="5"/>
      <c r="I71" s="5"/>
      <c r="J71" s="4">
        <f t="shared" si="36"/>
        <v>1.0402456306093528</v>
      </c>
      <c r="K71" s="5">
        <v>10</v>
      </c>
      <c r="L71" s="5" t="s">
        <v>394</v>
      </c>
      <c r="M71" s="5" t="s">
        <v>394</v>
      </c>
      <c r="N71" s="4" t="s">
        <v>394</v>
      </c>
      <c r="O71" s="5"/>
      <c r="P71" s="5" t="s">
        <v>394</v>
      </c>
      <c r="Q71" s="5" t="s">
        <v>394</v>
      </c>
      <c r="R71" s="5" t="s">
        <v>394</v>
      </c>
      <c r="S71" s="5"/>
      <c r="T71" s="5" t="s">
        <v>394</v>
      </c>
      <c r="U71" s="5" t="s">
        <v>394</v>
      </c>
      <c r="V71" s="5" t="s">
        <v>394</v>
      </c>
      <c r="W71" s="5"/>
      <c r="X71" s="5"/>
      <c r="Y71" s="5"/>
      <c r="Z71" s="4">
        <f t="shared" si="37"/>
        <v>1.3</v>
      </c>
      <c r="AA71" s="5">
        <v>15</v>
      </c>
      <c r="AB71" s="31">
        <f t="shared" si="27"/>
        <v>1.1698592202193898</v>
      </c>
      <c r="AC71" s="32">
        <v>1437</v>
      </c>
      <c r="AD71" s="24">
        <f t="shared" si="28"/>
        <v>391.90909090909088</v>
      </c>
      <c r="AE71" s="24">
        <f t="shared" si="35"/>
        <v>458.5</v>
      </c>
      <c r="AF71" s="24">
        <f t="shared" si="29"/>
        <v>66.590909090909122</v>
      </c>
      <c r="AG71" s="24"/>
      <c r="AH71" s="24">
        <v>151</v>
      </c>
      <c r="AI71" s="24">
        <v>148.30000000000001</v>
      </c>
      <c r="AJ71" s="24">
        <f t="shared" si="30"/>
        <v>159.19999999999999</v>
      </c>
      <c r="AK71" s="68"/>
      <c r="AL71" s="40"/>
      <c r="AM71" s="40"/>
      <c r="AN71" s="68"/>
      <c r="AO71" s="68"/>
      <c r="AP71" s="24">
        <f t="shared" si="31"/>
        <v>159.19999999999999</v>
      </c>
      <c r="AQ71" s="24"/>
      <c r="AR71" s="24">
        <f t="shared" si="32"/>
        <v>159.19999999999999</v>
      </c>
      <c r="AS71" s="76"/>
      <c r="AT71" s="1"/>
      <c r="AU71" s="1"/>
      <c r="AV71" s="38"/>
      <c r="AW71" s="38"/>
      <c r="AZ71" s="1"/>
      <c r="BA71" s="1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9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9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9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9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9"/>
      <c r="GH71" s="8"/>
      <c r="GI71" s="8"/>
    </row>
    <row r="72" spans="1:191" s="2" customFormat="1" ht="17.100000000000001" customHeight="1">
      <c r="A72" s="13" t="s">
        <v>55</v>
      </c>
      <c r="B72" s="24">
        <v>2337.6</v>
      </c>
      <c r="C72" s="24">
        <v>2317</v>
      </c>
      <c r="D72" s="4">
        <f t="shared" si="26"/>
        <v>0.99118754277891863</v>
      </c>
      <c r="E72" s="10">
        <v>15</v>
      </c>
      <c r="F72" s="5">
        <v>1</v>
      </c>
      <c r="G72" s="5">
        <v>10</v>
      </c>
      <c r="H72" s="5"/>
      <c r="I72" s="5"/>
      <c r="J72" s="4">
        <f t="shared" si="36"/>
        <v>1.0402456306093528</v>
      </c>
      <c r="K72" s="5">
        <v>10</v>
      </c>
      <c r="L72" s="5" t="s">
        <v>394</v>
      </c>
      <c r="M72" s="5" t="s">
        <v>394</v>
      </c>
      <c r="N72" s="4" t="s">
        <v>394</v>
      </c>
      <c r="O72" s="5"/>
      <c r="P72" s="5" t="s">
        <v>394</v>
      </c>
      <c r="Q72" s="5" t="s">
        <v>394</v>
      </c>
      <c r="R72" s="5" t="s">
        <v>394</v>
      </c>
      <c r="S72" s="5"/>
      <c r="T72" s="5" t="s">
        <v>394</v>
      </c>
      <c r="U72" s="5" t="s">
        <v>394</v>
      </c>
      <c r="V72" s="5" t="s">
        <v>394</v>
      </c>
      <c r="W72" s="5"/>
      <c r="X72" s="5"/>
      <c r="Y72" s="5"/>
      <c r="Z72" s="4">
        <f t="shared" si="37"/>
        <v>1.3</v>
      </c>
      <c r="AA72" s="5">
        <v>15</v>
      </c>
      <c r="AB72" s="31">
        <f t="shared" si="27"/>
        <v>1.0954053889555462</v>
      </c>
      <c r="AC72" s="32">
        <v>77</v>
      </c>
      <c r="AD72" s="24">
        <f t="shared" si="28"/>
        <v>21</v>
      </c>
      <c r="AE72" s="24">
        <f t="shared" si="35"/>
        <v>23</v>
      </c>
      <c r="AF72" s="24">
        <f t="shared" si="29"/>
        <v>2</v>
      </c>
      <c r="AG72" s="24"/>
      <c r="AH72" s="24">
        <v>7.4</v>
      </c>
      <c r="AI72" s="24">
        <v>7.9</v>
      </c>
      <c r="AJ72" s="24">
        <f t="shared" si="30"/>
        <v>7.7</v>
      </c>
      <c r="AK72" s="40"/>
      <c r="AL72" s="40"/>
      <c r="AM72" s="40"/>
      <c r="AN72" s="68"/>
      <c r="AO72" s="68"/>
      <c r="AP72" s="24">
        <f t="shared" si="31"/>
        <v>7.7</v>
      </c>
      <c r="AQ72" s="24"/>
      <c r="AR72" s="24">
        <f t="shared" si="32"/>
        <v>7.7</v>
      </c>
      <c r="AS72" s="76"/>
      <c r="AT72" s="1"/>
      <c r="AU72" s="1"/>
      <c r="AV72" s="38"/>
      <c r="AW72" s="38"/>
      <c r="AX72" s="1"/>
      <c r="AY72" s="1"/>
      <c r="AZ72" s="1"/>
      <c r="BA72" s="1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9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9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9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9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9"/>
      <c r="GH72" s="8"/>
      <c r="GI72" s="8"/>
    </row>
    <row r="73" spans="1:191" s="2" customFormat="1" ht="17.100000000000001" customHeight="1">
      <c r="A73" s="13" t="s">
        <v>56</v>
      </c>
      <c r="B73" s="24">
        <v>603.6</v>
      </c>
      <c r="C73" s="24">
        <v>796</v>
      </c>
      <c r="D73" s="4">
        <f t="shared" si="26"/>
        <v>1.2118754141815771</v>
      </c>
      <c r="E73" s="10">
        <v>15</v>
      </c>
      <c r="F73" s="5">
        <v>1</v>
      </c>
      <c r="G73" s="5">
        <v>10</v>
      </c>
      <c r="H73" s="5"/>
      <c r="I73" s="5"/>
      <c r="J73" s="4">
        <f t="shared" si="36"/>
        <v>1.0402456306093528</v>
      </c>
      <c r="K73" s="5">
        <v>10</v>
      </c>
      <c r="L73" s="5" t="s">
        <v>394</v>
      </c>
      <c r="M73" s="5" t="s">
        <v>394</v>
      </c>
      <c r="N73" s="4" t="s">
        <v>394</v>
      </c>
      <c r="O73" s="5"/>
      <c r="P73" s="5" t="s">
        <v>394</v>
      </c>
      <c r="Q73" s="5" t="s">
        <v>394</v>
      </c>
      <c r="R73" s="5" t="s">
        <v>394</v>
      </c>
      <c r="S73" s="5"/>
      <c r="T73" s="5" t="s">
        <v>394</v>
      </c>
      <c r="U73" s="5" t="s">
        <v>394</v>
      </c>
      <c r="V73" s="5" t="s">
        <v>394</v>
      </c>
      <c r="W73" s="5"/>
      <c r="X73" s="5"/>
      <c r="Y73" s="5"/>
      <c r="Z73" s="4">
        <f t="shared" si="37"/>
        <v>1.3</v>
      </c>
      <c r="AA73" s="5">
        <v>15</v>
      </c>
      <c r="AB73" s="31">
        <f t="shared" si="27"/>
        <v>1.1616117503763437</v>
      </c>
      <c r="AC73" s="32">
        <v>852</v>
      </c>
      <c r="AD73" s="24">
        <f t="shared" si="28"/>
        <v>232.36363636363637</v>
      </c>
      <c r="AE73" s="24">
        <f t="shared" si="35"/>
        <v>269.89999999999998</v>
      </c>
      <c r="AF73" s="24">
        <f t="shared" si="29"/>
        <v>37.536363636363603</v>
      </c>
      <c r="AG73" s="24"/>
      <c r="AH73" s="24">
        <v>80.3</v>
      </c>
      <c r="AI73" s="24">
        <v>89.6</v>
      </c>
      <c r="AJ73" s="24">
        <f t="shared" si="30"/>
        <v>100</v>
      </c>
      <c r="AK73" s="68"/>
      <c r="AL73" s="40"/>
      <c r="AM73" s="40"/>
      <c r="AN73" s="68"/>
      <c r="AO73" s="68"/>
      <c r="AP73" s="24">
        <f t="shared" si="31"/>
        <v>100</v>
      </c>
      <c r="AQ73" s="24"/>
      <c r="AR73" s="24">
        <f t="shared" si="32"/>
        <v>100</v>
      </c>
      <c r="AS73" s="76"/>
      <c r="AT73" s="1"/>
      <c r="AU73" s="1"/>
      <c r="AV73" s="38"/>
      <c r="AW73" s="38"/>
      <c r="AX73" s="1"/>
      <c r="AY73" s="1"/>
      <c r="AZ73" s="1"/>
      <c r="BA73" s="1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9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9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9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9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9"/>
      <c r="GH73" s="8"/>
      <c r="GI73" s="8"/>
    </row>
    <row r="74" spans="1:191" s="2" customFormat="1" ht="17.100000000000001" customHeight="1">
      <c r="A74" s="13" t="s">
        <v>57</v>
      </c>
      <c r="B74" s="24">
        <v>179.4</v>
      </c>
      <c r="C74" s="24">
        <v>404.2</v>
      </c>
      <c r="D74" s="4">
        <f t="shared" si="26"/>
        <v>1.3</v>
      </c>
      <c r="E74" s="10">
        <v>15</v>
      </c>
      <c r="F74" s="5">
        <v>1</v>
      </c>
      <c r="G74" s="5">
        <v>10</v>
      </c>
      <c r="H74" s="5"/>
      <c r="I74" s="5"/>
      <c r="J74" s="4">
        <f t="shared" si="36"/>
        <v>1.0402456306093528</v>
      </c>
      <c r="K74" s="5">
        <v>10</v>
      </c>
      <c r="L74" s="5" t="s">
        <v>394</v>
      </c>
      <c r="M74" s="5" t="s">
        <v>394</v>
      </c>
      <c r="N74" s="4" t="s">
        <v>394</v>
      </c>
      <c r="O74" s="5"/>
      <c r="P74" s="5" t="s">
        <v>394</v>
      </c>
      <c r="Q74" s="5" t="s">
        <v>394</v>
      </c>
      <c r="R74" s="5" t="s">
        <v>394</v>
      </c>
      <c r="S74" s="5"/>
      <c r="T74" s="5" t="s">
        <v>394</v>
      </c>
      <c r="U74" s="5" t="s">
        <v>394</v>
      </c>
      <c r="V74" s="5" t="s">
        <v>394</v>
      </c>
      <c r="W74" s="5"/>
      <c r="X74" s="5"/>
      <c r="Y74" s="5"/>
      <c r="Z74" s="4">
        <f t="shared" si="37"/>
        <v>1.3</v>
      </c>
      <c r="AA74" s="5">
        <v>15</v>
      </c>
      <c r="AB74" s="31">
        <f t="shared" si="27"/>
        <v>1.1880491261218706</v>
      </c>
      <c r="AC74" s="32">
        <v>974</v>
      </c>
      <c r="AD74" s="24">
        <f t="shared" si="28"/>
        <v>265.63636363636363</v>
      </c>
      <c r="AE74" s="24">
        <f t="shared" si="35"/>
        <v>315.60000000000002</v>
      </c>
      <c r="AF74" s="24">
        <f t="shared" si="29"/>
        <v>49.963636363636397</v>
      </c>
      <c r="AG74" s="24"/>
      <c r="AH74" s="24">
        <v>104.5</v>
      </c>
      <c r="AI74" s="24">
        <v>68.099999999999994</v>
      </c>
      <c r="AJ74" s="24">
        <f t="shared" si="30"/>
        <v>143</v>
      </c>
      <c r="AK74" s="68"/>
      <c r="AL74" s="40"/>
      <c r="AM74" s="40"/>
      <c r="AN74" s="68"/>
      <c r="AO74" s="68"/>
      <c r="AP74" s="24">
        <f t="shared" si="31"/>
        <v>143</v>
      </c>
      <c r="AQ74" s="24">
        <f>MIN(AP74,0.1)</f>
        <v>0.1</v>
      </c>
      <c r="AR74" s="24">
        <f t="shared" si="32"/>
        <v>142.9</v>
      </c>
      <c r="AS74" s="76"/>
      <c r="AT74" s="1"/>
      <c r="AU74" s="1"/>
      <c r="AV74" s="38"/>
      <c r="AW74" s="38"/>
      <c r="AX74" s="1"/>
      <c r="AY74" s="1"/>
      <c r="AZ74" s="1"/>
      <c r="BA74" s="1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9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9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9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9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9"/>
      <c r="GH74" s="8"/>
      <c r="GI74" s="8"/>
    </row>
    <row r="75" spans="1:191" s="2" customFormat="1" ht="17.100000000000001" customHeight="1">
      <c r="A75" s="13" t="s">
        <v>58</v>
      </c>
      <c r="B75" s="24">
        <v>185.9</v>
      </c>
      <c r="C75" s="24">
        <v>658.8</v>
      </c>
      <c r="D75" s="4">
        <f t="shared" si="26"/>
        <v>1.3</v>
      </c>
      <c r="E75" s="10">
        <v>15</v>
      </c>
      <c r="F75" s="5">
        <v>1</v>
      </c>
      <c r="G75" s="5">
        <v>10</v>
      </c>
      <c r="H75" s="5"/>
      <c r="I75" s="5"/>
      <c r="J75" s="4">
        <f t="shared" si="36"/>
        <v>1.0402456306093528</v>
      </c>
      <c r="K75" s="5">
        <v>10</v>
      </c>
      <c r="L75" s="5" t="s">
        <v>394</v>
      </c>
      <c r="M75" s="5" t="s">
        <v>394</v>
      </c>
      <c r="N75" s="4" t="s">
        <v>394</v>
      </c>
      <c r="O75" s="5"/>
      <c r="P75" s="5" t="s">
        <v>394</v>
      </c>
      <c r="Q75" s="5" t="s">
        <v>394</v>
      </c>
      <c r="R75" s="5" t="s">
        <v>394</v>
      </c>
      <c r="S75" s="5"/>
      <c r="T75" s="5" t="s">
        <v>394</v>
      </c>
      <c r="U75" s="5" t="s">
        <v>394</v>
      </c>
      <c r="V75" s="5" t="s">
        <v>394</v>
      </c>
      <c r="W75" s="5"/>
      <c r="X75" s="5"/>
      <c r="Y75" s="5"/>
      <c r="Z75" s="4">
        <f t="shared" si="37"/>
        <v>1.3</v>
      </c>
      <c r="AA75" s="5">
        <v>15</v>
      </c>
      <c r="AB75" s="31">
        <f t="shared" si="27"/>
        <v>1.1880491261218706</v>
      </c>
      <c r="AC75" s="32">
        <v>1010</v>
      </c>
      <c r="AD75" s="24">
        <f t="shared" si="28"/>
        <v>275.45454545454544</v>
      </c>
      <c r="AE75" s="24">
        <f t="shared" si="35"/>
        <v>327.3</v>
      </c>
      <c r="AF75" s="24">
        <f t="shared" si="29"/>
        <v>51.845454545454572</v>
      </c>
      <c r="AG75" s="24"/>
      <c r="AH75" s="24">
        <v>95</v>
      </c>
      <c r="AI75" s="24">
        <v>108.3</v>
      </c>
      <c r="AJ75" s="24">
        <f t="shared" si="30"/>
        <v>124</v>
      </c>
      <c r="AK75" s="68"/>
      <c r="AL75" s="40"/>
      <c r="AM75" s="40"/>
      <c r="AN75" s="68"/>
      <c r="AO75" s="68"/>
      <c r="AP75" s="24">
        <f t="shared" si="31"/>
        <v>124</v>
      </c>
      <c r="AQ75" s="24">
        <f>MIN(AP75,29.7)</f>
        <v>29.7</v>
      </c>
      <c r="AR75" s="24">
        <f t="shared" si="32"/>
        <v>94.3</v>
      </c>
      <c r="AS75" s="76"/>
      <c r="AT75" s="1"/>
      <c r="AU75" s="1"/>
      <c r="AV75" s="38"/>
      <c r="AW75" s="38"/>
      <c r="AX75" s="1"/>
      <c r="AY75" s="1"/>
      <c r="AZ75" s="1"/>
      <c r="BA75" s="1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9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9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9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9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9"/>
      <c r="GH75" s="8"/>
      <c r="GI75" s="8"/>
    </row>
    <row r="76" spans="1:191" s="2" customFormat="1" ht="17.100000000000001" customHeight="1">
      <c r="A76" s="13" t="s">
        <v>59</v>
      </c>
      <c r="B76" s="24">
        <v>286.2</v>
      </c>
      <c r="C76" s="24">
        <v>0</v>
      </c>
      <c r="D76" s="4">
        <f t="shared" si="26"/>
        <v>0</v>
      </c>
      <c r="E76" s="10">
        <v>15</v>
      </c>
      <c r="F76" s="5">
        <v>1</v>
      </c>
      <c r="G76" s="5">
        <v>10</v>
      </c>
      <c r="H76" s="5"/>
      <c r="I76" s="5"/>
      <c r="J76" s="4">
        <f>J$31</f>
        <v>1.0402456306093528</v>
      </c>
      <c r="K76" s="5">
        <v>10</v>
      </c>
      <c r="L76" s="5" t="s">
        <v>394</v>
      </c>
      <c r="M76" s="5" t="s">
        <v>394</v>
      </c>
      <c r="N76" s="4" t="s">
        <v>394</v>
      </c>
      <c r="O76" s="5"/>
      <c r="P76" s="5" t="s">
        <v>394</v>
      </c>
      <c r="Q76" s="5" t="s">
        <v>394</v>
      </c>
      <c r="R76" s="5" t="s">
        <v>394</v>
      </c>
      <c r="S76" s="5"/>
      <c r="T76" s="5" t="s">
        <v>394</v>
      </c>
      <c r="U76" s="5" t="s">
        <v>394</v>
      </c>
      <c r="V76" s="5" t="s">
        <v>394</v>
      </c>
      <c r="W76" s="5"/>
      <c r="X76" s="5"/>
      <c r="Y76" s="5"/>
      <c r="Z76" s="4">
        <f>Z$31</f>
        <v>1.3</v>
      </c>
      <c r="AA76" s="5">
        <v>15</v>
      </c>
      <c r="AB76" s="31">
        <f t="shared" si="27"/>
        <v>0.79804912612187051</v>
      </c>
      <c r="AC76" s="32">
        <v>1421</v>
      </c>
      <c r="AD76" s="24">
        <f t="shared" si="28"/>
        <v>387.54545454545456</v>
      </c>
      <c r="AE76" s="24">
        <f t="shared" si="35"/>
        <v>309.3</v>
      </c>
      <c r="AF76" s="24">
        <f t="shared" si="29"/>
        <v>-78.24545454545455</v>
      </c>
      <c r="AG76" s="24"/>
      <c r="AH76" s="24">
        <v>76.099999999999994</v>
      </c>
      <c r="AI76" s="24">
        <v>152.4</v>
      </c>
      <c r="AJ76" s="24">
        <f t="shared" si="30"/>
        <v>80.8</v>
      </c>
      <c r="AK76" s="68"/>
      <c r="AL76" s="40"/>
      <c r="AM76" s="40"/>
      <c r="AN76" s="68"/>
      <c r="AO76" s="68"/>
      <c r="AP76" s="24">
        <f t="shared" si="31"/>
        <v>80.8</v>
      </c>
      <c r="AQ76" s="24">
        <f>MIN(AP76,8.5)</f>
        <v>8.5</v>
      </c>
      <c r="AR76" s="24">
        <f t="shared" si="32"/>
        <v>72.3</v>
      </c>
      <c r="AS76" s="76"/>
      <c r="AT76" s="1"/>
      <c r="AU76" s="1"/>
      <c r="AV76" s="38"/>
      <c r="AW76" s="38"/>
      <c r="AX76" s="1"/>
      <c r="AY76" s="1"/>
      <c r="AZ76" s="1"/>
      <c r="BA76" s="1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9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9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9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9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9"/>
      <c r="GH76" s="8"/>
      <c r="GI76" s="8"/>
    </row>
    <row r="77" spans="1:191" s="2" customFormat="1" ht="17.100000000000001" customHeight="1">
      <c r="A77" s="17" t="s">
        <v>60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76"/>
      <c r="AT77" s="1"/>
      <c r="AU77" s="1"/>
      <c r="AV77" s="38"/>
      <c r="AW77" s="38"/>
      <c r="AX77" s="1"/>
      <c r="AY77" s="1"/>
      <c r="AZ77" s="1"/>
      <c r="BA77" s="1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9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9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9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9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9"/>
      <c r="GH77" s="8"/>
      <c r="GI77" s="8"/>
    </row>
    <row r="78" spans="1:191" s="2" customFormat="1" ht="17.100000000000001" customHeight="1">
      <c r="A78" s="13" t="s">
        <v>61</v>
      </c>
      <c r="B78" s="24">
        <v>1483.4</v>
      </c>
      <c r="C78" s="24">
        <v>1453.9</v>
      </c>
      <c r="D78" s="4">
        <f t="shared" si="26"/>
        <v>0.98011325333692867</v>
      </c>
      <c r="E78" s="10">
        <v>15</v>
      </c>
      <c r="F78" s="5">
        <v>1</v>
      </c>
      <c r="G78" s="5">
        <v>10</v>
      </c>
      <c r="H78" s="5"/>
      <c r="I78" s="5"/>
      <c r="J78" s="4">
        <f>J$32</f>
        <v>0.95343173431734329</v>
      </c>
      <c r="K78" s="5">
        <v>10</v>
      </c>
      <c r="L78" s="5" t="s">
        <v>394</v>
      </c>
      <c r="M78" s="5" t="s">
        <v>394</v>
      </c>
      <c r="N78" s="4" t="s">
        <v>394</v>
      </c>
      <c r="O78" s="5"/>
      <c r="P78" s="5" t="s">
        <v>394</v>
      </c>
      <c r="Q78" s="5" t="s">
        <v>394</v>
      </c>
      <c r="R78" s="5" t="s">
        <v>394</v>
      </c>
      <c r="S78" s="5"/>
      <c r="T78" s="5" t="s">
        <v>394</v>
      </c>
      <c r="U78" s="5" t="s">
        <v>394</v>
      </c>
      <c r="V78" s="5" t="s">
        <v>394</v>
      </c>
      <c r="W78" s="5"/>
      <c r="X78" s="5"/>
      <c r="Y78" s="5"/>
      <c r="Z78" s="4">
        <f>Z$32</f>
        <v>1.3</v>
      </c>
      <c r="AA78" s="5">
        <v>15</v>
      </c>
      <c r="AB78" s="31">
        <f t="shared" si="27"/>
        <v>1.0747203228645472</v>
      </c>
      <c r="AC78" s="32">
        <v>2289</v>
      </c>
      <c r="AD78" s="24">
        <f t="shared" si="28"/>
        <v>624.27272727272725</v>
      </c>
      <c r="AE78" s="24">
        <f>ROUND(AB78*AD78,1)</f>
        <v>670.9</v>
      </c>
      <c r="AF78" s="24">
        <f t="shared" si="29"/>
        <v>46.627272727272725</v>
      </c>
      <c r="AG78" s="24"/>
      <c r="AH78" s="24">
        <v>206.3</v>
      </c>
      <c r="AI78" s="24">
        <v>224.3</v>
      </c>
      <c r="AJ78" s="24">
        <f t="shared" si="30"/>
        <v>240.3</v>
      </c>
      <c r="AK78" s="68"/>
      <c r="AL78" s="40"/>
      <c r="AM78" s="40"/>
      <c r="AN78" s="68"/>
      <c r="AO78" s="68"/>
      <c r="AP78" s="24">
        <f t="shared" si="31"/>
        <v>240.3</v>
      </c>
      <c r="AQ78" s="24"/>
      <c r="AR78" s="24">
        <f t="shared" si="32"/>
        <v>240.3</v>
      </c>
      <c r="AS78" s="76"/>
      <c r="AT78" s="1"/>
      <c r="AU78" s="1"/>
      <c r="AV78" s="38"/>
      <c r="AW78" s="38"/>
      <c r="AX78" s="1"/>
      <c r="AY78" s="1"/>
      <c r="AZ78" s="1"/>
      <c r="BA78" s="1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9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9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9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9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9"/>
      <c r="GH78" s="8"/>
      <c r="GI78" s="8"/>
    </row>
    <row r="79" spans="1:191" s="2" customFormat="1" ht="17.100000000000001" customHeight="1">
      <c r="A79" s="13" t="s">
        <v>62</v>
      </c>
      <c r="B79" s="24">
        <v>3374.4</v>
      </c>
      <c r="C79" s="24">
        <v>2571.4</v>
      </c>
      <c r="D79" s="4">
        <f t="shared" si="26"/>
        <v>0.76203176861071598</v>
      </c>
      <c r="E79" s="10">
        <v>15</v>
      </c>
      <c r="F79" s="5">
        <v>1</v>
      </c>
      <c r="G79" s="5">
        <v>10</v>
      </c>
      <c r="H79" s="5"/>
      <c r="I79" s="5"/>
      <c r="J79" s="4">
        <f t="shared" ref="J79:J82" si="38">J$32</f>
        <v>0.95343173431734329</v>
      </c>
      <c r="K79" s="5">
        <v>10</v>
      </c>
      <c r="L79" s="5" t="s">
        <v>394</v>
      </c>
      <c r="M79" s="5" t="s">
        <v>394</v>
      </c>
      <c r="N79" s="4" t="s">
        <v>394</v>
      </c>
      <c r="O79" s="5"/>
      <c r="P79" s="5" t="s">
        <v>394</v>
      </c>
      <c r="Q79" s="5" t="s">
        <v>394</v>
      </c>
      <c r="R79" s="5" t="s">
        <v>394</v>
      </c>
      <c r="S79" s="5"/>
      <c r="T79" s="5" t="s">
        <v>394</v>
      </c>
      <c r="U79" s="5" t="s">
        <v>394</v>
      </c>
      <c r="V79" s="5" t="s">
        <v>394</v>
      </c>
      <c r="W79" s="5"/>
      <c r="X79" s="5"/>
      <c r="Y79" s="5"/>
      <c r="Z79" s="4">
        <f t="shared" ref="Z79:Z82" si="39">Z$32</f>
        <v>1.3</v>
      </c>
      <c r="AA79" s="5">
        <v>15</v>
      </c>
      <c r="AB79" s="31">
        <f t="shared" si="27"/>
        <v>1.0092958774466834</v>
      </c>
      <c r="AC79" s="32">
        <v>1814</v>
      </c>
      <c r="AD79" s="24">
        <f t="shared" si="28"/>
        <v>494.72727272727275</v>
      </c>
      <c r="AE79" s="24">
        <f>ROUND(AB79*AD79,1)</f>
        <v>499.3</v>
      </c>
      <c r="AF79" s="24">
        <f t="shared" si="29"/>
        <v>4.5727272727272634</v>
      </c>
      <c r="AG79" s="24"/>
      <c r="AH79" s="24">
        <v>184.9</v>
      </c>
      <c r="AI79" s="24">
        <v>132.6</v>
      </c>
      <c r="AJ79" s="24">
        <f t="shared" si="30"/>
        <v>181.8</v>
      </c>
      <c r="AK79" s="68"/>
      <c r="AL79" s="40"/>
      <c r="AM79" s="40"/>
      <c r="AN79" s="68"/>
      <c r="AO79" s="68"/>
      <c r="AP79" s="24">
        <f t="shared" si="31"/>
        <v>181.8</v>
      </c>
      <c r="AQ79" s="24"/>
      <c r="AR79" s="24">
        <f t="shared" si="32"/>
        <v>181.8</v>
      </c>
      <c r="AS79" s="76"/>
      <c r="AT79" s="1"/>
      <c r="AU79" s="1"/>
      <c r="AV79" s="38"/>
      <c r="AW79" s="38"/>
      <c r="AX79" s="1"/>
      <c r="AY79" s="1"/>
      <c r="AZ79" s="1"/>
      <c r="BA79" s="1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9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9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9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9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9"/>
      <c r="GH79" s="8"/>
      <c r="GI79" s="8"/>
    </row>
    <row r="80" spans="1:191" s="2" customFormat="1" ht="17.100000000000001" customHeight="1">
      <c r="A80" s="13" t="s">
        <v>63</v>
      </c>
      <c r="B80" s="24">
        <v>902</v>
      </c>
      <c r="C80" s="24">
        <v>480.3</v>
      </c>
      <c r="D80" s="4">
        <f t="shared" si="26"/>
        <v>0.53248337028824833</v>
      </c>
      <c r="E80" s="10">
        <v>15</v>
      </c>
      <c r="F80" s="5">
        <v>1</v>
      </c>
      <c r="G80" s="5">
        <v>10</v>
      </c>
      <c r="H80" s="5"/>
      <c r="I80" s="5"/>
      <c r="J80" s="4">
        <f t="shared" si="38"/>
        <v>0.95343173431734329</v>
      </c>
      <c r="K80" s="5">
        <v>10</v>
      </c>
      <c r="L80" s="5" t="s">
        <v>394</v>
      </c>
      <c r="M80" s="5" t="s">
        <v>394</v>
      </c>
      <c r="N80" s="4" t="s">
        <v>394</v>
      </c>
      <c r="O80" s="5"/>
      <c r="P80" s="5" t="s">
        <v>394</v>
      </c>
      <c r="Q80" s="5" t="s">
        <v>394</v>
      </c>
      <c r="R80" s="5" t="s">
        <v>394</v>
      </c>
      <c r="S80" s="5"/>
      <c r="T80" s="5" t="s">
        <v>394</v>
      </c>
      <c r="U80" s="5" t="s">
        <v>394</v>
      </c>
      <c r="V80" s="5" t="s">
        <v>394</v>
      </c>
      <c r="W80" s="5"/>
      <c r="X80" s="5"/>
      <c r="Y80" s="5"/>
      <c r="Z80" s="4">
        <f t="shared" si="39"/>
        <v>1.3</v>
      </c>
      <c r="AA80" s="5">
        <v>15</v>
      </c>
      <c r="AB80" s="31">
        <f t="shared" si="27"/>
        <v>0.94043135794994315</v>
      </c>
      <c r="AC80" s="32">
        <v>2179</v>
      </c>
      <c r="AD80" s="24">
        <f t="shared" si="28"/>
        <v>594.27272727272725</v>
      </c>
      <c r="AE80" s="24">
        <f>ROUND(AB80*AD80,1)</f>
        <v>558.9</v>
      </c>
      <c r="AF80" s="24">
        <f t="shared" si="29"/>
        <v>-35.372727272727275</v>
      </c>
      <c r="AG80" s="24"/>
      <c r="AH80" s="24">
        <v>120.2</v>
      </c>
      <c r="AI80" s="24">
        <v>99.6</v>
      </c>
      <c r="AJ80" s="24">
        <f t="shared" si="30"/>
        <v>339.1</v>
      </c>
      <c r="AK80" s="68"/>
      <c r="AL80" s="40"/>
      <c r="AM80" s="40"/>
      <c r="AN80" s="68"/>
      <c r="AO80" s="68"/>
      <c r="AP80" s="24">
        <f t="shared" si="31"/>
        <v>339.1</v>
      </c>
      <c r="AQ80" s="24"/>
      <c r="AR80" s="24">
        <f t="shared" si="32"/>
        <v>339.1</v>
      </c>
      <c r="AS80" s="76"/>
      <c r="AT80" s="1"/>
      <c r="AU80" s="1"/>
      <c r="AV80" s="38"/>
      <c r="AW80" s="38"/>
      <c r="AX80" s="1"/>
      <c r="AY80" s="1"/>
      <c r="AZ80" s="1"/>
      <c r="BA80" s="1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9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9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9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9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9"/>
      <c r="GH80" s="8"/>
      <c r="GI80" s="8"/>
    </row>
    <row r="81" spans="1:191" s="2" customFormat="1" ht="17.100000000000001" customHeight="1">
      <c r="A81" s="13" t="s">
        <v>64</v>
      </c>
      <c r="B81" s="24">
        <v>1499.8</v>
      </c>
      <c r="C81" s="24">
        <v>2317</v>
      </c>
      <c r="D81" s="4">
        <f t="shared" si="26"/>
        <v>1.2344872649686625</v>
      </c>
      <c r="E81" s="10">
        <v>15</v>
      </c>
      <c r="F81" s="5">
        <v>1</v>
      </c>
      <c r="G81" s="5">
        <v>10</v>
      </c>
      <c r="H81" s="5"/>
      <c r="I81" s="5"/>
      <c r="J81" s="4">
        <f t="shared" si="38"/>
        <v>0.95343173431734329</v>
      </c>
      <c r="K81" s="5">
        <v>10</v>
      </c>
      <c r="L81" s="5" t="s">
        <v>394</v>
      </c>
      <c r="M81" s="5" t="s">
        <v>394</v>
      </c>
      <c r="N81" s="4" t="s">
        <v>394</v>
      </c>
      <c r="O81" s="5"/>
      <c r="P81" s="5" t="s">
        <v>394</v>
      </c>
      <c r="Q81" s="5" t="s">
        <v>394</v>
      </c>
      <c r="R81" s="5" t="s">
        <v>394</v>
      </c>
      <c r="S81" s="5"/>
      <c r="T81" s="5" t="s">
        <v>394</v>
      </c>
      <c r="U81" s="5" t="s">
        <v>394</v>
      </c>
      <c r="V81" s="5" t="s">
        <v>394</v>
      </c>
      <c r="W81" s="5"/>
      <c r="X81" s="5"/>
      <c r="Y81" s="5"/>
      <c r="Z81" s="4">
        <f t="shared" si="39"/>
        <v>1.3</v>
      </c>
      <c r="AA81" s="5">
        <v>15</v>
      </c>
      <c r="AB81" s="31">
        <f t="shared" si="27"/>
        <v>1.1510325263540673</v>
      </c>
      <c r="AC81" s="32">
        <v>972</v>
      </c>
      <c r="AD81" s="24">
        <f t="shared" si="28"/>
        <v>265.09090909090907</v>
      </c>
      <c r="AE81" s="24">
        <f>ROUND(AB81*AD81,1)</f>
        <v>305.10000000000002</v>
      </c>
      <c r="AF81" s="24">
        <f t="shared" si="29"/>
        <v>40.009090909090958</v>
      </c>
      <c r="AG81" s="24"/>
      <c r="AH81" s="24">
        <v>97.8</v>
      </c>
      <c r="AI81" s="24">
        <v>99.3</v>
      </c>
      <c r="AJ81" s="24">
        <f t="shared" si="30"/>
        <v>108</v>
      </c>
      <c r="AK81" s="40"/>
      <c r="AL81" s="40"/>
      <c r="AM81" s="40"/>
      <c r="AN81" s="68"/>
      <c r="AO81" s="68"/>
      <c r="AP81" s="24">
        <f t="shared" si="31"/>
        <v>108</v>
      </c>
      <c r="AQ81" s="24"/>
      <c r="AR81" s="24">
        <f t="shared" si="32"/>
        <v>108</v>
      </c>
      <c r="AS81" s="76"/>
      <c r="AT81" s="1"/>
      <c r="AU81" s="1"/>
      <c r="AV81" s="38"/>
      <c r="AW81" s="38"/>
      <c r="AX81" s="1"/>
      <c r="AY81" s="1"/>
      <c r="AZ81" s="1"/>
      <c r="BA81" s="1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9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9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9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9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9"/>
      <c r="GH81" s="8"/>
      <c r="GI81" s="8"/>
    </row>
    <row r="82" spans="1:191" s="2" customFormat="1" ht="17.100000000000001" customHeight="1">
      <c r="A82" s="13" t="s">
        <v>65</v>
      </c>
      <c r="B82" s="24">
        <v>329.1</v>
      </c>
      <c r="C82" s="24">
        <v>237.7</v>
      </c>
      <c r="D82" s="4">
        <f t="shared" si="26"/>
        <v>0.72227286539045876</v>
      </c>
      <c r="E82" s="10">
        <v>15</v>
      </c>
      <c r="F82" s="5">
        <v>1</v>
      </c>
      <c r="G82" s="5">
        <v>10</v>
      </c>
      <c r="H82" s="5"/>
      <c r="I82" s="5"/>
      <c r="J82" s="4">
        <f t="shared" si="38"/>
        <v>0.95343173431734329</v>
      </c>
      <c r="K82" s="5">
        <v>10</v>
      </c>
      <c r="L82" s="5" t="s">
        <v>394</v>
      </c>
      <c r="M82" s="5" t="s">
        <v>394</v>
      </c>
      <c r="N82" s="4" t="s">
        <v>394</v>
      </c>
      <c r="O82" s="5"/>
      <c r="P82" s="5" t="s">
        <v>394</v>
      </c>
      <c r="Q82" s="5" t="s">
        <v>394</v>
      </c>
      <c r="R82" s="5" t="s">
        <v>394</v>
      </c>
      <c r="S82" s="5"/>
      <c r="T82" s="5" t="s">
        <v>394</v>
      </c>
      <c r="U82" s="5" t="s">
        <v>394</v>
      </c>
      <c r="V82" s="5" t="s">
        <v>394</v>
      </c>
      <c r="W82" s="5"/>
      <c r="X82" s="5"/>
      <c r="Y82" s="5"/>
      <c r="Z82" s="4">
        <f t="shared" si="39"/>
        <v>1.3</v>
      </c>
      <c r="AA82" s="5">
        <v>15</v>
      </c>
      <c r="AB82" s="31">
        <f t="shared" si="27"/>
        <v>0.99736820648060631</v>
      </c>
      <c r="AC82" s="32">
        <v>2602</v>
      </c>
      <c r="AD82" s="24">
        <f t="shared" si="28"/>
        <v>709.63636363636363</v>
      </c>
      <c r="AE82" s="24">
        <f>ROUND(AB82*AD82,1)</f>
        <v>707.8</v>
      </c>
      <c r="AF82" s="24">
        <f t="shared" si="29"/>
        <v>-1.8363636363636715</v>
      </c>
      <c r="AG82" s="24"/>
      <c r="AH82" s="24">
        <v>233.6</v>
      </c>
      <c r="AI82" s="24">
        <v>164.5</v>
      </c>
      <c r="AJ82" s="24">
        <f t="shared" si="30"/>
        <v>309.7</v>
      </c>
      <c r="AK82" s="68"/>
      <c r="AL82" s="40"/>
      <c r="AM82" s="40"/>
      <c r="AN82" s="68"/>
      <c r="AO82" s="68"/>
      <c r="AP82" s="24">
        <f t="shared" si="31"/>
        <v>309.7</v>
      </c>
      <c r="AQ82" s="24"/>
      <c r="AR82" s="24">
        <f t="shared" si="32"/>
        <v>309.7</v>
      </c>
      <c r="AS82" s="76"/>
      <c r="AT82" s="1"/>
      <c r="AU82" s="1"/>
      <c r="AV82" s="38"/>
      <c r="AW82" s="38"/>
      <c r="AX82" s="1"/>
      <c r="AY82" s="1"/>
      <c r="AZ82" s="1"/>
      <c r="BA82" s="1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9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9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9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9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9"/>
      <c r="GH82" s="8"/>
      <c r="GI82" s="8"/>
    </row>
    <row r="83" spans="1:191" s="2" customFormat="1" ht="17.100000000000001" customHeight="1">
      <c r="A83" s="17" t="s">
        <v>66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76"/>
      <c r="AT83" s="1"/>
      <c r="AU83" s="1"/>
      <c r="AV83" s="38"/>
      <c r="AW83" s="38"/>
      <c r="AX83" s="1"/>
      <c r="AY83" s="1"/>
      <c r="AZ83" s="1"/>
      <c r="BA83" s="1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9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9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9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9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9"/>
      <c r="GH83" s="8"/>
      <c r="GI83" s="8"/>
    </row>
    <row r="84" spans="1:191" s="2" customFormat="1" ht="17.100000000000001" customHeight="1">
      <c r="A84" s="13" t="s">
        <v>67</v>
      </c>
      <c r="B84" s="24">
        <v>816.4</v>
      </c>
      <c r="C84" s="24">
        <v>2671.1</v>
      </c>
      <c r="D84" s="4">
        <f t="shared" si="26"/>
        <v>1.3</v>
      </c>
      <c r="E84" s="10">
        <v>15</v>
      </c>
      <c r="F84" s="5">
        <v>1</v>
      </c>
      <c r="G84" s="5">
        <v>10</v>
      </c>
      <c r="H84" s="5"/>
      <c r="I84" s="5"/>
      <c r="J84" s="4">
        <f>J$33</f>
        <v>0.92006319115323854</v>
      </c>
      <c r="K84" s="5">
        <v>10</v>
      </c>
      <c r="L84" s="5" t="s">
        <v>394</v>
      </c>
      <c r="M84" s="5" t="s">
        <v>394</v>
      </c>
      <c r="N84" s="4" t="s">
        <v>394</v>
      </c>
      <c r="O84" s="5"/>
      <c r="P84" s="5" t="s">
        <v>394</v>
      </c>
      <c r="Q84" s="5" t="s">
        <v>394</v>
      </c>
      <c r="R84" s="5" t="s">
        <v>394</v>
      </c>
      <c r="S84" s="5"/>
      <c r="T84" s="5" t="s">
        <v>394</v>
      </c>
      <c r="U84" s="5" t="s">
        <v>394</v>
      </c>
      <c r="V84" s="5" t="s">
        <v>394</v>
      </c>
      <c r="W84" s="5"/>
      <c r="X84" s="5"/>
      <c r="Y84" s="5"/>
      <c r="Z84" s="4">
        <f>Z$33</f>
        <v>0.93452380952380942</v>
      </c>
      <c r="AA84" s="5">
        <v>15</v>
      </c>
      <c r="AB84" s="31">
        <f t="shared" si="27"/>
        <v>1.0543697810877903</v>
      </c>
      <c r="AC84" s="32">
        <v>602</v>
      </c>
      <c r="AD84" s="24">
        <f t="shared" si="28"/>
        <v>164.18181818181819</v>
      </c>
      <c r="AE84" s="24">
        <f t="shared" ref="AE84:AE91" si="40">ROUND(AB84*AD84,1)</f>
        <v>173.1</v>
      </c>
      <c r="AF84" s="24">
        <f t="shared" si="29"/>
        <v>8.9181818181818073</v>
      </c>
      <c r="AG84" s="24"/>
      <c r="AH84" s="24">
        <v>34.799999999999997</v>
      </c>
      <c r="AI84" s="24">
        <v>43.5</v>
      </c>
      <c r="AJ84" s="24">
        <f t="shared" si="30"/>
        <v>94.8</v>
      </c>
      <c r="AK84" s="68"/>
      <c r="AL84" s="40"/>
      <c r="AM84" s="40"/>
      <c r="AN84" s="68"/>
      <c r="AO84" s="68"/>
      <c r="AP84" s="24">
        <f t="shared" si="31"/>
        <v>94.8</v>
      </c>
      <c r="AQ84" s="24"/>
      <c r="AR84" s="24">
        <f t="shared" si="32"/>
        <v>94.8</v>
      </c>
      <c r="AS84" s="76"/>
      <c r="AT84" s="1"/>
      <c r="AU84" s="1"/>
      <c r="AV84" s="38"/>
      <c r="AW84" s="38"/>
      <c r="AX84" s="1"/>
      <c r="AY84" s="1"/>
      <c r="AZ84" s="1"/>
      <c r="BA84" s="1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9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9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9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9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9"/>
      <c r="GH84" s="8"/>
      <c r="GI84" s="8"/>
    </row>
    <row r="85" spans="1:191" s="2" customFormat="1" ht="17.100000000000001" customHeight="1">
      <c r="A85" s="13" t="s">
        <v>68</v>
      </c>
      <c r="B85" s="24">
        <v>5426.7</v>
      </c>
      <c r="C85" s="24">
        <v>4976.3999999999996</v>
      </c>
      <c r="D85" s="4">
        <f t="shared" si="26"/>
        <v>0.91702139421748019</v>
      </c>
      <c r="E85" s="10">
        <v>15</v>
      </c>
      <c r="F85" s="5">
        <v>1</v>
      </c>
      <c r="G85" s="5">
        <v>10</v>
      </c>
      <c r="H85" s="5"/>
      <c r="I85" s="5"/>
      <c r="J85" s="4">
        <f t="shared" ref="J85:J91" si="41">J$33</f>
        <v>0.92006319115323854</v>
      </c>
      <c r="K85" s="5">
        <v>10</v>
      </c>
      <c r="L85" s="5" t="s">
        <v>394</v>
      </c>
      <c r="M85" s="5" t="s">
        <v>394</v>
      </c>
      <c r="N85" s="4" t="s">
        <v>394</v>
      </c>
      <c r="O85" s="5"/>
      <c r="P85" s="5" t="s">
        <v>394</v>
      </c>
      <c r="Q85" s="5" t="s">
        <v>394</v>
      </c>
      <c r="R85" s="5" t="s">
        <v>394</v>
      </c>
      <c r="S85" s="5"/>
      <c r="T85" s="5" t="s">
        <v>394</v>
      </c>
      <c r="U85" s="5" t="s">
        <v>394</v>
      </c>
      <c r="V85" s="5" t="s">
        <v>394</v>
      </c>
      <c r="W85" s="5"/>
      <c r="X85" s="5"/>
      <c r="Y85" s="5"/>
      <c r="Z85" s="4">
        <f t="shared" ref="Z85:Z91" si="42">Z$33</f>
        <v>0.93452380952380942</v>
      </c>
      <c r="AA85" s="5">
        <v>15</v>
      </c>
      <c r="AB85" s="31">
        <f t="shared" si="27"/>
        <v>0.9394761993530345</v>
      </c>
      <c r="AC85" s="32">
        <v>570</v>
      </c>
      <c r="AD85" s="24">
        <f t="shared" si="28"/>
        <v>155.45454545454547</v>
      </c>
      <c r="AE85" s="24">
        <f t="shared" si="40"/>
        <v>146</v>
      </c>
      <c r="AF85" s="24">
        <f t="shared" si="29"/>
        <v>-9.4545454545454675</v>
      </c>
      <c r="AG85" s="24"/>
      <c r="AH85" s="24">
        <v>44.3</v>
      </c>
      <c r="AI85" s="24">
        <v>37.200000000000003</v>
      </c>
      <c r="AJ85" s="24">
        <f t="shared" si="30"/>
        <v>64.5</v>
      </c>
      <c r="AK85" s="68"/>
      <c r="AL85" s="40"/>
      <c r="AM85" s="40"/>
      <c r="AN85" s="68"/>
      <c r="AO85" s="68"/>
      <c r="AP85" s="24">
        <f t="shared" si="31"/>
        <v>64.5</v>
      </c>
      <c r="AQ85" s="24"/>
      <c r="AR85" s="24">
        <f t="shared" si="32"/>
        <v>64.5</v>
      </c>
      <c r="AS85" s="76"/>
      <c r="AT85" s="1"/>
      <c r="AU85" s="1"/>
      <c r="AV85" s="38"/>
      <c r="AW85" s="38"/>
      <c r="AX85" s="1"/>
      <c r="AY85" s="1"/>
      <c r="AZ85" s="1"/>
      <c r="BA85" s="1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9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9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9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9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9"/>
      <c r="GH85" s="8"/>
      <c r="GI85" s="8"/>
    </row>
    <row r="86" spans="1:191" s="2" customFormat="1" ht="17.100000000000001" customHeight="1">
      <c r="A86" s="13" t="s">
        <v>69</v>
      </c>
      <c r="B86" s="24">
        <v>160.69999999999999</v>
      </c>
      <c r="C86" s="24">
        <v>368.2</v>
      </c>
      <c r="D86" s="4">
        <f t="shared" si="26"/>
        <v>1.3</v>
      </c>
      <c r="E86" s="10">
        <v>15</v>
      </c>
      <c r="F86" s="5">
        <v>1</v>
      </c>
      <c r="G86" s="5">
        <v>10</v>
      </c>
      <c r="H86" s="5"/>
      <c r="I86" s="5"/>
      <c r="J86" s="4">
        <f t="shared" si="41"/>
        <v>0.92006319115323854</v>
      </c>
      <c r="K86" s="5">
        <v>10</v>
      </c>
      <c r="L86" s="5" t="s">
        <v>394</v>
      </c>
      <c r="M86" s="5" t="s">
        <v>394</v>
      </c>
      <c r="N86" s="4" t="s">
        <v>394</v>
      </c>
      <c r="O86" s="5"/>
      <c r="P86" s="5" t="s">
        <v>394</v>
      </c>
      <c r="Q86" s="5" t="s">
        <v>394</v>
      </c>
      <c r="R86" s="5" t="s">
        <v>394</v>
      </c>
      <c r="S86" s="5"/>
      <c r="T86" s="5" t="s">
        <v>394</v>
      </c>
      <c r="U86" s="5" t="s">
        <v>394</v>
      </c>
      <c r="V86" s="5" t="s">
        <v>394</v>
      </c>
      <c r="W86" s="5"/>
      <c r="X86" s="5"/>
      <c r="Y86" s="5"/>
      <c r="Z86" s="4">
        <f t="shared" si="42"/>
        <v>0.93452380952380942</v>
      </c>
      <c r="AA86" s="5">
        <v>15</v>
      </c>
      <c r="AB86" s="31">
        <f t="shared" si="27"/>
        <v>1.0543697810877903</v>
      </c>
      <c r="AC86" s="32">
        <v>849</v>
      </c>
      <c r="AD86" s="24">
        <f t="shared" si="28"/>
        <v>231.54545454545456</v>
      </c>
      <c r="AE86" s="24">
        <f t="shared" si="40"/>
        <v>244.1</v>
      </c>
      <c r="AF86" s="24">
        <f t="shared" si="29"/>
        <v>12.554545454545433</v>
      </c>
      <c r="AG86" s="24"/>
      <c r="AH86" s="24">
        <v>91.1</v>
      </c>
      <c r="AI86" s="24">
        <v>61</v>
      </c>
      <c r="AJ86" s="24">
        <f t="shared" si="30"/>
        <v>92</v>
      </c>
      <c r="AK86" s="68"/>
      <c r="AL86" s="40"/>
      <c r="AM86" s="40"/>
      <c r="AN86" s="68"/>
      <c r="AO86" s="68"/>
      <c r="AP86" s="24">
        <f t="shared" si="31"/>
        <v>92</v>
      </c>
      <c r="AQ86" s="24"/>
      <c r="AR86" s="24">
        <f t="shared" si="32"/>
        <v>92</v>
      </c>
      <c r="AS86" s="76"/>
      <c r="AT86" s="1"/>
      <c r="AU86" s="1"/>
      <c r="AV86" s="38"/>
      <c r="AW86" s="38"/>
      <c r="AX86" s="1"/>
      <c r="AY86" s="1"/>
      <c r="AZ86" s="1"/>
      <c r="BA86" s="1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9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9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9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9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9"/>
      <c r="GH86" s="8"/>
      <c r="GI86" s="8"/>
    </row>
    <row r="87" spans="1:191" s="2" customFormat="1" ht="17.100000000000001" customHeight="1">
      <c r="A87" s="13" t="s">
        <v>70</v>
      </c>
      <c r="B87" s="24">
        <v>752.8</v>
      </c>
      <c r="C87" s="24">
        <v>710.4</v>
      </c>
      <c r="D87" s="4">
        <f t="shared" si="26"/>
        <v>0.94367693942614239</v>
      </c>
      <c r="E87" s="10">
        <v>15</v>
      </c>
      <c r="F87" s="5">
        <v>1</v>
      </c>
      <c r="G87" s="5">
        <v>10</v>
      </c>
      <c r="H87" s="5"/>
      <c r="I87" s="5"/>
      <c r="J87" s="4">
        <f t="shared" si="41"/>
        <v>0.92006319115323854</v>
      </c>
      <c r="K87" s="5">
        <v>10</v>
      </c>
      <c r="L87" s="5" t="s">
        <v>394</v>
      </c>
      <c r="M87" s="5" t="s">
        <v>394</v>
      </c>
      <c r="N87" s="4" t="s">
        <v>394</v>
      </c>
      <c r="O87" s="5"/>
      <c r="P87" s="5" t="s">
        <v>394</v>
      </c>
      <c r="Q87" s="5" t="s">
        <v>394</v>
      </c>
      <c r="R87" s="5" t="s">
        <v>394</v>
      </c>
      <c r="S87" s="5"/>
      <c r="T87" s="5" t="s">
        <v>394</v>
      </c>
      <c r="U87" s="5" t="s">
        <v>394</v>
      </c>
      <c r="V87" s="5" t="s">
        <v>394</v>
      </c>
      <c r="W87" s="5"/>
      <c r="X87" s="5"/>
      <c r="Y87" s="5"/>
      <c r="Z87" s="4">
        <f t="shared" si="42"/>
        <v>0.93452380952380942</v>
      </c>
      <c r="AA87" s="5">
        <v>15</v>
      </c>
      <c r="AB87" s="31">
        <f t="shared" si="27"/>
        <v>0.94747286291563315</v>
      </c>
      <c r="AC87" s="32">
        <v>1096</v>
      </c>
      <c r="AD87" s="24">
        <f t="shared" si="28"/>
        <v>298.90909090909093</v>
      </c>
      <c r="AE87" s="24">
        <f t="shared" si="40"/>
        <v>283.2</v>
      </c>
      <c r="AF87" s="24">
        <f t="shared" si="29"/>
        <v>-15.709090909090946</v>
      </c>
      <c r="AG87" s="24"/>
      <c r="AH87" s="24">
        <v>85.8</v>
      </c>
      <c r="AI87" s="24">
        <v>65.2</v>
      </c>
      <c r="AJ87" s="24">
        <f t="shared" si="30"/>
        <v>132.19999999999999</v>
      </c>
      <c r="AK87" s="68"/>
      <c r="AL87" s="40"/>
      <c r="AM87" s="40"/>
      <c r="AN87" s="68"/>
      <c r="AO87" s="68"/>
      <c r="AP87" s="24">
        <f t="shared" si="31"/>
        <v>132.19999999999999</v>
      </c>
      <c r="AQ87" s="24"/>
      <c r="AR87" s="24">
        <f t="shared" si="32"/>
        <v>132.19999999999999</v>
      </c>
      <c r="AS87" s="76"/>
      <c r="AT87" s="1"/>
      <c r="AU87" s="1"/>
      <c r="AV87" s="38"/>
      <c r="AW87" s="38"/>
      <c r="AX87" s="1"/>
      <c r="AY87" s="1"/>
      <c r="AZ87" s="1"/>
      <c r="BA87" s="1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9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9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9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9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9"/>
      <c r="GH87" s="8"/>
      <c r="GI87" s="8"/>
    </row>
    <row r="88" spans="1:191" s="2" customFormat="1" ht="17.100000000000001" customHeight="1">
      <c r="A88" s="13" t="s">
        <v>71</v>
      </c>
      <c r="B88" s="24">
        <v>622.4</v>
      </c>
      <c r="C88" s="24">
        <v>823.7</v>
      </c>
      <c r="D88" s="4">
        <f t="shared" si="26"/>
        <v>1.2123425449871466</v>
      </c>
      <c r="E88" s="10">
        <v>15</v>
      </c>
      <c r="F88" s="5">
        <v>1</v>
      </c>
      <c r="G88" s="5">
        <v>10</v>
      </c>
      <c r="H88" s="5"/>
      <c r="I88" s="5"/>
      <c r="J88" s="4">
        <f t="shared" si="41"/>
        <v>0.92006319115323854</v>
      </c>
      <c r="K88" s="5">
        <v>10</v>
      </c>
      <c r="L88" s="5" t="s">
        <v>394</v>
      </c>
      <c r="M88" s="5" t="s">
        <v>394</v>
      </c>
      <c r="N88" s="4" t="s">
        <v>394</v>
      </c>
      <c r="O88" s="5"/>
      <c r="P88" s="5" t="s">
        <v>394</v>
      </c>
      <c r="Q88" s="5" t="s">
        <v>394</v>
      </c>
      <c r="R88" s="5" t="s">
        <v>394</v>
      </c>
      <c r="S88" s="5"/>
      <c r="T88" s="5" t="s">
        <v>394</v>
      </c>
      <c r="U88" s="5" t="s">
        <v>394</v>
      </c>
      <c r="V88" s="5" t="s">
        <v>394</v>
      </c>
      <c r="W88" s="5"/>
      <c r="X88" s="5"/>
      <c r="Y88" s="5"/>
      <c r="Z88" s="4">
        <f t="shared" si="42"/>
        <v>0.93452380952380942</v>
      </c>
      <c r="AA88" s="5">
        <v>15</v>
      </c>
      <c r="AB88" s="31">
        <f t="shared" si="27"/>
        <v>1.0280725445839345</v>
      </c>
      <c r="AC88" s="32">
        <v>433</v>
      </c>
      <c r="AD88" s="24">
        <f t="shared" si="28"/>
        <v>118.09090909090909</v>
      </c>
      <c r="AE88" s="24">
        <f t="shared" si="40"/>
        <v>121.4</v>
      </c>
      <c r="AF88" s="24">
        <f t="shared" si="29"/>
        <v>3.3090909090909122</v>
      </c>
      <c r="AG88" s="24"/>
      <c r="AH88" s="24">
        <v>27.5</v>
      </c>
      <c r="AI88" s="24">
        <v>27.4</v>
      </c>
      <c r="AJ88" s="24">
        <f t="shared" si="30"/>
        <v>66.5</v>
      </c>
      <c r="AK88" s="68"/>
      <c r="AL88" s="40"/>
      <c r="AM88" s="40"/>
      <c r="AN88" s="68"/>
      <c r="AO88" s="68"/>
      <c r="AP88" s="24">
        <f t="shared" si="31"/>
        <v>66.5</v>
      </c>
      <c r="AQ88" s="24"/>
      <c r="AR88" s="24">
        <f t="shared" si="32"/>
        <v>66.5</v>
      </c>
      <c r="AS88" s="76"/>
      <c r="AT88" s="1"/>
      <c r="AU88" s="1"/>
      <c r="AV88" s="38"/>
      <c r="AW88" s="38"/>
      <c r="AX88" s="1"/>
      <c r="AY88" s="1"/>
      <c r="AZ88" s="1"/>
      <c r="BA88" s="1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9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9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9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9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9"/>
      <c r="GH88" s="8"/>
      <c r="GI88" s="8"/>
    </row>
    <row r="89" spans="1:191" s="2" customFormat="1" ht="17.100000000000001" customHeight="1">
      <c r="A89" s="13" t="s">
        <v>72</v>
      </c>
      <c r="B89" s="24">
        <v>403.5</v>
      </c>
      <c r="C89" s="24">
        <v>190.1</v>
      </c>
      <c r="D89" s="4">
        <f t="shared" si="26"/>
        <v>0.47112763320941758</v>
      </c>
      <c r="E89" s="10">
        <v>15</v>
      </c>
      <c r="F89" s="5">
        <v>1</v>
      </c>
      <c r="G89" s="5">
        <v>10</v>
      </c>
      <c r="H89" s="5"/>
      <c r="I89" s="5"/>
      <c r="J89" s="4">
        <f t="shared" si="41"/>
        <v>0.92006319115323854</v>
      </c>
      <c r="K89" s="5">
        <v>10</v>
      </c>
      <c r="L89" s="5" t="s">
        <v>394</v>
      </c>
      <c r="M89" s="5" t="s">
        <v>394</v>
      </c>
      <c r="N89" s="4" t="s">
        <v>394</v>
      </c>
      <c r="O89" s="5"/>
      <c r="P89" s="5" t="s">
        <v>394</v>
      </c>
      <c r="Q89" s="5" t="s">
        <v>394</v>
      </c>
      <c r="R89" s="5" t="s">
        <v>394</v>
      </c>
      <c r="S89" s="5"/>
      <c r="T89" s="5" t="s">
        <v>394</v>
      </c>
      <c r="U89" s="5" t="s">
        <v>394</v>
      </c>
      <c r="V89" s="5" t="s">
        <v>394</v>
      </c>
      <c r="W89" s="5"/>
      <c r="X89" s="5"/>
      <c r="Y89" s="5"/>
      <c r="Z89" s="4">
        <f t="shared" si="42"/>
        <v>0.93452380952380942</v>
      </c>
      <c r="AA89" s="5">
        <v>15</v>
      </c>
      <c r="AB89" s="31">
        <f t="shared" si="27"/>
        <v>0.8057080710506157</v>
      </c>
      <c r="AC89" s="32">
        <v>1576</v>
      </c>
      <c r="AD89" s="24">
        <f t="shared" si="28"/>
        <v>429.81818181818187</v>
      </c>
      <c r="AE89" s="24">
        <f t="shared" si="40"/>
        <v>346.3</v>
      </c>
      <c r="AF89" s="24">
        <f t="shared" si="29"/>
        <v>-83.518181818181858</v>
      </c>
      <c r="AG89" s="24"/>
      <c r="AH89" s="24">
        <v>132.9</v>
      </c>
      <c r="AI89" s="24">
        <v>84.1</v>
      </c>
      <c r="AJ89" s="24">
        <f t="shared" si="30"/>
        <v>129.30000000000001</v>
      </c>
      <c r="AK89" s="68"/>
      <c r="AL89" s="40"/>
      <c r="AM89" s="40"/>
      <c r="AN89" s="68"/>
      <c r="AO89" s="68"/>
      <c r="AP89" s="24">
        <f t="shared" si="31"/>
        <v>129.30000000000001</v>
      </c>
      <c r="AQ89" s="24"/>
      <c r="AR89" s="24">
        <f t="shared" si="32"/>
        <v>129.30000000000001</v>
      </c>
      <c r="AS89" s="76"/>
      <c r="AT89" s="1"/>
      <c r="AU89" s="1"/>
      <c r="AV89" s="38"/>
      <c r="AW89" s="38"/>
      <c r="AX89" s="1"/>
      <c r="AY89" s="1"/>
      <c r="AZ89" s="1"/>
      <c r="BA89" s="1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9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9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9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9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9"/>
      <c r="GH89" s="8"/>
      <c r="GI89" s="8"/>
    </row>
    <row r="90" spans="1:191" s="2" customFormat="1" ht="17.100000000000001" customHeight="1">
      <c r="A90" s="13" t="s">
        <v>73</v>
      </c>
      <c r="B90" s="24">
        <v>848.9</v>
      </c>
      <c r="C90" s="24">
        <v>2091.5</v>
      </c>
      <c r="D90" s="4">
        <f t="shared" si="26"/>
        <v>1.3</v>
      </c>
      <c r="E90" s="10">
        <v>15</v>
      </c>
      <c r="F90" s="5">
        <v>1</v>
      </c>
      <c r="G90" s="5">
        <v>10</v>
      </c>
      <c r="H90" s="5"/>
      <c r="I90" s="5"/>
      <c r="J90" s="4">
        <f t="shared" si="41"/>
        <v>0.92006319115323854</v>
      </c>
      <c r="K90" s="5">
        <v>10</v>
      </c>
      <c r="L90" s="5" t="s">
        <v>394</v>
      </c>
      <c r="M90" s="5" t="s">
        <v>394</v>
      </c>
      <c r="N90" s="4" t="s">
        <v>394</v>
      </c>
      <c r="O90" s="5"/>
      <c r="P90" s="5" t="s">
        <v>394</v>
      </c>
      <c r="Q90" s="5" t="s">
        <v>394</v>
      </c>
      <c r="R90" s="5" t="s">
        <v>394</v>
      </c>
      <c r="S90" s="5"/>
      <c r="T90" s="5" t="s">
        <v>394</v>
      </c>
      <c r="U90" s="5" t="s">
        <v>394</v>
      </c>
      <c r="V90" s="5" t="s">
        <v>394</v>
      </c>
      <c r="W90" s="5"/>
      <c r="X90" s="5"/>
      <c r="Y90" s="5"/>
      <c r="Z90" s="4">
        <f t="shared" si="42"/>
        <v>0.93452380952380942</v>
      </c>
      <c r="AA90" s="5">
        <v>15</v>
      </c>
      <c r="AB90" s="31">
        <f t="shared" si="27"/>
        <v>1.0543697810877903</v>
      </c>
      <c r="AC90" s="32">
        <v>1537</v>
      </c>
      <c r="AD90" s="24">
        <f t="shared" si="28"/>
        <v>419.18181818181813</v>
      </c>
      <c r="AE90" s="24">
        <f t="shared" si="40"/>
        <v>442</v>
      </c>
      <c r="AF90" s="24">
        <f t="shared" si="29"/>
        <v>22.81818181818187</v>
      </c>
      <c r="AG90" s="24"/>
      <c r="AH90" s="24">
        <v>76.7</v>
      </c>
      <c r="AI90" s="24">
        <v>164.9</v>
      </c>
      <c r="AJ90" s="24">
        <f t="shared" si="30"/>
        <v>200.4</v>
      </c>
      <c r="AK90" s="68"/>
      <c r="AL90" s="40"/>
      <c r="AM90" s="40"/>
      <c r="AN90" s="68"/>
      <c r="AO90" s="68"/>
      <c r="AP90" s="24">
        <f t="shared" si="31"/>
        <v>200.4</v>
      </c>
      <c r="AQ90" s="24"/>
      <c r="AR90" s="24">
        <f t="shared" si="32"/>
        <v>200.4</v>
      </c>
      <c r="AS90" s="76"/>
      <c r="AT90" s="1"/>
      <c r="AU90" s="1"/>
      <c r="AV90" s="38"/>
      <c r="AW90" s="38"/>
      <c r="AX90" s="1"/>
      <c r="AY90" s="1"/>
      <c r="AZ90" s="1"/>
      <c r="BA90" s="1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9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9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9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9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9"/>
      <c r="GH90" s="8"/>
      <c r="GI90" s="8"/>
    </row>
    <row r="91" spans="1:191" s="2" customFormat="1" ht="17.100000000000001" customHeight="1">
      <c r="A91" s="13" t="s">
        <v>74</v>
      </c>
      <c r="B91" s="24">
        <v>1785.5</v>
      </c>
      <c r="C91" s="24">
        <v>2096.1999999999998</v>
      </c>
      <c r="D91" s="4">
        <f t="shared" si="26"/>
        <v>1.1740128815457853</v>
      </c>
      <c r="E91" s="10">
        <v>15</v>
      </c>
      <c r="F91" s="5">
        <v>1</v>
      </c>
      <c r="G91" s="5">
        <v>10</v>
      </c>
      <c r="H91" s="5"/>
      <c r="I91" s="5"/>
      <c r="J91" s="4">
        <f t="shared" si="41"/>
        <v>0.92006319115323854</v>
      </c>
      <c r="K91" s="5">
        <v>10</v>
      </c>
      <c r="L91" s="5" t="s">
        <v>394</v>
      </c>
      <c r="M91" s="5" t="s">
        <v>394</v>
      </c>
      <c r="N91" s="4" t="s">
        <v>394</v>
      </c>
      <c r="O91" s="5"/>
      <c r="P91" s="5" t="s">
        <v>394</v>
      </c>
      <c r="Q91" s="5" t="s">
        <v>394</v>
      </c>
      <c r="R91" s="5" t="s">
        <v>394</v>
      </c>
      <c r="S91" s="5"/>
      <c r="T91" s="5" t="s">
        <v>394</v>
      </c>
      <c r="U91" s="5" t="s">
        <v>394</v>
      </c>
      <c r="V91" s="5" t="s">
        <v>394</v>
      </c>
      <c r="W91" s="5"/>
      <c r="X91" s="5"/>
      <c r="Y91" s="5"/>
      <c r="Z91" s="4">
        <f t="shared" si="42"/>
        <v>0.93452380952380942</v>
      </c>
      <c r="AA91" s="5">
        <v>15</v>
      </c>
      <c r="AB91" s="31">
        <f t="shared" si="27"/>
        <v>1.0165736455515262</v>
      </c>
      <c r="AC91" s="32">
        <v>749</v>
      </c>
      <c r="AD91" s="24">
        <f t="shared" si="28"/>
        <v>204.27272727272728</v>
      </c>
      <c r="AE91" s="24">
        <f t="shared" si="40"/>
        <v>207.7</v>
      </c>
      <c r="AF91" s="24">
        <f t="shared" si="29"/>
        <v>3.4272727272727082</v>
      </c>
      <c r="AG91" s="24"/>
      <c r="AH91" s="24">
        <v>39.1</v>
      </c>
      <c r="AI91" s="24">
        <v>43.6</v>
      </c>
      <c r="AJ91" s="24">
        <f t="shared" si="30"/>
        <v>125</v>
      </c>
      <c r="AK91" s="68"/>
      <c r="AL91" s="40"/>
      <c r="AM91" s="40"/>
      <c r="AN91" s="68"/>
      <c r="AO91" s="68"/>
      <c r="AP91" s="24">
        <f t="shared" si="31"/>
        <v>125</v>
      </c>
      <c r="AQ91" s="24"/>
      <c r="AR91" s="24">
        <f t="shared" si="32"/>
        <v>125</v>
      </c>
      <c r="AS91" s="76"/>
      <c r="AT91" s="1"/>
      <c r="AU91" s="1"/>
      <c r="AV91" s="38"/>
      <c r="AW91" s="38"/>
      <c r="AX91" s="1"/>
      <c r="AY91" s="1"/>
      <c r="AZ91" s="1"/>
      <c r="BA91" s="1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9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9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9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9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9"/>
      <c r="GH91" s="8"/>
      <c r="GI91" s="8"/>
    </row>
    <row r="92" spans="1:191" s="2" customFormat="1" ht="17.100000000000001" customHeight="1">
      <c r="A92" s="17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76"/>
      <c r="AT92" s="1"/>
      <c r="AU92" s="1"/>
      <c r="AV92" s="38"/>
      <c r="AW92" s="38"/>
      <c r="AX92" s="1"/>
      <c r="AY92" s="1"/>
      <c r="AZ92" s="1"/>
      <c r="BA92" s="1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9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9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9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9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9"/>
      <c r="GH92" s="8"/>
      <c r="GI92" s="8"/>
    </row>
    <row r="93" spans="1:191" s="2" customFormat="1" ht="17.100000000000001" customHeight="1">
      <c r="A93" s="13" t="s">
        <v>76</v>
      </c>
      <c r="B93" s="24">
        <v>871</v>
      </c>
      <c r="C93" s="24">
        <v>752.7</v>
      </c>
      <c r="D93" s="4">
        <f t="shared" si="26"/>
        <v>0.86417910447761204</v>
      </c>
      <c r="E93" s="10">
        <v>15</v>
      </c>
      <c r="F93" s="5">
        <v>1</v>
      </c>
      <c r="G93" s="5">
        <v>10</v>
      </c>
      <c r="H93" s="5"/>
      <c r="I93" s="5"/>
      <c r="J93" s="4">
        <f>J$34</f>
        <v>0.947704789833822</v>
      </c>
      <c r="K93" s="5">
        <v>10</v>
      </c>
      <c r="L93" s="5" t="s">
        <v>394</v>
      </c>
      <c r="M93" s="5" t="s">
        <v>394</v>
      </c>
      <c r="N93" s="4" t="s">
        <v>394</v>
      </c>
      <c r="O93" s="5"/>
      <c r="P93" s="5" t="s">
        <v>394</v>
      </c>
      <c r="Q93" s="5" t="s">
        <v>394</v>
      </c>
      <c r="R93" s="5" t="s">
        <v>394</v>
      </c>
      <c r="S93" s="5"/>
      <c r="T93" s="5" t="s">
        <v>394</v>
      </c>
      <c r="U93" s="5" t="s">
        <v>394</v>
      </c>
      <c r="V93" s="5" t="s">
        <v>394</v>
      </c>
      <c r="W93" s="5"/>
      <c r="X93" s="5"/>
      <c r="Y93" s="5"/>
      <c r="Z93" s="4">
        <f>Z$34</f>
        <v>0.90909090909090906</v>
      </c>
      <c r="AA93" s="5">
        <v>15</v>
      </c>
      <c r="AB93" s="31">
        <f t="shared" si="27"/>
        <v>0.92152196203732073</v>
      </c>
      <c r="AC93" s="32">
        <v>1663</v>
      </c>
      <c r="AD93" s="24">
        <f t="shared" si="28"/>
        <v>453.54545454545456</v>
      </c>
      <c r="AE93" s="24">
        <f t="shared" ref="AE93:AE101" si="43">ROUND(AB93*AD93,1)</f>
        <v>418</v>
      </c>
      <c r="AF93" s="24">
        <f t="shared" si="29"/>
        <v>-35.545454545454561</v>
      </c>
      <c r="AG93" s="24"/>
      <c r="AH93" s="24">
        <v>178.4</v>
      </c>
      <c r="AI93" s="24">
        <v>60.5</v>
      </c>
      <c r="AJ93" s="24">
        <f t="shared" si="30"/>
        <v>179.1</v>
      </c>
      <c r="AK93" s="68"/>
      <c r="AL93" s="40"/>
      <c r="AM93" s="40"/>
      <c r="AN93" s="68"/>
      <c r="AO93" s="68"/>
      <c r="AP93" s="24">
        <f t="shared" si="31"/>
        <v>179.1</v>
      </c>
      <c r="AQ93" s="24"/>
      <c r="AR93" s="24">
        <f t="shared" si="32"/>
        <v>179.1</v>
      </c>
      <c r="AS93" s="76"/>
      <c r="AT93" s="1"/>
      <c r="AU93" s="1"/>
      <c r="AV93" s="38"/>
      <c r="AW93" s="38"/>
      <c r="AX93" s="1"/>
      <c r="AY93" s="1"/>
      <c r="AZ93" s="1"/>
      <c r="BA93" s="1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9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9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9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9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9"/>
      <c r="GH93" s="8"/>
      <c r="GI93" s="8"/>
    </row>
    <row r="94" spans="1:191" s="2" customFormat="1" ht="17.100000000000001" customHeight="1">
      <c r="A94" s="33" t="s">
        <v>77</v>
      </c>
      <c r="B94" s="24">
        <v>3732.4</v>
      </c>
      <c r="C94" s="24">
        <v>3291.4</v>
      </c>
      <c r="D94" s="4">
        <f t="shared" si="26"/>
        <v>0.88184546136534137</v>
      </c>
      <c r="E94" s="10">
        <v>15</v>
      </c>
      <c r="F94" s="5">
        <v>1</v>
      </c>
      <c r="G94" s="5">
        <v>10</v>
      </c>
      <c r="H94" s="5"/>
      <c r="I94" s="5"/>
      <c r="J94" s="4">
        <f t="shared" ref="J94:J100" si="44">J$34</f>
        <v>0.947704789833822</v>
      </c>
      <c r="K94" s="5">
        <v>10</v>
      </c>
      <c r="L94" s="5" t="s">
        <v>394</v>
      </c>
      <c r="M94" s="5" t="s">
        <v>394</v>
      </c>
      <c r="N94" s="4" t="s">
        <v>394</v>
      </c>
      <c r="O94" s="5"/>
      <c r="P94" s="5" t="s">
        <v>394</v>
      </c>
      <c r="Q94" s="5" t="s">
        <v>394</v>
      </c>
      <c r="R94" s="5" t="s">
        <v>394</v>
      </c>
      <c r="S94" s="5"/>
      <c r="T94" s="5" t="s">
        <v>394</v>
      </c>
      <c r="U94" s="5" t="s">
        <v>394</v>
      </c>
      <c r="V94" s="5" t="s">
        <v>394</v>
      </c>
      <c r="W94" s="5"/>
      <c r="X94" s="5"/>
      <c r="Y94" s="5"/>
      <c r="Z94" s="4">
        <f t="shared" ref="Z94:Z100" si="45">Z$34</f>
        <v>0.90909090909090906</v>
      </c>
      <c r="AA94" s="5">
        <v>15</v>
      </c>
      <c r="AB94" s="31">
        <f t="shared" si="27"/>
        <v>0.92682186910363951</v>
      </c>
      <c r="AC94" s="32">
        <v>1148</v>
      </c>
      <c r="AD94" s="24">
        <f t="shared" si="28"/>
        <v>313.09090909090907</v>
      </c>
      <c r="AE94" s="24">
        <f t="shared" si="43"/>
        <v>290.2</v>
      </c>
      <c r="AF94" s="24">
        <f t="shared" si="29"/>
        <v>-22.890909090909076</v>
      </c>
      <c r="AG94" s="24"/>
      <c r="AH94" s="24">
        <v>98.6</v>
      </c>
      <c r="AI94" s="24">
        <v>95.5</v>
      </c>
      <c r="AJ94" s="24">
        <f t="shared" si="30"/>
        <v>96.1</v>
      </c>
      <c r="AK94" s="68"/>
      <c r="AL94" s="40"/>
      <c r="AM94" s="40"/>
      <c r="AN94" s="68"/>
      <c r="AO94" s="68"/>
      <c r="AP94" s="24">
        <f t="shared" si="31"/>
        <v>96.1</v>
      </c>
      <c r="AQ94" s="24"/>
      <c r="AR94" s="24">
        <f t="shared" si="32"/>
        <v>96.1</v>
      </c>
      <c r="AS94" s="76"/>
      <c r="AT94" s="1"/>
      <c r="AU94" s="1"/>
      <c r="AV94" s="38"/>
      <c r="AW94" s="38"/>
      <c r="AX94" s="1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9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9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9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9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9"/>
      <c r="GH94" s="8"/>
      <c r="GI94" s="8"/>
    </row>
    <row r="95" spans="1:191" s="2" customFormat="1" ht="17.100000000000001" customHeight="1">
      <c r="A95" s="13" t="s">
        <v>78</v>
      </c>
      <c r="B95" s="24">
        <v>184.4</v>
      </c>
      <c r="C95" s="24">
        <v>113.1</v>
      </c>
      <c r="D95" s="4">
        <f t="shared" si="26"/>
        <v>0.6133405639913232</v>
      </c>
      <c r="E95" s="10">
        <v>15</v>
      </c>
      <c r="F95" s="5">
        <v>1</v>
      </c>
      <c r="G95" s="5">
        <v>10</v>
      </c>
      <c r="H95" s="5"/>
      <c r="I95" s="5"/>
      <c r="J95" s="4">
        <f t="shared" si="44"/>
        <v>0.947704789833822</v>
      </c>
      <c r="K95" s="5">
        <v>10</v>
      </c>
      <c r="L95" s="5" t="s">
        <v>394</v>
      </c>
      <c r="M95" s="5" t="s">
        <v>394</v>
      </c>
      <c r="N95" s="4" t="s">
        <v>394</v>
      </c>
      <c r="O95" s="5"/>
      <c r="P95" s="5" t="s">
        <v>394</v>
      </c>
      <c r="Q95" s="5" t="s">
        <v>394</v>
      </c>
      <c r="R95" s="5" t="s">
        <v>394</v>
      </c>
      <c r="S95" s="5"/>
      <c r="T95" s="5" t="s">
        <v>394</v>
      </c>
      <c r="U95" s="5" t="s">
        <v>394</v>
      </c>
      <c r="V95" s="5" t="s">
        <v>394</v>
      </c>
      <c r="W95" s="5"/>
      <c r="X95" s="5"/>
      <c r="Y95" s="5"/>
      <c r="Z95" s="4">
        <f t="shared" si="45"/>
        <v>0.90909090909090906</v>
      </c>
      <c r="AA95" s="5">
        <v>15</v>
      </c>
      <c r="AB95" s="31">
        <f t="shared" si="27"/>
        <v>0.84627039989143416</v>
      </c>
      <c r="AC95" s="32">
        <v>2926</v>
      </c>
      <c r="AD95" s="24">
        <f t="shared" si="28"/>
        <v>798</v>
      </c>
      <c r="AE95" s="24">
        <f t="shared" si="43"/>
        <v>675.3</v>
      </c>
      <c r="AF95" s="24">
        <f t="shared" si="29"/>
        <v>-122.70000000000005</v>
      </c>
      <c r="AG95" s="24"/>
      <c r="AH95" s="24">
        <v>254.4</v>
      </c>
      <c r="AI95" s="24">
        <v>258.60000000000002</v>
      </c>
      <c r="AJ95" s="24">
        <f t="shared" si="30"/>
        <v>162.30000000000001</v>
      </c>
      <c r="AK95" s="68"/>
      <c r="AL95" s="40"/>
      <c r="AM95" s="40"/>
      <c r="AN95" s="68"/>
      <c r="AO95" s="68"/>
      <c r="AP95" s="24">
        <f t="shared" si="31"/>
        <v>162.30000000000001</v>
      </c>
      <c r="AQ95" s="24"/>
      <c r="AR95" s="24">
        <f t="shared" si="32"/>
        <v>162.30000000000001</v>
      </c>
      <c r="AS95" s="76"/>
      <c r="AT95" s="1"/>
      <c r="AU95" s="1"/>
      <c r="AV95" s="38"/>
      <c r="AW95" s="38"/>
      <c r="AX95" s="1"/>
      <c r="AY95" s="1"/>
      <c r="AZ95" s="1"/>
      <c r="BA95" s="1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9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9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9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9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9"/>
      <c r="GH95" s="8"/>
      <c r="GI95" s="8"/>
    </row>
    <row r="96" spans="1:191" s="2" customFormat="1" ht="17.100000000000001" customHeight="1">
      <c r="A96" s="13" t="s">
        <v>79</v>
      </c>
      <c r="B96" s="24">
        <v>759.9</v>
      </c>
      <c r="C96" s="24">
        <v>830.1</v>
      </c>
      <c r="D96" s="4">
        <f t="shared" si="26"/>
        <v>1.0923805763916306</v>
      </c>
      <c r="E96" s="10">
        <v>15</v>
      </c>
      <c r="F96" s="5">
        <v>1</v>
      </c>
      <c r="G96" s="5">
        <v>10</v>
      </c>
      <c r="H96" s="5"/>
      <c r="I96" s="5"/>
      <c r="J96" s="4">
        <f t="shared" si="44"/>
        <v>0.947704789833822</v>
      </c>
      <c r="K96" s="5">
        <v>10</v>
      </c>
      <c r="L96" s="5" t="s">
        <v>394</v>
      </c>
      <c r="M96" s="5" t="s">
        <v>394</v>
      </c>
      <c r="N96" s="4" t="s">
        <v>394</v>
      </c>
      <c r="O96" s="5"/>
      <c r="P96" s="5" t="s">
        <v>394</v>
      </c>
      <c r="Q96" s="5" t="s">
        <v>394</v>
      </c>
      <c r="R96" s="5" t="s">
        <v>394</v>
      </c>
      <c r="S96" s="5"/>
      <c r="T96" s="5" t="s">
        <v>394</v>
      </c>
      <c r="U96" s="5" t="s">
        <v>394</v>
      </c>
      <c r="V96" s="5" t="s">
        <v>394</v>
      </c>
      <c r="W96" s="5"/>
      <c r="X96" s="5"/>
      <c r="Y96" s="5"/>
      <c r="Z96" s="4">
        <f t="shared" si="45"/>
        <v>0.90909090909090906</v>
      </c>
      <c r="AA96" s="5">
        <v>15</v>
      </c>
      <c r="AB96" s="31">
        <f t="shared" si="27"/>
        <v>0.98998240361152623</v>
      </c>
      <c r="AC96" s="32">
        <v>2933</v>
      </c>
      <c r="AD96" s="24">
        <f t="shared" si="28"/>
        <v>799.90909090909088</v>
      </c>
      <c r="AE96" s="24">
        <f t="shared" si="43"/>
        <v>791.9</v>
      </c>
      <c r="AF96" s="24">
        <f t="shared" si="29"/>
        <v>-8.0090909090909008</v>
      </c>
      <c r="AG96" s="24"/>
      <c r="AH96" s="24">
        <v>314.60000000000002</v>
      </c>
      <c r="AI96" s="24">
        <v>162.1</v>
      </c>
      <c r="AJ96" s="24">
        <f t="shared" si="30"/>
        <v>315.2</v>
      </c>
      <c r="AK96" s="68"/>
      <c r="AL96" s="40"/>
      <c r="AM96" s="40"/>
      <c r="AN96" s="68"/>
      <c r="AO96" s="68"/>
      <c r="AP96" s="24">
        <f t="shared" si="31"/>
        <v>315.2</v>
      </c>
      <c r="AQ96" s="24"/>
      <c r="AR96" s="24">
        <f t="shared" si="32"/>
        <v>315.2</v>
      </c>
      <c r="AS96" s="76"/>
      <c r="AT96" s="1"/>
      <c r="AU96" s="1"/>
      <c r="AV96" s="38"/>
      <c r="AW96" s="38"/>
      <c r="AZ96" s="1"/>
      <c r="BA96" s="1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9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9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9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9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9"/>
      <c r="GH96" s="8"/>
      <c r="GI96" s="8"/>
    </row>
    <row r="97" spans="1:191" s="2" customFormat="1" ht="17.100000000000001" customHeight="1">
      <c r="A97" s="13" t="s">
        <v>80</v>
      </c>
      <c r="B97" s="24">
        <v>714.6</v>
      </c>
      <c r="C97" s="24">
        <v>330.6</v>
      </c>
      <c r="D97" s="4">
        <f t="shared" si="26"/>
        <v>0.46263643996641479</v>
      </c>
      <c r="E97" s="10">
        <v>15</v>
      </c>
      <c r="F97" s="5">
        <v>1</v>
      </c>
      <c r="G97" s="5">
        <v>10</v>
      </c>
      <c r="H97" s="5"/>
      <c r="I97" s="5"/>
      <c r="J97" s="4">
        <f t="shared" si="44"/>
        <v>0.947704789833822</v>
      </c>
      <c r="K97" s="5">
        <v>10</v>
      </c>
      <c r="L97" s="5" t="s">
        <v>394</v>
      </c>
      <c r="M97" s="5" t="s">
        <v>394</v>
      </c>
      <c r="N97" s="4" t="s">
        <v>394</v>
      </c>
      <c r="O97" s="5"/>
      <c r="P97" s="5" t="s">
        <v>394</v>
      </c>
      <c r="Q97" s="5" t="s">
        <v>394</v>
      </c>
      <c r="R97" s="5" t="s">
        <v>394</v>
      </c>
      <c r="S97" s="5"/>
      <c r="T97" s="5" t="s">
        <v>394</v>
      </c>
      <c r="U97" s="5" t="s">
        <v>394</v>
      </c>
      <c r="V97" s="5" t="s">
        <v>394</v>
      </c>
      <c r="W97" s="5"/>
      <c r="X97" s="5"/>
      <c r="Y97" s="5"/>
      <c r="Z97" s="4">
        <f t="shared" si="45"/>
        <v>0.90909090909090906</v>
      </c>
      <c r="AA97" s="5">
        <v>15</v>
      </c>
      <c r="AB97" s="31">
        <f t="shared" si="27"/>
        <v>0.8010591626839616</v>
      </c>
      <c r="AC97" s="32">
        <v>2065</v>
      </c>
      <c r="AD97" s="24">
        <f t="shared" si="28"/>
        <v>563.18181818181813</v>
      </c>
      <c r="AE97" s="24">
        <f t="shared" si="43"/>
        <v>451.1</v>
      </c>
      <c r="AF97" s="24">
        <f t="shared" si="29"/>
        <v>-112.08181818181811</v>
      </c>
      <c r="AG97" s="24"/>
      <c r="AH97" s="24">
        <v>221.5</v>
      </c>
      <c r="AI97" s="24">
        <v>86.7</v>
      </c>
      <c r="AJ97" s="24">
        <f t="shared" si="30"/>
        <v>142.9</v>
      </c>
      <c r="AK97" s="68"/>
      <c r="AL97" s="40"/>
      <c r="AM97" s="40"/>
      <c r="AN97" s="68"/>
      <c r="AO97" s="68"/>
      <c r="AP97" s="24">
        <f t="shared" si="31"/>
        <v>142.9</v>
      </c>
      <c r="AQ97" s="24"/>
      <c r="AR97" s="24">
        <f t="shared" si="32"/>
        <v>142.9</v>
      </c>
      <c r="AS97" s="76"/>
      <c r="AT97" s="1"/>
      <c r="AU97" s="1"/>
      <c r="AV97" s="38"/>
      <c r="AW97" s="3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9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9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9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9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9"/>
      <c r="GH97" s="8"/>
      <c r="GI97" s="8"/>
    </row>
    <row r="98" spans="1:191" s="2" customFormat="1" ht="17.100000000000001" customHeight="1">
      <c r="A98" s="13" t="s">
        <v>81</v>
      </c>
      <c r="B98" s="24">
        <v>1555.5</v>
      </c>
      <c r="C98" s="24">
        <v>1983.4</v>
      </c>
      <c r="D98" s="4">
        <f t="shared" si="26"/>
        <v>1.2075088396014144</v>
      </c>
      <c r="E98" s="10">
        <v>15</v>
      </c>
      <c r="F98" s="5">
        <v>1</v>
      </c>
      <c r="G98" s="5">
        <v>10</v>
      </c>
      <c r="H98" s="5"/>
      <c r="I98" s="5"/>
      <c r="J98" s="4">
        <f t="shared" si="44"/>
        <v>0.947704789833822</v>
      </c>
      <c r="K98" s="5">
        <v>10</v>
      </c>
      <c r="L98" s="5" t="s">
        <v>394</v>
      </c>
      <c r="M98" s="5" t="s">
        <v>394</v>
      </c>
      <c r="N98" s="4" t="s">
        <v>394</v>
      </c>
      <c r="O98" s="5"/>
      <c r="P98" s="5" t="s">
        <v>394</v>
      </c>
      <c r="Q98" s="5" t="s">
        <v>394</v>
      </c>
      <c r="R98" s="5" t="s">
        <v>394</v>
      </c>
      <c r="S98" s="5"/>
      <c r="T98" s="5" t="s">
        <v>394</v>
      </c>
      <c r="U98" s="5" t="s">
        <v>394</v>
      </c>
      <c r="V98" s="5" t="s">
        <v>394</v>
      </c>
      <c r="W98" s="5"/>
      <c r="X98" s="5"/>
      <c r="Y98" s="5"/>
      <c r="Z98" s="4">
        <f t="shared" si="45"/>
        <v>0.90909090909090906</v>
      </c>
      <c r="AA98" s="5">
        <v>15</v>
      </c>
      <c r="AB98" s="31">
        <f t="shared" si="27"/>
        <v>1.0245208825744614</v>
      </c>
      <c r="AC98" s="32">
        <v>1735</v>
      </c>
      <c r="AD98" s="24">
        <f t="shared" si="28"/>
        <v>473.18181818181813</v>
      </c>
      <c r="AE98" s="24">
        <f t="shared" si="43"/>
        <v>484.8</v>
      </c>
      <c r="AF98" s="24">
        <f t="shared" si="29"/>
        <v>11.618181818181881</v>
      </c>
      <c r="AG98" s="24"/>
      <c r="AH98" s="24">
        <v>178.3</v>
      </c>
      <c r="AI98" s="24">
        <v>176.7</v>
      </c>
      <c r="AJ98" s="24">
        <f t="shared" si="30"/>
        <v>129.80000000000001</v>
      </c>
      <c r="AK98" s="68"/>
      <c r="AL98" s="40"/>
      <c r="AM98" s="40"/>
      <c r="AN98" s="68"/>
      <c r="AO98" s="68"/>
      <c r="AP98" s="24">
        <f t="shared" si="31"/>
        <v>129.80000000000001</v>
      </c>
      <c r="AQ98" s="24"/>
      <c r="AR98" s="24">
        <f t="shared" si="32"/>
        <v>129.80000000000001</v>
      </c>
      <c r="AS98" s="76"/>
      <c r="AT98" s="1"/>
      <c r="AU98" s="1"/>
      <c r="AV98" s="38"/>
      <c r="AW98" s="38"/>
      <c r="AX98" s="1"/>
      <c r="AY98" s="1"/>
      <c r="AZ98" s="1"/>
      <c r="BA98" s="1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9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9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9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9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9"/>
      <c r="GH98" s="8"/>
      <c r="GI98" s="8"/>
    </row>
    <row r="99" spans="1:191" s="2" customFormat="1" ht="17.100000000000001" customHeight="1">
      <c r="A99" s="13" t="s">
        <v>82</v>
      </c>
      <c r="B99" s="24">
        <v>438.8</v>
      </c>
      <c r="C99" s="24">
        <v>435.4</v>
      </c>
      <c r="D99" s="4">
        <f t="shared" si="26"/>
        <v>0.99225159525979933</v>
      </c>
      <c r="E99" s="10">
        <v>15</v>
      </c>
      <c r="F99" s="5">
        <v>1</v>
      </c>
      <c r="G99" s="5">
        <v>10</v>
      </c>
      <c r="H99" s="5"/>
      <c r="I99" s="5"/>
      <c r="J99" s="4">
        <f t="shared" si="44"/>
        <v>0.947704789833822</v>
      </c>
      <c r="K99" s="5">
        <v>10</v>
      </c>
      <c r="L99" s="5" t="s">
        <v>394</v>
      </c>
      <c r="M99" s="5" t="s">
        <v>394</v>
      </c>
      <c r="N99" s="4" t="s">
        <v>394</v>
      </c>
      <c r="O99" s="5"/>
      <c r="P99" s="5" t="s">
        <v>394</v>
      </c>
      <c r="Q99" s="5" t="s">
        <v>394</v>
      </c>
      <c r="R99" s="5" t="s">
        <v>394</v>
      </c>
      <c r="S99" s="5"/>
      <c r="T99" s="5" t="s">
        <v>394</v>
      </c>
      <c r="U99" s="5" t="s">
        <v>394</v>
      </c>
      <c r="V99" s="5" t="s">
        <v>394</v>
      </c>
      <c r="W99" s="5"/>
      <c r="X99" s="5"/>
      <c r="Y99" s="5"/>
      <c r="Z99" s="4">
        <f t="shared" si="45"/>
        <v>0.90909090909090906</v>
      </c>
      <c r="AA99" s="5">
        <v>15</v>
      </c>
      <c r="AB99" s="31">
        <f t="shared" si="27"/>
        <v>0.95994370927197703</v>
      </c>
      <c r="AC99" s="32">
        <v>2058</v>
      </c>
      <c r="AD99" s="24">
        <f t="shared" si="28"/>
        <v>561.27272727272725</v>
      </c>
      <c r="AE99" s="24">
        <f t="shared" si="43"/>
        <v>538.79999999999995</v>
      </c>
      <c r="AF99" s="24">
        <f t="shared" si="29"/>
        <v>-22.472727272727298</v>
      </c>
      <c r="AG99" s="24"/>
      <c r="AH99" s="24">
        <v>80.3</v>
      </c>
      <c r="AI99" s="24">
        <v>183</v>
      </c>
      <c r="AJ99" s="24">
        <f t="shared" si="30"/>
        <v>275.5</v>
      </c>
      <c r="AK99" s="68"/>
      <c r="AL99" s="40"/>
      <c r="AM99" s="40"/>
      <c r="AN99" s="68"/>
      <c r="AO99" s="68"/>
      <c r="AP99" s="24">
        <f t="shared" si="31"/>
        <v>275.5</v>
      </c>
      <c r="AQ99" s="24"/>
      <c r="AR99" s="24">
        <f t="shared" si="32"/>
        <v>275.5</v>
      </c>
      <c r="AS99" s="76"/>
      <c r="AT99" s="1"/>
      <c r="AU99" s="1"/>
      <c r="AV99" s="38"/>
      <c r="AW99" s="38"/>
      <c r="AX99" s="1"/>
      <c r="AY99" s="1"/>
      <c r="AZ99" s="1"/>
      <c r="BA99" s="1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9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9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9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9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9"/>
      <c r="GH99" s="8"/>
      <c r="GI99" s="8"/>
    </row>
    <row r="100" spans="1:191" s="2" customFormat="1" ht="17.100000000000001" customHeight="1">
      <c r="A100" s="13" t="s">
        <v>83</v>
      </c>
      <c r="B100" s="24">
        <v>215.7</v>
      </c>
      <c r="C100" s="24">
        <v>569.1</v>
      </c>
      <c r="D100" s="4">
        <f t="shared" si="26"/>
        <v>1.3</v>
      </c>
      <c r="E100" s="10">
        <v>15</v>
      </c>
      <c r="F100" s="5">
        <v>1</v>
      </c>
      <c r="G100" s="5">
        <v>10</v>
      </c>
      <c r="H100" s="5"/>
      <c r="I100" s="5"/>
      <c r="J100" s="4">
        <f t="shared" si="44"/>
        <v>0.947704789833822</v>
      </c>
      <c r="K100" s="5">
        <v>10</v>
      </c>
      <c r="L100" s="5" t="s">
        <v>394</v>
      </c>
      <c r="M100" s="5" t="s">
        <v>394</v>
      </c>
      <c r="N100" s="4" t="s">
        <v>394</v>
      </c>
      <c r="O100" s="5"/>
      <c r="P100" s="5" t="s">
        <v>394</v>
      </c>
      <c r="Q100" s="5" t="s">
        <v>394</v>
      </c>
      <c r="R100" s="5" t="s">
        <v>394</v>
      </c>
      <c r="S100" s="5"/>
      <c r="T100" s="5" t="s">
        <v>394</v>
      </c>
      <c r="U100" s="5" t="s">
        <v>394</v>
      </c>
      <c r="V100" s="5" t="s">
        <v>394</v>
      </c>
      <c r="W100" s="5"/>
      <c r="X100" s="5"/>
      <c r="Y100" s="5"/>
      <c r="Z100" s="4">
        <f t="shared" si="45"/>
        <v>0.90909090909090906</v>
      </c>
      <c r="AA100" s="5">
        <v>15</v>
      </c>
      <c r="AB100" s="31">
        <f t="shared" si="27"/>
        <v>1.052268230694037</v>
      </c>
      <c r="AC100" s="32">
        <v>2038</v>
      </c>
      <c r="AD100" s="24">
        <f t="shared" si="28"/>
        <v>555.81818181818187</v>
      </c>
      <c r="AE100" s="24">
        <f t="shared" si="43"/>
        <v>584.9</v>
      </c>
      <c r="AF100" s="24">
        <f t="shared" si="29"/>
        <v>29.081818181818107</v>
      </c>
      <c r="AG100" s="24"/>
      <c r="AH100" s="24">
        <v>218.6</v>
      </c>
      <c r="AI100" s="24">
        <v>218.6</v>
      </c>
      <c r="AJ100" s="24">
        <f t="shared" si="30"/>
        <v>147.69999999999999</v>
      </c>
      <c r="AK100" s="68"/>
      <c r="AL100" s="40"/>
      <c r="AM100" s="40"/>
      <c r="AN100" s="68"/>
      <c r="AO100" s="68"/>
      <c r="AP100" s="24">
        <f t="shared" si="31"/>
        <v>147.69999999999999</v>
      </c>
      <c r="AQ100" s="24"/>
      <c r="AR100" s="24">
        <f t="shared" si="32"/>
        <v>147.69999999999999</v>
      </c>
      <c r="AS100" s="76"/>
      <c r="AT100" s="1"/>
      <c r="AU100" s="1"/>
      <c r="AV100" s="38"/>
      <c r="AW100" s="38"/>
      <c r="AX100" s="1"/>
      <c r="AY100" s="1"/>
      <c r="AZ100" s="1"/>
      <c r="BA100" s="1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9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9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9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9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9"/>
      <c r="GH100" s="8"/>
      <c r="GI100" s="8"/>
    </row>
    <row r="101" spans="1:191" s="2" customFormat="1" ht="17.100000000000001" customHeight="1">
      <c r="A101" s="13" t="s">
        <v>84</v>
      </c>
      <c r="B101" s="24">
        <v>468.6</v>
      </c>
      <c r="C101" s="24">
        <v>428.2</v>
      </c>
      <c r="D101" s="4">
        <f t="shared" si="26"/>
        <v>0.91378574477166019</v>
      </c>
      <c r="E101" s="10">
        <v>15</v>
      </c>
      <c r="F101" s="5">
        <v>1</v>
      </c>
      <c r="G101" s="5">
        <v>10</v>
      </c>
      <c r="H101" s="5"/>
      <c r="I101" s="5"/>
      <c r="J101" s="4">
        <f>J$34</f>
        <v>0.947704789833822</v>
      </c>
      <c r="K101" s="5">
        <v>10</v>
      </c>
      <c r="L101" s="5" t="s">
        <v>394</v>
      </c>
      <c r="M101" s="5" t="s">
        <v>394</v>
      </c>
      <c r="N101" s="4" t="s">
        <v>394</v>
      </c>
      <c r="O101" s="5"/>
      <c r="P101" s="5" t="s">
        <v>394</v>
      </c>
      <c r="Q101" s="5" t="s">
        <v>394</v>
      </c>
      <c r="R101" s="5" t="s">
        <v>394</v>
      </c>
      <c r="S101" s="5"/>
      <c r="T101" s="5" t="s">
        <v>394</v>
      </c>
      <c r="U101" s="5" t="s">
        <v>394</v>
      </c>
      <c r="V101" s="5" t="s">
        <v>394</v>
      </c>
      <c r="W101" s="5"/>
      <c r="X101" s="5"/>
      <c r="Y101" s="5"/>
      <c r="Z101" s="4">
        <f>Z$34</f>
        <v>0.90909090909090906</v>
      </c>
      <c r="AA101" s="5">
        <v>15</v>
      </c>
      <c r="AB101" s="31">
        <f t="shared" si="27"/>
        <v>0.93640395412553512</v>
      </c>
      <c r="AC101" s="32">
        <v>2093</v>
      </c>
      <c r="AD101" s="24">
        <f t="shared" si="28"/>
        <v>570.81818181818187</v>
      </c>
      <c r="AE101" s="24">
        <f t="shared" si="43"/>
        <v>534.5</v>
      </c>
      <c r="AF101" s="24">
        <f t="shared" si="29"/>
        <v>-36.31818181818187</v>
      </c>
      <c r="AG101" s="24"/>
      <c r="AH101" s="24">
        <v>146.1</v>
      </c>
      <c r="AI101" s="24">
        <v>221.9</v>
      </c>
      <c r="AJ101" s="24">
        <f t="shared" si="30"/>
        <v>166.5</v>
      </c>
      <c r="AK101" s="68"/>
      <c r="AL101" s="40"/>
      <c r="AM101" s="40"/>
      <c r="AN101" s="68"/>
      <c r="AO101" s="68"/>
      <c r="AP101" s="24">
        <f t="shared" si="31"/>
        <v>166.5</v>
      </c>
      <c r="AQ101" s="24"/>
      <c r="AR101" s="24">
        <f t="shared" si="32"/>
        <v>166.5</v>
      </c>
      <c r="AS101" s="76"/>
      <c r="AT101" s="1"/>
      <c r="AU101" s="1"/>
      <c r="AV101" s="38"/>
      <c r="AW101" s="38"/>
      <c r="AX101" s="1"/>
      <c r="AY101" s="1"/>
      <c r="AZ101" s="1"/>
      <c r="BA101" s="1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9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9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9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9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9"/>
      <c r="GH101" s="8"/>
      <c r="GI101" s="8"/>
    </row>
    <row r="102" spans="1:191" s="2" customFormat="1" ht="17.100000000000001" customHeight="1">
      <c r="A102" s="17" t="s">
        <v>85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76"/>
      <c r="AT102" s="1"/>
      <c r="AU102" s="1"/>
      <c r="AV102" s="38"/>
      <c r="AW102" s="38"/>
      <c r="AX102" s="1"/>
      <c r="AY102" s="1"/>
      <c r="AZ102" s="1"/>
      <c r="BA102" s="1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9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9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9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9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9"/>
      <c r="GH102" s="8"/>
      <c r="GI102" s="8"/>
    </row>
    <row r="103" spans="1:191" s="2" customFormat="1" ht="17.100000000000001" customHeight="1">
      <c r="A103" s="13" t="s">
        <v>86</v>
      </c>
      <c r="B103" s="24">
        <v>70.599999999999994</v>
      </c>
      <c r="C103" s="24">
        <v>38.5</v>
      </c>
      <c r="D103" s="4">
        <f t="shared" si="26"/>
        <v>0.54532577903682722</v>
      </c>
      <c r="E103" s="10">
        <v>15</v>
      </c>
      <c r="F103" s="5">
        <v>1</v>
      </c>
      <c r="G103" s="5">
        <v>10</v>
      </c>
      <c r="H103" s="5"/>
      <c r="I103" s="5"/>
      <c r="J103" s="4">
        <f>J$35</f>
        <v>1.0004943502824859</v>
      </c>
      <c r="K103" s="5">
        <v>10</v>
      </c>
      <c r="L103" s="5" t="s">
        <v>394</v>
      </c>
      <c r="M103" s="5" t="s">
        <v>394</v>
      </c>
      <c r="N103" s="4" t="s">
        <v>394</v>
      </c>
      <c r="O103" s="5"/>
      <c r="P103" s="5" t="s">
        <v>394</v>
      </c>
      <c r="Q103" s="5" t="s">
        <v>394</v>
      </c>
      <c r="R103" s="5" t="s">
        <v>394</v>
      </c>
      <c r="S103" s="5"/>
      <c r="T103" s="5" t="s">
        <v>394</v>
      </c>
      <c r="U103" s="5" t="s">
        <v>394</v>
      </c>
      <c r="V103" s="5" t="s">
        <v>394</v>
      </c>
      <c r="W103" s="5"/>
      <c r="X103" s="5"/>
      <c r="Y103" s="5"/>
      <c r="Z103" s="4">
        <f>Z$35</f>
        <v>1.3</v>
      </c>
      <c r="AA103" s="5">
        <v>15</v>
      </c>
      <c r="AB103" s="31">
        <f t="shared" si="27"/>
        <v>0.95369660376754528</v>
      </c>
      <c r="AC103" s="32">
        <v>1063</v>
      </c>
      <c r="AD103" s="24">
        <f t="shared" si="28"/>
        <v>289.90909090909093</v>
      </c>
      <c r="AE103" s="24">
        <f t="shared" ref="AE103:AE115" si="46">ROUND(AB103*AD103,1)</f>
        <v>276.5</v>
      </c>
      <c r="AF103" s="24">
        <f t="shared" si="29"/>
        <v>-13.409090909090935</v>
      </c>
      <c r="AG103" s="24"/>
      <c r="AH103" s="24">
        <v>58.9</v>
      </c>
      <c r="AI103" s="24">
        <v>78.599999999999994</v>
      </c>
      <c r="AJ103" s="24">
        <f t="shared" si="30"/>
        <v>139</v>
      </c>
      <c r="AK103" s="68"/>
      <c r="AL103" s="40"/>
      <c r="AM103" s="40"/>
      <c r="AN103" s="68"/>
      <c r="AO103" s="68"/>
      <c r="AP103" s="24">
        <f t="shared" si="31"/>
        <v>139</v>
      </c>
      <c r="AQ103" s="24"/>
      <c r="AR103" s="24">
        <f t="shared" si="32"/>
        <v>139</v>
      </c>
      <c r="AS103" s="76"/>
      <c r="AT103" s="1"/>
      <c r="AU103" s="1"/>
      <c r="AV103" s="38"/>
      <c r="AW103" s="38"/>
      <c r="BA103" s="1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9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9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9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9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9"/>
      <c r="GH103" s="8"/>
      <c r="GI103" s="8"/>
    </row>
    <row r="104" spans="1:191" s="2" customFormat="1" ht="17.100000000000001" customHeight="1">
      <c r="A104" s="13" t="s">
        <v>87</v>
      </c>
      <c r="B104" s="24">
        <v>2750.6</v>
      </c>
      <c r="C104" s="24">
        <v>2687.1</v>
      </c>
      <c r="D104" s="4">
        <f t="shared" si="26"/>
        <v>0.97691412782665599</v>
      </c>
      <c r="E104" s="10">
        <v>15</v>
      </c>
      <c r="F104" s="5">
        <v>1</v>
      </c>
      <c r="G104" s="5">
        <v>10</v>
      </c>
      <c r="H104" s="5"/>
      <c r="I104" s="5"/>
      <c r="J104" s="4">
        <f t="shared" ref="J104:J115" si="47">J$35</f>
        <v>1.0004943502824859</v>
      </c>
      <c r="K104" s="5">
        <v>10</v>
      </c>
      <c r="L104" s="5" t="s">
        <v>394</v>
      </c>
      <c r="M104" s="5" t="s">
        <v>394</v>
      </c>
      <c r="N104" s="4" t="s">
        <v>394</v>
      </c>
      <c r="O104" s="5"/>
      <c r="P104" s="5" t="s">
        <v>394</v>
      </c>
      <c r="Q104" s="5" t="s">
        <v>394</v>
      </c>
      <c r="R104" s="5" t="s">
        <v>394</v>
      </c>
      <c r="S104" s="5"/>
      <c r="T104" s="5" t="s">
        <v>394</v>
      </c>
      <c r="U104" s="5" t="s">
        <v>394</v>
      </c>
      <c r="V104" s="5" t="s">
        <v>394</v>
      </c>
      <c r="W104" s="5"/>
      <c r="X104" s="5"/>
      <c r="Y104" s="5"/>
      <c r="Z104" s="4">
        <f t="shared" ref="Z104:Z115" si="48">Z$35</f>
        <v>1.3</v>
      </c>
      <c r="AA104" s="5">
        <v>15</v>
      </c>
      <c r="AB104" s="31">
        <f t="shared" si="27"/>
        <v>1.083173108404494</v>
      </c>
      <c r="AC104" s="32">
        <v>2348</v>
      </c>
      <c r="AD104" s="24">
        <f t="shared" si="28"/>
        <v>640.36363636363637</v>
      </c>
      <c r="AE104" s="24">
        <f t="shared" si="46"/>
        <v>693.6</v>
      </c>
      <c r="AF104" s="24">
        <f t="shared" si="29"/>
        <v>53.236363636363649</v>
      </c>
      <c r="AG104" s="24"/>
      <c r="AH104" s="24">
        <v>185.5</v>
      </c>
      <c r="AI104" s="24">
        <v>207.1</v>
      </c>
      <c r="AJ104" s="24">
        <f t="shared" si="30"/>
        <v>301</v>
      </c>
      <c r="AK104" s="68"/>
      <c r="AL104" s="40"/>
      <c r="AM104" s="40"/>
      <c r="AN104" s="68"/>
      <c r="AO104" s="68"/>
      <c r="AP104" s="24">
        <f t="shared" si="31"/>
        <v>301</v>
      </c>
      <c r="AQ104" s="24"/>
      <c r="AR104" s="24">
        <f t="shared" si="32"/>
        <v>301</v>
      </c>
      <c r="AS104" s="76"/>
      <c r="AT104" s="1"/>
      <c r="AU104" s="1"/>
      <c r="AV104" s="38"/>
      <c r="AW104" s="38"/>
      <c r="AX104" s="1"/>
      <c r="AY104" s="1"/>
      <c r="AZ104" s="1"/>
      <c r="BA104" s="1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9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9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9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9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9"/>
      <c r="GH104" s="8"/>
      <c r="GI104" s="8"/>
    </row>
    <row r="105" spans="1:191" s="2" customFormat="1" ht="17.100000000000001" customHeight="1">
      <c r="A105" s="13" t="s">
        <v>88</v>
      </c>
      <c r="B105" s="24">
        <v>857.7</v>
      </c>
      <c r="C105" s="24">
        <v>369.1</v>
      </c>
      <c r="D105" s="4">
        <f t="shared" si="26"/>
        <v>0.43033694765069375</v>
      </c>
      <c r="E105" s="10">
        <v>15</v>
      </c>
      <c r="F105" s="5">
        <v>1</v>
      </c>
      <c r="G105" s="5">
        <v>10</v>
      </c>
      <c r="H105" s="5"/>
      <c r="I105" s="5"/>
      <c r="J105" s="4">
        <f t="shared" si="47"/>
        <v>1.0004943502824859</v>
      </c>
      <c r="K105" s="5">
        <v>10</v>
      </c>
      <c r="L105" s="5" t="s">
        <v>394</v>
      </c>
      <c r="M105" s="5" t="s">
        <v>394</v>
      </c>
      <c r="N105" s="4" t="s">
        <v>394</v>
      </c>
      <c r="O105" s="5"/>
      <c r="P105" s="5" t="s">
        <v>394</v>
      </c>
      <c r="Q105" s="5" t="s">
        <v>394</v>
      </c>
      <c r="R105" s="5" t="s">
        <v>394</v>
      </c>
      <c r="S105" s="5"/>
      <c r="T105" s="5" t="s">
        <v>394</v>
      </c>
      <c r="U105" s="5" t="s">
        <v>394</v>
      </c>
      <c r="V105" s="5" t="s">
        <v>394</v>
      </c>
      <c r="W105" s="5"/>
      <c r="X105" s="5"/>
      <c r="Y105" s="5"/>
      <c r="Z105" s="4">
        <f t="shared" si="48"/>
        <v>1.3</v>
      </c>
      <c r="AA105" s="5">
        <v>15</v>
      </c>
      <c r="AB105" s="31">
        <f t="shared" si="27"/>
        <v>0.91919995435170532</v>
      </c>
      <c r="AC105" s="32">
        <v>1143</v>
      </c>
      <c r="AD105" s="24">
        <f t="shared" si="28"/>
        <v>311.72727272727275</v>
      </c>
      <c r="AE105" s="24">
        <f t="shared" si="46"/>
        <v>286.5</v>
      </c>
      <c r="AF105" s="24">
        <f t="shared" si="29"/>
        <v>-25.227272727272748</v>
      </c>
      <c r="AG105" s="24"/>
      <c r="AH105" s="24">
        <v>72.2</v>
      </c>
      <c r="AI105" s="24">
        <v>81.7</v>
      </c>
      <c r="AJ105" s="24">
        <f t="shared" si="30"/>
        <v>132.6</v>
      </c>
      <c r="AK105" s="68"/>
      <c r="AL105" s="40"/>
      <c r="AM105" s="40"/>
      <c r="AN105" s="68"/>
      <c r="AO105" s="68"/>
      <c r="AP105" s="24">
        <f t="shared" si="31"/>
        <v>132.6</v>
      </c>
      <c r="AQ105" s="24"/>
      <c r="AR105" s="24">
        <f t="shared" si="32"/>
        <v>132.6</v>
      </c>
      <c r="AS105" s="76"/>
      <c r="AT105" s="1"/>
      <c r="AU105" s="1"/>
      <c r="AV105" s="38"/>
      <c r="AW105" s="38"/>
      <c r="BA105" s="1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9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9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9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9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9"/>
      <c r="GH105" s="8"/>
      <c r="GI105" s="8"/>
    </row>
    <row r="106" spans="1:191" s="2" customFormat="1" ht="17.100000000000001" customHeight="1">
      <c r="A106" s="13" t="s">
        <v>89</v>
      </c>
      <c r="B106" s="24">
        <v>761.8</v>
      </c>
      <c r="C106" s="24">
        <v>564.79999999999995</v>
      </c>
      <c r="D106" s="4">
        <f t="shared" si="26"/>
        <v>0.74140194276713045</v>
      </c>
      <c r="E106" s="10">
        <v>15</v>
      </c>
      <c r="F106" s="5">
        <v>1</v>
      </c>
      <c r="G106" s="5">
        <v>10</v>
      </c>
      <c r="H106" s="5"/>
      <c r="I106" s="5"/>
      <c r="J106" s="4">
        <f t="shared" si="47"/>
        <v>1.0004943502824859</v>
      </c>
      <c r="K106" s="5">
        <v>10</v>
      </c>
      <c r="L106" s="5" t="s">
        <v>394</v>
      </c>
      <c r="M106" s="5" t="s">
        <v>394</v>
      </c>
      <c r="N106" s="4" t="s">
        <v>394</v>
      </c>
      <c r="O106" s="5"/>
      <c r="P106" s="5" t="s">
        <v>394</v>
      </c>
      <c r="Q106" s="5" t="s">
        <v>394</v>
      </c>
      <c r="R106" s="5" t="s">
        <v>394</v>
      </c>
      <c r="S106" s="5"/>
      <c r="T106" s="5" t="s">
        <v>394</v>
      </c>
      <c r="U106" s="5" t="s">
        <v>394</v>
      </c>
      <c r="V106" s="5" t="s">
        <v>394</v>
      </c>
      <c r="W106" s="5"/>
      <c r="X106" s="5"/>
      <c r="Y106" s="5"/>
      <c r="Z106" s="4">
        <f t="shared" si="48"/>
        <v>1.3</v>
      </c>
      <c r="AA106" s="5">
        <v>15</v>
      </c>
      <c r="AB106" s="31">
        <f t="shared" si="27"/>
        <v>1.0125194528866364</v>
      </c>
      <c r="AC106" s="32">
        <v>1226</v>
      </c>
      <c r="AD106" s="24">
        <f t="shared" si="28"/>
        <v>334.36363636363637</v>
      </c>
      <c r="AE106" s="24">
        <f t="shared" si="46"/>
        <v>338.5</v>
      </c>
      <c r="AF106" s="24">
        <f t="shared" si="29"/>
        <v>4.136363636363626</v>
      </c>
      <c r="AG106" s="24"/>
      <c r="AH106" s="24">
        <v>127.5</v>
      </c>
      <c r="AI106" s="24">
        <v>125.4</v>
      </c>
      <c r="AJ106" s="24">
        <f t="shared" si="30"/>
        <v>85.6</v>
      </c>
      <c r="AK106" s="68"/>
      <c r="AL106" s="40"/>
      <c r="AM106" s="40"/>
      <c r="AN106" s="68"/>
      <c r="AO106" s="68"/>
      <c r="AP106" s="24">
        <f t="shared" si="31"/>
        <v>85.6</v>
      </c>
      <c r="AQ106" s="24"/>
      <c r="AR106" s="24">
        <f t="shared" si="32"/>
        <v>85.6</v>
      </c>
      <c r="AS106" s="76"/>
      <c r="AT106" s="1"/>
      <c r="AU106" s="1"/>
      <c r="AV106" s="38"/>
      <c r="AW106" s="38"/>
      <c r="AX106" s="1"/>
      <c r="AY106" s="1"/>
      <c r="AZ106" s="1"/>
      <c r="BA106" s="1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9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9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9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9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9"/>
      <c r="GH106" s="8"/>
      <c r="GI106" s="8"/>
    </row>
    <row r="107" spans="1:191" s="2" customFormat="1" ht="17.100000000000001" customHeight="1">
      <c r="A107" s="13" t="s">
        <v>90</v>
      </c>
      <c r="B107" s="24">
        <v>481.1</v>
      </c>
      <c r="C107" s="24">
        <v>1331.3</v>
      </c>
      <c r="D107" s="4">
        <f t="shared" si="26"/>
        <v>1.3</v>
      </c>
      <c r="E107" s="10">
        <v>15</v>
      </c>
      <c r="F107" s="5">
        <v>1</v>
      </c>
      <c r="G107" s="5">
        <v>10</v>
      </c>
      <c r="H107" s="5"/>
      <c r="I107" s="5"/>
      <c r="J107" s="4">
        <f t="shared" si="47"/>
        <v>1.0004943502824859</v>
      </c>
      <c r="K107" s="5">
        <v>10</v>
      </c>
      <c r="L107" s="5" t="s">
        <v>394</v>
      </c>
      <c r="M107" s="5" t="s">
        <v>394</v>
      </c>
      <c r="N107" s="4" t="s">
        <v>394</v>
      </c>
      <c r="O107" s="5"/>
      <c r="P107" s="5" t="s">
        <v>394</v>
      </c>
      <c r="Q107" s="5" t="s">
        <v>394</v>
      </c>
      <c r="R107" s="5" t="s">
        <v>394</v>
      </c>
      <c r="S107" s="5"/>
      <c r="T107" s="5" t="s">
        <v>394</v>
      </c>
      <c r="U107" s="5" t="s">
        <v>394</v>
      </c>
      <c r="V107" s="5" t="s">
        <v>394</v>
      </c>
      <c r="W107" s="5"/>
      <c r="X107" s="5"/>
      <c r="Y107" s="5"/>
      <c r="Z107" s="4">
        <f t="shared" si="48"/>
        <v>1.3</v>
      </c>
      <c r="AA107" s="5">
        <v>15</v>
      </c>
      <c r="AB107" s="31">
        <f t="shared" si="27"/>
        <v>1.1800988700564972</v>
      </c>
      <c r="AC107" s="32">
        <v>1766</v>
      </c>
      <c r="AD107" s="24">
        <f t="shared" si="28"/>
        <v>481.63636363636363</v>
      </c>
      <c r="AE107" s="24">
        <f t="shared" si="46"/>
        <v>568.4</v>
      </c>
      <c r="AF107" s="24">
        <f t="shared" si="29"/>
        <v>86.763636363636351</v>
      </c>
      <c r="AG107" s="24"/>
      <c r="AH107" s="24">
        <v>163.80000000000001</v>
      </c>
      <c r="AI107" s="24">
        <v>189.4</v>
      </c>
      <c r="AJ107" s="24">
        <f t="shared" si="30"/>
        <v>215.2</v>
      </c>
      <c r="AK107" s="68"/>
      <c r="AL107" s="40"/>
      <c r="AM107" s="40"/>
      <c r="AN107" s="68"/>
      <c r="AO107" s="68"/>
      <c r="AP107" s="24">
        <f t="shared" si="31"/>
        <v>215.2</v>
      </c>
      <c r="AQ107" s="24"/>
      <c r="AR107" s="24">
        <f t="shared" si="32"/>
        <v>215.2</v>
      </c>
      <c r="AS107" s="76"/>
      <c r="AT107" s="1"/>
      <c r="AU107" s="1"/>
      <c r="AV107" s="38"/>
      <c r="AW107" s="38"/>
      <c r="AX107" s="1"/>
      <c r="AY107" s="1"/>
      <c r="AZ107" s="1"/>
      <c r="BA107" s="1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9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9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9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9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9"/>
      <c r="GH107" s="8"/>
      <c r="GI107" s="8"/>
    </row>
    <row r="108" spans="1:191" s="2" customFormat="1" ht="17.100000000000001" customHeight="1">
      <c r="A108" s="13" t="s">
        <v>91</v>
      </c>
      <c r="B108" s="24">
        <v>525.20000000000005</v>
      </c>
      <c r="C108" s="24">
        <v>508.7</v>
      </c>
      <c r="D108" s="4">
        <f t="shared" si="26"/>
        <v>0.96858339680121852</v>
      </c>
      <c r="E108" s="10">
        <v>15</v>
      </c>
      <c r="F108" s="5">
        <v>1</v>
      </c>
      <c r="G108" s="5">
        <v>10</v>
      </c>
      <c r="H108" s="5"/>
      <c r="I108" s="5"/>
      <c r="J108" s="4">
        <f t="shared" si="47"/>
        <v>1.0004943502824859</v>
      </c>
      <c r="K108" s="5">
        <v>10</v>
      </c>
      <c r="L108" s="5" t="s">
        <v>394</v>
      </c>
      <c r="M108" s="5" t="s">
        <v>394</v>
      </c>
      <c r="N108" s="4" t="s">
        <v>394</v>
      </c>
      <c r="O108" s="5"/>
      <c r="P108" s="5" t="s">
        <v>394</v>
      </c>
      <c r="Q108" s="5" t="s">
        <v>394</v>
      </c>
      <c r="R108" s="5" t="s">
        <v>394</v>
      </c>
      <c r="S108" s="5"/>
      <c r="T108" s="5" t="s">
        <v>394</v>
      </c>
      <c r="U108" s="5" t="s">
        <v>394</v>
      </c>
      <c r="V108" s="5" t="s">
        <v>394</v>
      </c>
      <c r="W108" s="5"/>
      <c r="X108" s="5"/>
      <c r="Y108" s="5"/>
      <c r="Z108" s="4">
        <f t="shared" si="48"/>
        <v>1.3</v>
      </c>
      <c r="AA108" s="5">
        <v>15</v>
      </c>
      <c r="AB108" s="31">
        <f t="shared" si="27"/>
        <v>1.0806738890968628</v>
      </c>
      <c r="AC108" s="32">
        <v>1271</v>
      </c>
      <c r="AD108" s="24">
        <f t="shared" si="28"/>
        <v>346.63636363636363</v>
      </c>
      <c r="AE108" s="24">
        <f t="shared" si="46"/>
        <v>374.6</v>
      </c>
      <c r="AF108" s="24">
        <f t="shared" si="29"/>
        <v>27.963636363636397</v>
      </c>
      <c r="AG108" s="24"/>
      <c r="AH108" s="24">
        <v>125.3</v>
      </c>
      <c r="AI108" s="24">
        <v>130.9</v>
      </c>
      <c r="AJ108" s="24">
        <f t="shared" si="30"/>
        <v>118.4</v>
      </c>
      <c r="AK108" s="68"/>
      <c r="AL108" s="40"/>
      <c r="AM108" s="40"/>
      <c r="AN108" s="68"/>
      <c r="AO108" s="68"/>
      <c r="AP108" s="24">
        <f t="shared" si="31"/>
        <v>118.4</v>
      </c>
      <c r="AQ108" s="24"/>
      <c r="AR108" s="24">
        <f t="shared" si="32"/>
        <v>118.4</v>
      </c>
      <c r="AS108" s="76"/>
      <c r="AT108" s="1"/>
      <c r="AU108" s="1"/>
      <c r="AV108" s="38"/>
      <c r="AW108" s="38"/>
      <c r="AZ108" s="1"/>
      <c r="BA108" s="1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9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9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9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9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9"/>
      <c r="GH108" s="8"/>
      <c r="GI108" s="8"/>
    </row>
    <row r="109" spans="1:191" s="2" customFormat="1" ht="17.100000000000001" customHeight="1">
      <c r="A109" s="13" t="s">
        <v>92</v>
      </c>
      <c r="B109" s="24">
        <v>153.1</v>
      </c>
      <c r="C109" s="24">
        <v>169.5</v>
      </c>
      <c r="D109" s="4">
        <f t="shared" si="26"/>
        <v>1.1071195297191379</v>
      </c>
      <c r="E109" s="10">
        <v>15</v>
      </c>
      <c r="F109" s="5">
        <v>1</v>
      </c>
      <c r="G109" s="5">
        <v>10</v>
      </c>
      <c r="H109" s="5"/>
      <c r="I109" s="5"/>
      <c r="J109" s="4">
        <f t="shared" si="47"/>
        <v>1.0004943502824859</v>
      </c>
      <c r="K109" s="5">
        <v>10</v>
      </c>
      <c r="L109" s="5" t="s">
        <v>394</v>
      </c>
      <c r="M109" s="5" t="s">
        <v>394</v>
      </c>
      <c r="N109" s="4" t="s">
        <v>394</v>
      </c>
      <c r="O109" s="5"/>
      <c r="P109" s="5" t="s">
        <v>394</v>
      </c>
      <c r="Q109" s="5" t="s">
        <v>394</v>
      </c>
      <c r="R109" s="5" t="s">
        <v>394</v>
      </c>
      <c r="S109" s="5"/>
      <c r="T109" s="5" t="s">
        <v>394</v>
      </c>
      <c r="U109" s="5" t="s">
        <v>394</v>
      </c>
      <c r="V109" s="5" t="s">
        <v>394</v>
      </c>
      <c r="W109" s="5"/>
      <c r="X109" s="5"/>
      <c r="Y109" s="5"/>
      <c r="Z109" s="4">
        <f t="shared" si="48"/>
        <v>1.3</v>
      </c>
      <c r="AA109" s="5">
        <v>15</v>
      </c>
      <c r="AB109" s="31">
        <f t="shared" si="27"/>
        <v>1.1222347289722385</v>
      </c>
      <c r="AC109" s="32">
        <v>1832</v>
      </c>
      <c r="AD109" s="24">
        <f t="shared" si="28"/>
        <v>499.63636363636363</v>
      </c>
      <c r="AE109" s="24">
        <f t="shared" si="46"/>
        <v>560.70000000000005</v>
      </c>
      <c r="AF109" s="24">
        <f t="shared" si="29"/>
        <v>61.063636363636419</v>
      </c>
      <c r="AG109" s="24"/>
      <c r="AH109" s="24">
        <v>160.69999999999999</v>
      </c>
      <c r="AI109" s="24">
        <v>175.9</v>
      </c>
      <c r="AJ109" s="24">
        <f t="shared" si="30"/>
        <v>224.1</v>
      </c>
      <c r="AK109" s="68"/>
      <c r="AL109" s="40"/>
      <c r="AM109" s="40"/>
      <c r="AN109" s="68"/>
      <c r="AO109" s="68"/>
      <c r="AP109" s="24">
        <f t="shared" si="31"/>
        <v>224.1</v>
      </c>
      <c r="AQ109" s="24"/>
      <c r="AR109" s="24">
        <f t="shared" si="32"/>
        <v>224.1</v>
      </c>
      <c r="AS109" s="76"/>
      <c r="AT109" s="1"/>
      <c r="AU109" s="1"/>
      <c r="AV109" s="38"/>
      <c r="AW109" s="38"/>
      <c r="AZ109" s="1"/>
      <c r="BA109" s="1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9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9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9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9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9"/>
      <c r="GH109" s="8"/>
      <c r="GI109" s="8"/>
    </row>
    <row r="110" spans="1:191" s="2" customFormat="1" ht="17.100000000000001" customHeight="1">
      <c r="A110" s="13" t="s">
        <v>93</v>
      </c>
      <c r="B110" s="24">
        <v>340.2</v>
      </c>
      <c r="C110" s="24">
        <v>813.5</v>
      </c>
      <c r="D110" s="4">
        <f t="shared" si="26"/>
        <v>1.3</v>
      </c>
      <c r="E110" s="10">
        <v>15</v>
      </c>
      <c r="F110" s="5">
        <v>1</v>
      </c>
      <c r="G110" s="5">
        <v>10</v>
      </c>
      <c r="H110" s="5"/>
      <c r="I110" s="5"/>
      <c r="J110" s="4">
        <f t="shared" si="47"/>
        <v>1.0004943502824859</v>
      </c>
      <c r="K110" s="5">
        <v>10</v>
      </c>
      <c r="L110" s="5" t="s">
        <v>394</v>
      </c>
      <c r="M110" s="5" t="s">
        <v>394</v>
      </c>
      <c r="N110" s="4" t="s">
        <v>394</v>
      </c>
      <c r="O110" s="5"/>
      <c r="P110" s="5" t="s">
        <v>394</v>
      </c>
      <c r="Q110" s="5" t="s">
        <v>394</v>
      </c>
      <c r="R110" s="5" t="s">
        <v>394</v>
      </c>
      <c r="S110" s="5"/>
      <c r="T110" s="5" t="s">
        <v>394</v>
      </c>
      <c r="U110" s="5" t="s">
        <v>394</v>
      </c>
      <c r="V110" s="5" t="s">
        <v>394</v>
      </c>
      <c r="W110" s="5"/>
      <c r="X110" s="5"/>
      <c r="Y110" s="5"/>
      <c r="Z110" s="4">
        <f t="shared" si="48"/>
        <v>1.3</v>
      </c>
      <c r="AA110" s="5">
        <v>15</v>
      </c>
      <c r="AB110" s="31">
        <f t="shared" si="27"/>
        <v>1.1800988700564972</v>
      </c>
      <c r="AC110" s="32">
        <v>1823</v>
      </c>
      <c r="AD110" s="24">
        <f t="shared" si="28"/>
        <v>497.18181818181813</v>
      </c>
      <c r="AE110" s="24">
        <f t="shared" si="46"/>
        <v>586.70000000000005</v>
      </c>
      <c r="AF110" s="24">
        <f t="shared" si="29"/>
        <v>89.518181818181915</v>
      </c>
      <c r="AG110" s="24"/>
      <c r="AH110" s="24">
        <v>193.2</v>
      </c>
      <c r="AI110" s="24">
        <v>195.6</v>
      </c>
      <c r="AJ110" s="24">
        <f t="shared" si="30"/>
        <v>197.9</v>
      </c>
      <c r="AK110" s="68"/>
      <c r="AL110" s="40"/>
      <c r="AM110" s="40"/>
      <c r="AN110" s="68"/>
      <c r="AO110" s="68"/>
      <c r="AP110" s="24">
        <f t="shared" si="31"/>
        <v>197.9</v>
      </c>
      <c r="AQ110" s="24"/>
      <c r="AR110" s="24">
        <f t="shared" si="32"/>
        <v>197.9</v>
      </c>
      <c r="AS110" s="76"/>
      <c r="AT110" s="1"/>
      <c r="AU110" s="1"/>
      <c r="AV110" s="38"/>
      <c r="AW110" s="38"/>
      <c r="BA110" s="1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9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9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9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9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9"/>
      <c r="GH110" s="8"/>
      <c r="GI110" s="8"/>
    </row>
    <row r="111" spans="1:191" s="2" customFormat="1" ht="17.100000000000001" customHeight="1">
      <c r="A111" s="13" t="s">
        <v>94</v>
      </c>
      <c r="B111" s="24">
        <v>768.6</v>
      </c>
      <c r="C111" s="24">
        <v>651.1</v>
      </c>
      <c r="D111" s="4">
        <f t="shared" si="26"/>
        <v>0.84712464220660944</v>
      </c>
      <c r="E111" s="10">
        <v>15</v>
      </c>
      <c r="F111" s="5">
        <v>1</v>
      </c>
      <c r="G111" s="5">
        <v>10</v>
      </c>
      <c r="H111" s="5"/>
      <c r="I111" s="5"/>
      <c r="J111" s="4">
        <f t="shared" si="47"/>
        <v>1.0004943502824859</v>
      </c>
      <c r="K111" s="5">
        <v>10</v>
      </c>
      <c r="L111" s="5" t="s">
        <v>394</v>
      </c>
      <c r="M111" s="5" t="s">
        <v>394</v>
      </c>
      <c r="N111" s="4" t="s">
        <v>394</v>
      </c>
      <c r="O111" s="5"/>
      <c r="P111" s="5" t="s">
        <v>394</v>
      </c>
      <c r="Q111" s="5" t="s">
        <v>394</v>
      </c>
      <c r="R111" s="5" t="s">
        <v>394</v>
      </c>
      <c r="S111" s="5"/>
      <c r="T111" s="5" t="s">
        <v>394</v>
      </c>
      <c r="U111" s="5" t="s">
        <v>394</v>
      </c>
      <c r="V111" s="5" t="s">
        <v>394</v>
      </c>
      <c r="W111" s="5"/>
      <c r="X111" s="5"/>
      <c r="Y111" s="5"/>
      <c r="Z111" s="4">
        <f t="shared" si="48"/>
        <v>1.3</v>
      </c>
      <c r="AA111" s="5">
        <v>15</v>
      </c>
      <c r="AB111" s="31">
        <f t="shared" si="27"/>
        <v>1.04423626271848</v>
      </c>
      <c r="AC111" s="32">
        <v>1262</v>
      </c>
      <c r="AD111" s="24">
        <f t="shared" si="28"/>
        <v>344.18181818181819</v>
      </c>
      <c r="AE111" s="24">
        <f t="shared" si="46"/>
        <v>359.4</v>
      </c>
      <c r="AF111" s="24">
        <f t="shared" si="29"/>
        <v>15.21818181818179</v>
      </c>
      <c r="AG111" s="24"/>
      <c r="AH111" s="24">
        <v>131.19999999999999</v>
      </c>
      <c r="AI111" s="24">
        <v>126.4</v>
      </c>
      <c r="AJ111" s="24">
        <f t="shared" si="30"/>
        <v>101.8</v>
      </c>
      <c r="AK111" s="68"/>
      <c r="AL111" s="40"/>
      <c r="AM111" s="40"/>
      <c r="AN111" s="68"/>
      <c r="AO111" s="68"/>
      <c r="AP111" s="24">
        <f t="shared" si="31"/>
        <v>101.8</v>
      </c>
      <c r="AQ111" s="24"/>
      <c r="AR111" s="24">
        <f t="shared" si="32"/>
        <v>101.8</v>
      </c>
      <c r="AS111" s="76"/>
      <c r="AT111" s="1"/>
      <c r="AU111" s="1"/>
      <c r="AV111" s="38"/>
      <c r="AW111" s="38"/>
      <c r="AX111" s="1"/>
      <c r="AY111" s="1"/>
      <c r="AZ111" s="1"/>
      <c r="BA111" s="1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9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9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9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9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9"/>
      <c r="GH111" s="8"/>
      <c r="GI111" s="8"/>
    </row>
    <row r="112" spans="1:191" s="2" customFormat="1" ht="17.100000000000001" customHeight="1">
      <c r="A112" s="13" t="s">
        <v>95</v>
      </c>
      <c r="B112" s="24">
        <v>78.8</v>
      </c>
      <c r="C112" s="24">
        <v>117.1</v>
      </c>
      <c r="D112" s="4">
        <f t="shared" si="26"/>
        <v>1.2286040609137054</v>
      </c>
      <c r="E112" s="10">
        <v>15</v>
      </c>
      <c r="F112" s="5">
        <v>1</v>
      </c>
      <c r="G112" s="5">
        <v>10</v>
      </c>
      <c r="H112" s="5"/>
      <c r="I112" s="5"/>
      <c r="J112" s="4">
        <f t="shared" si="47"/>
        <v>1.0004943502824859</v>
      </c>
      <c r="K112" s="5">
        <v>10</v>
      </c>
      <c r="L112" s="5" t="s">
        <v>394</v>
      </c>
      <c r="M112" s="5" t="s">
        <v>394</v>
      </c>
      <c r="N112" s="4" t="s">
        <v>394</v>
      </c>
      <c r="O112" s="5"/>
      <c r="P112" s="5" t="s">
        <v>394</v>
      </c>
      <c r="Q112" s="5" t="s">
        <v>394</v>
      </c>
      <c r="R112" s="5" t="s">
        <v>394</v>
      </c>
      <c r="S112" s="5"/>
      <c r="T112" s="5" t="s">
        <v>394</v>
      </c>
      <c r="U112" s="5" t="s">
        <v>394</v>
      </c>
      <c r="V112" s="5" t="s">
        <v>394</v>
      </c>
      <c r="W112" s="5"/>
      <c r="X112" s="5"/>
      <c r="Y112" s="5"/>
      <c r="Z112" s="4">
        <f t="shared" si="48"/>
        <v>1.3</v>
      </c>
      <c r="AA112" s="5">
        <v>15</v>
      </c>
      <c r="AB112" s="31">
        <f t="shared" si="27"/>
        <v>1.1586800883306088</v>
      </c>
      <c r="AC112" s="32">
        <v>1798</v>
      </c>
      <c r="AD112" s="24">
        <f t="shared" si="28"/>
        <v>490.36363636363637</v>
      </c>
      <c r="AE112" s="24">
        <f t="shared" si="46"/>
        <v>568.20000000000005</v>
      </c>
      <c r="AF112" s="24">
        <f t="shared" si="29"/>
        <v>77.836363636363672</v>
      </c>
      <c r="AG112" s="24"/>
      <c r="AH112" s="24">
        <v>188.7</v>
      </c>
      <c r="AI112" s="24">
        <v>186.6</v>
      </c>
      <c r="AJ112" s="24">
        <f t="shared" si="30"/>
        <v>192.9</v>
      </c>
      <c r="AK112" s="68"/>
      <c r="AL112" s="40"/>
      <c r="AM112" s="40"/>
      <c r="AN112" s="68"/>
      <c r="AO112" s="68"/>
      <c r="AP112" s="24">
        <f t="shared" si="31"/>
        <v>192.9</v>
      </c>
      <c r="AQ112" s="24"/>
      <c r="AR112" s="24">
        <f t="shared" si="32"/>
        <v>192.9</v>
      </c>
      <c r="AS112" s="76"/>
      <c r="AT112" s="1"/>
      <c r="AU112" s="1"/>
      <c r="AV112" s="38"/>
      <c r="AW112" s="38"/>
      <c r="AX112" s="1"/>
      <c r="AY112" s="1"/>
      <c r="AZ112" s="1"/>
      <c r="BA112" s="1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9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9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9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9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9"/>
      <c r="GH112" s="8"/>
      <c r="GI112" s="8"/>
    </row>
    <row r="113" spans="1:191" s="2" customFormat="1" ht="17.100000000000001" customHeight="1">
      <c r="A113" s="33" t="s">
        <v>96</v>
      </c>
      <c r="B113" s="24">
        <v>504.2</v>
      </c>
      <c r="C113" s="24">
        <v>530.29999999999995</v>
      </c>
      <c r="D113" s="4">
        <f t="shared" si="26"/>
        <v>1.051765172550575</v>
      </c>
      <c r="E113" s="10">
        <v>15</v>
      </c>
      <c r="F113" s="5">
        <v>1</v>
      </c>
      <c r="G113" s="5">
        <v>10</v>
      </c>
      <c r="H113" s="5"/>
      <c r="I113" s="5"/>
      <c r="J113" s="4">
        <f t="shared" si="47"/>
        <v>1.0004943502824859</v>
      </c>
      <c r="K113" s="5">
        <v>10</v>
      </c>
      <c r="L113" s="5" t="s">
        <v>394</v>
      </c>
      <c r="M113" s="5" t="s">
        <v>394</v>
      </c>
      <c r="N113" s="4" t="s">
        <v>394</v>
      </c>
      <c r="O113" s="5"/>
      <c r="P113" s="5" t="s">
        <v>394</v>
      </c>
      <c r="Q113" s="5" t="s">
        <v>394</v>
      </c>
      <c r="R113" s="5" t="s">
        <v>394</v>
      </c>
      <c r="S113" s="5"/>
      <c r="T113" s="5" t="s">
        <v>394</v>
      </c>
      <c r="U113" s="5" t="s">
        <v>394</v>
      </c>
      <c r="V113" s="5" t="s">
        <v>394</v>
      </c>
      <c r="W113" s="5"/>
      <c r="X113" s="5"/>
      <c r="Y113" s="5"/>
      <c r="Z113" s="4">
        <f t="shared" si="48"/>
        <v>1.3</v>
      </c>
      <c r="AA113" s="5">
        <v>15</v>
      </c>
      <c r="AB113" s="31">
        <f t="shared" si="27"/>
        <v>1.1056284218216696</v>
      </c>
      <c r="AC113" s="32">
        <v>905</v>
      </c>
      <c r="AD113" s="24">
        <f t="shared" si="28"/>
        <v>246.81818181818181</v>
      </c>
      <c r="AE113" s="24">
        <f t="shared" si="46"/>
        <v>272.89999999999998</v>
      </c>
      <c r="AF113" s="24">
        <f t="shared" si="29"/>
        <v>26.081818181818164</v>
      </c>
      <c r="AG113" s="24"/>
      <c r="AH113" s="24">
        <v>96.9</v>
      </c>
      <c r="AI113" s="24">
        <v>59.6</v>
      </c>
      <c r="AJ113" s="24">
        <f t="shared" si="30"/>
        <v>116.4</v>
      </c>
      <c r="AK113" s="68"/>
      <c r="AL113" s="40"/>
      <c r="AM113" s="40"/>
      <c r="AN113" s="68"/>
      <c r="AO113" s="68"/>
      <c r="AP113" s="24">
        <f t="shared" si="31"/>
        <v>116.4</v>
      </c>
      <c r="AQ113" s="24"/>
      <c r="AR113" s="24">
        <f t="shared" si="32"/>
        <v>116.4</v>
      </c>
      <c r="AS113" s="76"/>
      <c r="AT113" s="1"/>
      <c r="AU113" s="1"/>
      <c r="AV113" s="38"/>
      <c r="AW113" s="38"/>
      <c r="AX113" s="1"/>
      <c r="AY113" s="1"/>
      <c r="AZ113" s="1"/>
      <c r="BA113" s="1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9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9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9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9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9"/>
      <c r="GH113" s="8"/>
      <c r="GI113" s="8"/>
    </row>
    <row r="114" spans="1:191" s="2" customFormat="1" ht="17.100000000000001" customHeight="1">
      <c r="A114" s="13" t="s">
        <v>97</v>
      </c>
      <c r="B114" s="24">
        <v>355.7</v>
      </c>
      <c r="C114" s="24">
        <v>295.3</v>
      </c>
      <c r="D114" s="4">
        <f t="shared" si="26"/>
        <v>0.83019398369412434</v>
      </c>
      <c r="E114" s="10">
        <v>15</v>
      </c>
      <c r="F114" s="5">
        <v>1</v>
      </c>
      <c r="G114" s="5">
        <v>10</v>
      </c>
      <c r="H114" s="5"/>
      <c r="I114" s="5"/>
      <c r="J114" s="4">
        <f t="shared" si="47"/>
        <v>1.0004943502824859</v>
      </c>
      <c r="K114" s="5">
        <v>10</v>
      </c>
      <c r="L114" s="5" t="s">
        <v>394</v>
      </c>
      <c r="M114" s="5" t="s">
        <v>394</v>
      </c>
      <c r="N114" s="4" t="s">
        <v>394</v>
      </c>
      <c r="O114" s="5"/>
      <c r="P114" s="5" t="s">
        <v>394</v>
      </c>
      <c r="Q114" s="5" t="s">
        <v>394</v>
      </c>
      <c r="R114" s="5" t="s">
        <v>394</v>
      </c>
      <c r="S114" s="5"/>
      <c r="T114" s="5" t="s">
        <v>394</v>
      </c>
      <c r="U114" s="5" t="s">
        <v>394</v>
      </c>
      <c r="V114" s="5" t="s">
        <v>394</v>
      </c>
      <c r="W114" s="5"/>
      <c r="X114" s="5"/>
      <c r="Y114" s="5"/>
      <c r="Z114" s="4">
        <f t="shared" si="48"/>
        <v>1.3</v>
      </c>
      <c r="AA114" s="5">
        <v>15</v>
      </c>
      <c r="AB114" s="31">
        <f t="shared" si="27"/>
        <v>1.0391570651647344</v>
      </c>
      <c r="AC114" s="32">
        <v>1162</v>
      </c>
      <c r="AD114" s="24">
        <f t="shared" si="28"/>
        <v>316.90909090909093</v>
      </c>
      <c r="AE114" s="24">
        <f t="shared" si="46"/>
        <v>329.3</v>
      </c>
      <c r="AF114" s="24">
        <f t="shared" si="29"/>
        <v>12.390909090909076</v>
      </c>
      <c r="AG114" s="24"/>
      <c r="AH114" s="24">
        <v>83.5</v>
      </c>
      <c r="AI114" s="24">
        <v>124.7</v>
      </c>
      <c r="AJ114" s="24">
        <f t="shared" si="30"/>
        <v>121.1</v>
      </c>
      <c r="AK114" s="68"/>
      <c r="AL114" s="40"/>
      <c r="AM114" s="40"/>
      <c r="AN114" s="68"/>
      <c r="AO114" s="68"/>
      <c r="AP114" s="24">
        <f t="shared" si="31"/>
        <v>121.1</v>
      </c>
      <c r="AQ114" s="24"/>
      <c r="AR114" s="24">
        <f t="shared" si="32"/>
        <v>121.1</v>
      </c>
      <c r="AS114" s="76"/>
      <c r="AT114" s="1"/>
      <c r="AU114" s="1"/>
      <c r="AV114" s="38"/>
      <c r="AW114" s="38"/>
      <c r="AX114" s="1"/>
      <c r="AY114" s="1"/>
      <c r="AZ114" s="1"/>
      <c r="BA114" s="1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9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9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9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9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9"/>
      <c r="GH114" s="8"/>
      <c r="GI114" s="8"/>
    </row>
    <row r="115" spans="1:191" s="2" customFormat="1" ht="17.100000000000001" customHeight="1">
      <c r="A115" s="13" t="s">
        <v>98</v>
      </c>
      <c r="B115" s="24">
        <v>98.1</v>
      </c>
      <c r="C115" s="24">
        <v>280.8</v>
      </c>
      <c r="D115" s="4">
        <f t="shared" si="26"/>
        <v>1.3</v>
      </c>
      <c r="E115" s="10">
        <v>15</v>
      </c>
      <c r="F115" s="5">
        <v>1</v>
      </c>
      <c r="G115" s="5">
        <v>10</v>
      </c>
      <c r="H115" s="5"/>
      <c r="I115" s="5"/>
      <c r="J115" s="4">
        <f t="shared" si="47"/>
        <v>1.0004943502824859</v>
      </c>
      <c r="K115" s="5">
        <v>10</v>
      </c>
      <c r="L115" s="5" t="s">
        <v>394</v>
      </c>
      <c r="M115" s="5" t="s">
        <v>394</v>
      </c>
      <c r="N115" s="4" t="s">
        <v>394</v>
      </c>
      <c r="O115" s="5"/>
      <c r="P115" s="5" t="s">
        <v>394</v>
      </c>
      <c r="Q115" s="5" t="s">
        <v>394</v>
      </c>
      <c r="R115" s="5" t="s">
        <v>394</v>
      </c>
      <c r="S115" s="5"/>
      <c r="T115" s="5" t="s">
        <v>394</v>
      </c>
      <c r="U115" s="5" t="s">
        <v>394</v>
      </c>
      <c r="V115" s="5" t="s">
        <v>394</v>
      </c>
      <c r="W115" s="5"/>
      <c r="X115" s="5"/>
      <c r="Y115" s="5"/>
      <c r="Z115" s="4">
        <f t="shared" si="48"/>
        <v>1.3</v>
      </c>
      <c r="AA115" s="5">
        <v>15</v>
      </c>
      <c r="AB115" s="31">
        <f t="shared" si="27"/>
        <v>1.1800988700564972</v>
      </c>
      <c r="AC115" s="32">
        <v>881</v>
      </c>
      <c r="AD115" s="24">
        <f t="shared" si="28"/>
        <v>240.27272727272728</v>
      </c>
      <c r="AE115" s="24">
        <f t="shared" si="46"/>
        <v>283.5</v>
      </c>
      <c r="AF115" s="24">
        <f t="shared" si="29"/>
        <v>43.22727272727272</v>
      </c>
      <c r="AG115" s="24"/>
      <c r="AH115" s="24">
        <v>85.7</v>
      </c>
      <c r="AI115" s="24">
        <v>52.2</v>
      </c>
      <c r="AJ115" s="24">
        <f t="shared" si="30"/>
        <v>145.6</v>
      </c>
      <c r="AK115" s="68"/>
      <c r="AL115" s="40"/>
      <c r="AM115" s="40"/>
      <c r="AN115" s="68"/>
      <c r="AO115" s="68"/>
      <c r="AP115" s="24">
        <f t="shared" si="31"/>
        <v>145.6</v>
      </c>
      <c r="AQ115" s="24"/>
      <c r="AR115" s="24">
        <f t="shared" si="32"/>
        <v>145.6</v>
      </c>
      <c r="AS115" s="76"/>
      <c r="AT115" s="1"/>
      <c r="AU115" s="1"/>
      <c r="AV115" s="38"/>
      <c r="AW115" s="38"/>
      <c r="AX115" s="1"/>
      <c r="AY115" s="1"/>
      <c r="AZ115" s="1"/>
      <c r="BA115" s="1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9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9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9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9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9"/>
      <c r="GH115" s="8"/>
      <c r="GI115" s="8"/>
    </row>
    <row r="116" spans="1:191" s="2" customFormat="1" ht="17.100000000000001" customHeight="1">
      <c r="A116" s="17" t="s">
        <v>99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76"/>
      <c r="AT116" s="1"/>
      <c r="AU116" s="1"/>
      <c r="AV116" s="38"/>
      <c r="AW116" s="38"/>
      <c r="AX116" s="1"/>
      <c r="AY116" s="1"/>
      <c r="AZ116" s="1"/>
      <c r="BA116" s="1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9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9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9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9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9"/>
      <c r="GH116" s="8"/>
      <c r="GI116" s="8"/>
    </row>
    <row r="117" spans="1:191" s="2" customFormat="1" ht="15.6" customHeight="1">
      <c r="A117" s="13" t="s">
        <v>100</v>
      </c>
      <c r="B117" s="24">
        <v>11170.2</v>
      </c>
      <c r="C117" s="24">
        <v>11955.5</v>
      </c>
      <c r="D117" s="4">
        <f t="shared" si="26"/>
        <v>1.0703031279654796</v>
      </c>
      <c r="E117" s="10">
        <v>15</v>
      </c>
      <c r="F117" s="5">
        <v>1</v>
      </c>
      <c r="G117" s="5">
        <v>10</v>
      </c>
      <c r="H117" s="5"/>
      <c r="I117" s="5"/>
      <c r="J117" s="4">
        <f>J$36</f>
        <v>1.060889115993868</v>
      </c>
      <c r="K117" s="5">
        <v>10</v>
      </c>
      <c r="L117" s="5" t="s">
        <v>394</v>
      </c>
      <c r="M117" s="5" t="s">
        <v>394</v>
      </c>
      <c r="N117" s="4" t="s">
        <v>394</v>
      </c>
      <c r="O117" s="5"/>
      <c r="P117" s="5" t="s">
        <v>394</v>
      </c>
      <c r="Q117" s="5" t="s">
        <v>394</v>
      </c>
      <c r="R117" s="5" t="s">
        <v>394</v>
      </c>
      <c r="S117" s="5"/>
      <c r="T117" s="5" t="s">
        <v>394</v>
      </c>
      <c r="U117" s="5" t="s">
        <v>394</v>
      </c>
      <c r="V117" s="5" t="s">
        <v>394</v>
      </c>
      <c r="W117" s="5"/>
      <c r="X117" s="5"/>
      <c r="Y117" s="5"/>
      <c r="Z117" s="4">
        <f>Z$36</f>
        <v>1.0263788968824941</v>
      </c>
      <c r="AA117" s="5">
        <v>15</v>
      </c>
      <c r="AB117" s="31">
        <f t="shared" si="27"/>
        <v>1.0411824306531656</v>
      </c>
      <c r="AC117" s="32">
        <v>2731</v>
      </c>
      <c r="AD117" s="24">
        <f t="shared" si="28"/>
        <v>744.81818181818187</v>
      </c>
      <c r="AE117" s="24">
        <f t="shared" ref="AE117:AE131" si="49">ROUND(AB117*AD117,1)</f>
        <v>775.5</v>
      </c>
      <c r="AF117" s="24">
        <f t="shared" si="29"/>
        <v>30.68181818181813</v>
      </c>
      <c r="AG117" s="24"/>
      <c r="AH117" s="24">
        <v>279.60000000000002</v>
      </c>
      <c r="AI117" s="24">
        <v>219.3</v>
      </c>
      <c r="AJ117" s="24">
        <f t="shared" si="30"/>
        <v>276.60000000000002</v>
      </c>
      <c r="AK117" s="40"/>
      <c r="AL117" s="40"/>
      <c r="AM117" s="40"/>
      <c r="AN117" s="68"/>
      <c r="AO117" s="68"/>
      <c r="AP117" s="24">
        <f t="shared" si="31"/>
        <v>276.60000000000002</v>
      </c>
      <c r="AQ117" s="24">
        <f>MIN(AP117,59)</f>
        <v>59</v>
      </c>
      <c r="AR117" s="24">
        <f t="shared" si="32"/>
        <v>217.6</v>
      </c>
      <c r="AS117" s="76"/>
      <c r="AT117" s="1"/>
      <c r="AU117" s="1"/>
      <c r="AV117" s="38"/>
      <c r="AW117" s="38"/>
      <c r="AY117" s="1"/>
      <c r="AZ117" s="1"/>
      <c r="BA117" s="1"/>
      <c r="BB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9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9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9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9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9"/>
      <c r="GH117" s="8"/>
      <c r="GI117" s="8"/>
    </row>
    <row r="118" spans="1:191" s="2" customFormat="1" ht="17.100000000000001" customHeight="1">
      <c r="A118" s="13" t="s">
        <v>101</v>
      </c>
      <c r="B118" s="24">
        <v>2701.7</v>
      </c>
      <c r="C118" s="24">
        <v>3564.8</v>
      </c>
      <c r="D118" s="4">
        <f t="shared" si="26"/>
        <v>1.2119465521708555</v>
      </c>
      <c r="E118" s="10">
        <v>15</v>
      </c>
      <c r="F118" s="5">
        <v>1</v>
      </c>
      <c r="G118" s="5">
        <v>10</v>
      </c>
      <c r="H118" s="5"/>
      <c r="I118" s="5"/>
      <c r="J118" s="4">
        <f t="shared" ref="J118:J131" si="50">J$36</f>
        <v>1.060889115993868</v>
      </c>
      <c r="K118" s="5">
        <v>10</v>
      </c>
      <c r="L118" s="5" t="s">
        <v>394</v>
      </c>
      <c r="M118" s="5" t="s">
        <v>394</v>
      </c>
      <c r="N118" s="4" t="s">
        <v>394</v>
      </c>
      <c r="O118" s="5"/>
      <c r="P118" s="5" t="s">
        <v>394</v>
      </c>
      <c r="Q118" s="5" t="s">
        <v>394</v>
      </c>
      <c r="R118" s="5" t="s">
        <v>394</v>
      </c>
      <c r="S118" s="5"/>
      <c r="T118" s="5" t="s">
        <v>394</v>
      </c>
      <c r="U118" s="5" t="s">
        <v>394</v>
      </c>
      <c r="V118" s="5" t="s">
        <v>394</v>
      </c>
      <c r="W118" s="5"/>
      <c r="X118" s="5"/>
      <c r="Y118" s="5"/>
      <c r="Z118" s="4">
        <f t="shared" ref="Z118:Z131" si="51">Z$36</f>
        <v>1.0263788968824941</v>
      </c>
      <c r="AA118" s="5">
        <v>15</v>
      </c>
      <c r="AB118" s="31">
        <f t="shared" si="27"/>
        <v>1.0836754579147785</v>
      </c>
      <c r="AC118" s="32">
        <v>2643</v>
      </c>
      <c r="AD118" s="24">
        <f t="shared" si="28"/>
        <v>720.81818181818187</v>
      </c>
      <c r="AE118" s="24">
        <f t="shared" si="49"/>
        <v>781.1</v>
      </c>
      <c r="AF118" s="24">
        <f t="shared" si="29"/>
        <v>60.281818181818153</v>
      </c>
      <c r="AG118" s="24"/>
      <c r="AH118" s="24">
        <v>269.60000000000002</v>
      </c>
      <c r="AI118" s="24">
        <v>276.89999999999998</v>
      </c>
      <c r="AJ118" s="24">
        <f t="shared" si="30"/>
        <v>234.6</v>
      </c>
      <c r="AK118" s="68"/>
      <c r="AL118" s="40"/>
      <c r="AM118" s="40"/>
      <c r="AN118" s="68"/>
      <c r="AO118" s="68"/>
      <c r="AP118" s="24">
        <f t="shared" si="31"/>
        <v>234.6</v>
      </c>
      <c r="AQ118" s="24">
        <f>MIN(AP118,120.1)</f>
        <v>120.1</v>
      </c>
      <c r="AR118" s="24">
        <f t="shared" si="32"/>
        <v>114.5</v>
      </c>
      <c r="AS118" s="76"/>
      <c r="AT118" s="1"/>
      <c r="AU118" s="1"/>
      <c r="AV118" s="38"/>
      <c r="AW118" s="38"/>
      <c r="AY118" s="1"/>
      <c r="AZ118" s="1"/>
      <c r="BA118" s="1"/>
      <c r="BB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9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9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9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9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9"/>
      <c r="GH118" s="8"/>
      <c r="GI118" s="8"/>
    </row>
    <row r="119" spans="1:191" s="2" customFormat="1" ht="17.100000000000001" customHeight="1">
      <c r="A119" s="13" t="s">
        <v>102</v>
      </c>
      <c r="B119" s="24">
        <v>5767</v>
      </c>
      <c r="C119" s="24">
        <v>3622.7</v>
      </c>
      <c r="D119" s="4">
        <f t="shared" si="26"/>
        <v>0.62817756199063635</v>
      </c>
      <c r="E119" s="10">
        <v>15</v>
      </c>
      <c r="F119" s="5">
        <v>1</v>
      </c>
      <c r="G119" s="5">
        <v>10</v>
      </c>
      <c r="H119" s="5"/>
      <c r="I119" s="5"/>
      <c r="J119" s="4">
        <f t="shared" si="50"/>
        <v>1.060889115993868</v>
      </c>
      <c r="K119" s="5">
        <v>10</v>
      </c>
      <c r="L119" s="5" t="s">
        <v>394</v>
      </c>
      <c r="M119" s="5" t="s">
        <v>394</v>
      </c>
      <c r="N119" s="4" t="s">
        <v>394</v>
      </c>
      <c r="O119" s="5"/>
      <c r="P119" s="5" t="s">
        <v>394</v>
      </c>
      <c r="Q119" s="5" t="s">
        <v>394</v>
      </c>
      <c r="R119" s="5" t="s">
        <v>394</v>
      </c>
      <c r="S119" s="5"/>
      <c r="T119" s="5" t="s">
        <v>394</v>
      </c>
      <c r="U119" s="5" t="s">
        <v>394</v>
      </c>
      <c r="V119" s="5" t="s">
        <v>394</v>
      </c>
      <c r="W119" s="5"/>
      <c r="X119" s="5"/>
      <c r="Y119" s="5"/>
      <c r="Z119" s="4">
        <f t="shared" si="51"/>
        <v>1.0263788968824941</v>
      </c>
      <c r="AA119" s="5">
        <v>15</v>
      </c>
      <c r="AB119" s="31">
        <f t="shared" si="27"/>
        <v>0.90854476086071267</v>
      </c>
      <c r="AC119" s="32">
        <v>4087</v>
      </c>
      <c r="AD119" s="24">
        <f t="shared" si="28"/>
        <v>1114.6363636363637</v>
      </c>
      <c r="AE119" s="24">
        <f t="shared" si="49"/>
        <v>1012.7</v>
      </c>
      <c r="AF119" s="24">
        <f t="shared" si="29"/>
        <v>-101.93636363636369</v>
      </c>
      <c r="AG119" s="24"/>
      <c r="AH119" s="24">
        <v>324.39999999999998</v>
      </c>
      <c r="AI119" s="24">
        <v>281.5</v>
      </c>
      <c r="AJ119" s="24">
        <f t="shared" si="30"/>
        <v>406.8</v>
      </c>
      <c r="AK119" s="40"/>
      <c r="AL119" s="40"/>
      <c r="AM119" s="40"/>
      <c r="AN119" s="68"/>
      <c r="AO119" s="68"/>
      <c r="AP119" s="24">
        <f t="shared" si="31"/>
        <v>406.8</v>
      </c>
      <c r="AQ119" s="24">
        <f>MIN(AP119,181.2)</f>
        <v>181.2</v>
      </c>
      <c r="AR119" s="24">
        <f t="shared" si="32"/>
        <v>225.6</v>
      </c>
      <c r="AS119" s="76"/>
      <c r="AT119" s="1"/>
      <c r="AU119" s="1"/>
      <c r="AV119" s="38"/>
      <c r="AW119" s="38"/>
      <c r="BA119" s="1"/>
      <c r="BB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9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9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9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9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9"/>
      <c r="GH119" s="8"/>
      <c r="GI119" s="8"/>
    </row>
    <row r="120" spans="1:191" s="2" customFormat="1" ht="17.100000000000001" customHeight="1">
      <c r="A120" s="13" t="s">
        <v>103</v>
      </c>
      <c r="B120" s="24">
        <v>7950.5</v>
      </c>
      <c r="C120" s="24">
        <v>5610</v>
      </c>
      <c r="D120" s="4">
        <f t="shared" si="26"/>
        <v>0.70561599899377403</v>
      </c>
      <c r="E120" s="10">
        <v>15</v>
      </c>
      <c r="F120" s="5">
        <v>1</v>
      </c>
      <c r="G120" s="5">
        <v>10</v>
      </c>
      <c r="H120" s="5"/>
      <c r="I120" s="5"/>
      <c r="J120" s="4">
        <f t="shared" si="50"/>
        <v>1.060889115993868</v>
      </c>
      <c r="K120" s="5">
        <v>10</v>
      </c>
      <c r="L120" s="5" t="s">
        <v>394</v>
      </c>
      <c r="M120" s="5" t="s">
        <v>394</v>
      </c>
      <c r="N120" s="4" t="s">
        <v>394</v>
      </c>
      <c r="O120" s="5"/>
      <c r="P120" s="5" t="s">
        <v>394</v>
      </c>
      <c r="Q120" s="5" t="s">
        <v>394</v>
      </c>
      <c r="R120" s="5" t="s">
        <v>394</v>
      </c>
      <c r="S120" s="5"/>
      <c r="T120" s="5" t="s">
        <v>394</v>
      </c>
      <c r="U120" s="5" t="s">
        <v>394</v>
      </c>
      <c r="V120" s="5" t="s">
        <v>394</v>
      </c>
      <c r="W120" s="5"/>
      <c r="X120" s="5"/>
      <c r="Y120" s="5"/>
      <c r="Z120" s="4">
        <f t="shared" si="51"/>
        <v>1.0263788968824941</v>
      </c>
      <c r="AA120" s="5">
        <v>15</v>
      </c>
      <c r="AB120" s="31">
        <f t="shared" si="27"/>
        <v>0.93177629196165401</v>
      </c>
      <c r="AC120" s="32">
        <v>2735</v>
      </c>
      <c r="AD120" s="24">
        <f t="shared" si="28"/>
        <v>745.90909090909088</v>
      </c>
      <c r="AE120" s="24">
        <f t="shared" si="49"/>
        <v>695</v>
      </c>
      <c r="AF120" s="24">
        <f t="shared" si="29"/>
        <v>-50.909090909090878</v>
      </c>
      <c r="AG120" s="24"/>
      <c r="AH120" s="24">
        <v>194.5</v>
      </c>
      <c r="AI120" s="24">
        <v>277.7</v>
      </c>
      <c r="AJ120" s="24">
        <f t="shared" si="30"/>
        <v>222.8</v>
      </c>
      <c r="AK120" s="68"/>
      <c r="AL120" s="40"/>
      <c r="AM120" s="40"/>
      <c r="AN120" s="68"/>
      <c r="AO120" s="68"/>
      <c r="AP120" s="24">
        <f t="shared" si="31"/>
        <v>222.8</v>
      </c>
      <c r="AQ120" s="24">
        <f>MIN(AP120,31.2)</f>
        <v>31.2</v>
      </c>
      <c r="AR120" s="24">
        <f t="shared" si="32"/>
        <v>191.6</v>
      </c>
      <c r="AS120" s="76"/>
      <c r="AT120" s="1"/>
      <c r="AU120" s="1"/>
      <c r="AV120" s="38"/>
      <c r="AW120" s="38"/>
      <c r="BA120" s="1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9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9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9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9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9"/>
      <c r="GH120" s="8"/>
      <c r="GI120" s="8"/>
    </row>
    <row r="121" spans="1:191" s="2" customFormat="1" ht="17.100000000000001" customHeight="1">
      <c r="A121" s="13" t="s">
        <v>104</v>
      </c>
      <c r="B121" s="24">
        <v>9939.7000000000007</v>
      </c>
      <c r="C121" s="24">
        <v>9344.1</v>
      </c>
      <c r="D121" s="4">
        <f t="shared" si="26"/>
        <v>0.94007867440667225</v>
      </c>
      <c r="E121" s="10">
        <v>15</v>
      </c>
      <c r="F121" s="5">
        <v>1</v>
      </c>
      <c r="G121" s="5">
        <v>10</v>
      </c>
      <c r="H121" s="5"/>
      <c r="I121" s="5"/>
      <c r="J121" s="4">
        <f t="shared" si="50"/>
        <v>1.060889115993868</v>
      </c>
      <c r="K121" s="5">
        <v>10</v>
      </c>
      <c r="L121" s="5" t="s">
        <v>394</v>
      </c>
      <c r="M121" s="5" t="s">
        <v>394</v>
      </c>
      <c r="N121" s="4" t="s">
        <v>394</v>
      </c>
      <c r="O121" s="5"/>
      <c r="P121" s="5" t="s">
        <v>394</v>
      </c>
      <c r="Q121" s="5" t="s">
        <v>394</v>
      </c>
      <c r="R121" s="5" t="s">
        <v>394</v>
      </c>
      <c r="S121" s="5"/>
      <c r="T121" s="5" t="s">
        <v>394</v>
      </c>
      <c r="U121" s="5" t="s">
        <v>394</v>
      </c>
      <c r="V121" s="5" t="s">
        <v>394</v>
      </c>
      <c r="W121" s="5"/>
      <c r="X121" s="5"/>
      <c r="Y121" s="5"/>
      <c r="Z121" s="4">
        <f t="shared" si="51"/>
        <v>1.0263788968824941</v>
      </c>
      <c r="AA121" s="5">
        <v>15</v>
      </c>
      <c r="AB121" s="31">
        <f t="shared" si="27"/>
        <v>1.0021150945855235</v>
      </c>
      <c r="AC121" s="32">
        <v>3172</v>
      </c>
      <c r="AD121" s="24">
        <f t="shared" si="28"/>
        <v>865.09090909090912</v>
      </c>
      <c r="AE121" s="24">
        <f t="shared" si="49"/>
        <v>866.9</v>
      </c>
      <c r="AF121" s="24">
        <f t="shared" si="29"/>
        <v>1.8090909090908553</v>
      </c>
      <c r="AG121" s="24"/>
      <c r="AH121" s="24">
        <v>200.3</v>
      </c>
      <c r="AI121" s="24">
        <v>323.5</v>
      </c>
      <c r="AJ121" s="24">
        <f t="shared" si="30"/>
        <v>343.1</v>
      </c>
      <c r="AK121" s="40"/>
      <c r="AL121" s="40"/>
      <c r="AM121" s="40"/>
      <c r="AN121" s="68"/>
      <c r="AO121" s="68"/>
      <c r="AP121" s="24">
        <f t="shared" si="31"/>
        <v>343.1</v>
      </c>
      <c r="AQ121" s="24">
        <f>MIN(AP121,21.6)</f>
        <v>21.6</v>
      </c>
      <c r="AR121" s="24">
        <f t="shared" si="32"/>
        <v>321.5</v>
      </c>
      <c r="AS121" s="76"/>
      <c r="AT121" s="1"/>
      <c r="AU121" s="1"/>
      <c r="AV121" s="38"/>
      <c r="AW121" s="38"/>
      <c r="BA121" s="1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9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9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9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9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9"/>
      <c r="GH121" s="8"/>
      <c r="GI121" s="8"/>
    </row>
    <row r="122" spans="1:191" s="2" customFormat="1" ht="17.100000000000001" customHeight="1">
      <c r="A122" s="13" t="s">
        <v>105</v>
      </c>
      <c r="B122" s="24">
        <v>2808.4</v>
      </c>
      <c r="C122" s="24">
        <v>2653</v>
      </c>
      <c r="D122" s="4">
        <f t="shared" si="26"/>
        <v>0.94466600199401796</v>
      </c>
      <c r="E122" s="10">
        <v>15</v>
      </c>
      <c r="F122" s="5">
        <v>1</v>
      </c>
      <c r="G122" s="5">
        <v>10</v>
      </c>
      <c r="H122" s="5"/>
      <c r="I122" s="5"/>
      <c r="J122" s="4">
        <f t="shared" si="50"/>
        <v>1.060889115993868</v>
      </c>
      <c r="K122" s="5">
        <v>10</v>
      </c>
      <c r="L122" s="5" t="s">
        <v>394</v>
      </c>
      <c r="M122" s="5" t="s">
        <v>394</v>
      </c>
      <c r="N122" s="4" t="s">
        <v>394</v>
      </c>
      <c r="O122" s="5"/>
      <c r="P122" s="5" t="s">
        <v>394</v>
      </c>
      <c r="Q122" s="5" t="s">
        <v>394</v>
      </c>
      <c r="R122" s="5" t="s">
        <v>394</v>
      </c>
      <c r="S122" s="5"/>
      <c r="T122" s="5" t="s">
        <v>394</v>
      </c>
      <c r="U122" s="5" t="s">
        <v>394</v>
      </c>
      <c r="V122" s="5" t="s">
        <v>394</v>
      </c>
      <c r="W122" s="5"/>
      <c r="X122" s="5"/>
      <c r="Y122" s="5"/>
      <c r="Z122" s="4">
        <f t="shared" si="51"/>
        <v>1.0263788968824941</v>
      </c>
      <c r="AA122" s="5">
        <v>15</v>
      </c>
      <c r="AB122" s="31">
        <f t="shared" si="27"/>
        <v>1.0034912928617272</v>
      </c>
      <c r="AC122" s="32">
        <v>4202</v>
      </c>
      <c r="AD122" s="24">
        <f t="shared" si="28"/>
        <v>1146</v>
      </c>
      <c r="AE122" s="24">
        <f t="shared" si="49"/>
        <v>1150</v>
      </c>
      <c r="AF122" s="24">
        <f t="shared" si="29"/>
        <v>4</v>
      </c>
      <c r="AG122" s="24"/>
      <c r="AH122" s="24">
        <v>438</v>
      </c>
      <c r="AI122" s="24">
        <v>270.60000000000002</v>
      </c>
      <c r="AJ122" s="24">
        <f t="shared" si="30"/>
        <v>441.4</v>
      </c>
      <c r="AK122" s="68"/>
      <c r="AL122" s="40"/>
      <c r="AM122" s="40"/>
      <c r="AN122" s="68"/>
      <c r="AO122" s="68"/>
      <c r="AP122" s="24">
        <f t="shared" si="31"/>
        <v>441.4</v>
      </c>
      <c r="AQ122" s="24">
        <f>MIN(AP122,79.7)</f>
        <v>79.7</v>
      </c>
      <c r="AR122" s="24">
        <f t="shared" si="32"/>
        <v>361.7</v>
      </c>
      <c r="AS122" s="76"/>
      <c r="AT122" s="1"/>
      <c r="AU122" s="1"/>
      <c r="AV122" s="38"/>
      <c r="AW122" s="38"/>
      <c r="AY122" s="1"/>
      <c r="AZ122" s="1"/>
      <c r="BA122" s="1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9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9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9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9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9"/>
      <c r="GH122" s="8"/>
      <c r="GI122" s="8"/>
    </row>
    <row r="123" spans="1:191" s="2" customFormat="1" ht="17.100000000000001" customHeight="1">
      <c r="A123" s="13" t="s">
        <v>106</v>
      </c>
      <c r="B123" s="24">
        <v>1014.7</v>
      </c>
      <c r="C123" s="24">
        <v>1542.3</v>
      </c>
      <c r="D123" s="4">
        <f t="shared" ref="D123:D186" si="52">IF(E123=0,0,IF(B123=0,1,IF(C123&lt;0,0,IF(C123/B123&gt;1.2,IF((C123/B123-1.2)*0.1+1.2&gt;1.3,1.3,(C123/B123-1.2)*0.1+1.2),C123/B123))))</f>
        <v>1.2319956637429781</v>
      </c>
      <c r="E123" s="10">
        <v>15</v>
      </c>
      <c r="F123" s="5">
        <v>1</v>
      </c>
      <c r="G123" s="5">
        <v>10</v>
      </c>
      <c r="H123" s="5"/>
      <c r="I123" s="5"/>
      <c r="J123" s="4">
        <f t="shared" si="50"/>
        <v>1.060889115993868</v>
      </c>
      <c r="K123" s="5">
        <v>10</v>
      </c>
      <c r="L123" s="5" t="s">
        <v>394</v>
      </c>
      <c r="M123" s="5" t="s">
        <v>394</v>
      </c>
      <c r="N123" s="4" t="s">
        <v>394</v>
      </c>
      <c r="O123" s="5"/>
      <c r="P123" s="5" t="s">
        <v>394</v>
      </c>
      <c r="Q123" s="5" t="s">
        <v>394</v>
      </c>
      <c r="R123" s="5" t="s">
        <v>394</v>
      </c>
      <c r="S123" s="5"/>
      <c r="T123" s="5" t="s">
        <v>394</v>
      </c>
      <c r="U123" s="5" t="s">
        <v>394</v>
      </c>
      <c r="V123" s="5" t="s">
        <v>394</v>
      </c>
      <c r="W123" s="5"/>
      <c r="X123" s="5"/>
      <c r="Y123" s="5"/>
      <c r="Z123" s="4">
        <f t="shared" si="51"/>
        <v>1.0263788968824941</v>
      </c>
      <c r="AA123" s="5">
        <v>15</v>
      </c>
      <c r="AB123" s="31">
        <f t="shared" ref="AB123:AB186" si="53">(D123*E123+F123*G123+J123*K123+Z123*AA123)/(E123+G123+K123+AA123)</f>
        <v>1.0896901913864152</v>
      </c>
      <c r="AC123" s="32">
        <v>4073</v>
      </c>
      <c r="AD123" s="24">
        <f t="shared" ref="AD123:AD186" si="54">AC123/11*3</f>
        <v>1110.8181818181818</v>
      </c>
      <c r="AE123" s="24">
        <f t="shared" si="49"/>
        <v>1210.4000000000001</v>
      </c>
      <c r="AF123" s="24">
        <f t="shared" ref="AF123:AF186" si="55">AE123-AD123</f>
        <v>99.581818181818335</v>
      </c>
      <c r="AG123" s="24"/>
      <c r="AH123" s="24">
        <v>339.5</v>
      </c>
      <c r="AI123" s="24">
        <v>436.9</v>
      </c>
      <c r="AJ123" s="24">
        <f t="shared" ref="AJ123:AJ186" si="56">ROUND(AE123-SUM(AG123:AI123),1)</f>
        <v>434</v>
      </c>
      <c r="AK123" s="68"/>
      <c r="AL123" s="40"/>
      <c r="AM123" s="40"/>
      <c r="AN123" s="68"/>
      <c r="AO123" s="68"/>
      <c r="AP123" s="24">
        <f t="shared" ref="AP123:AP186" si="57">IF(OR(AJ123&lt;0,AK123="+",AL123="+",AM123="+",AN123="+",AO123="+"),0,AJ123)</f>
        <v>434</v>
      </c>
      <c r="AQ123" s="24"/>
      <c r="AR123" s="24">
        <f t="shared" ref="AR123:AR186" si="58">ROUND(AP123-AQ123,1)</f>
        <v>434</v>
      </c>
      <c r="AS123" s="76"/>
      <c r="AT123" s="1"/>
      <c r="AU123" s="1"/>
      <c r="AV123" s="38"/>
      <c r="AW123" s="38"/>
      <c r="AY123" s="1"/>
      <c r="AZ123" s="1"/>
      <c r="BA123" s="1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9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9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9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9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9"/>
      <c r="GH123" s="8"/>
      <c r="GI123" s="8"/>
    </row>
    <row r="124" spans="1:191" s="2" customFormat="1" ht="17.100000000000001" customHeight="1">
      <c r="A124" s="13" t="s">
        <v>107</v>
      </c>
      <c r="B124" s="24">
        <v>3362</v>
      </c>
      <c r="C124" s="24">
        <v>2366.9</v>
      </c>
      <c r="D124" s="4">
        <f t="shared" si="52"/>
        <v>0.70401546698393813</v>
      </c>
      <c r="E124" s="10">
        <v>15</v>
      </c>
      <c r="F124" s="5">
        <v>1</v>
      </c>
      <c r="G124" s="5">
        <v>10</v>
      </c>
      <c r="H124" s="5"/>
      <c r="I124" s="5"/>
      <c r="J124" s="4">
        <f t="shared" si="50"/>
        <v>1.060889115993868</v>
      </c>
      <c r="K124" s="5">
        <v>10</v>
      </c>
      <c r="L124" s="5" t="s">
        <v>394</v>
      </c>
      <c r="M124" s="5" t="s">
        <v>394</v>
      </c>
      <c r="N124" s="4" t="s">
        <v>394</v>
      </c>
      <c r="O124" s="5"/>
      <c r="P124" s="5" t="s">
        <v>394</v>
      </c>
      <c r="Q124" s="5" t="s">
        <v>394</v>
      </c>
      <c r="R124" s="5" t="s">
        <v>394</v>
      </c>
      <c r="S124" s="5"/>
      <c r="T124" s="5" t="s">
        <v>394</v>
      </c>
      <c r="U124" s="5" t="s">
        <v>394</v>
      </c>
      <c r="V124" s="5" t="s">
        <v>394</v>
      </c>
      <c r="W124" s="5"/>
      <c r="X124" s="5"/>
      <c r="Y124" s="5"/>
      <c r="Z124" s="4">
        <f t="shared" si="51"/>
        <v>1.0263788968824941</v>
      </c>
      <c r="AA124" s="5">
        <v>15</v>
      </c>
      <c r="AB124" s="31">
        <f t="shared" si="53"/>
        <v>0.93129613235870323</v>
      </c>
      <c r="AC124" s="32">
        <v>2703</v>
      </c>
      <c r="AD124" s="24">
        <f t="shared" si="54"/>
        <v>737.18181818181813</v>
      </c>
      <c r="AE124" s="24">
        <f t="shared" si="49"/>
        <v>686.5</v>
      </c>
      <c r="AF124" s="24">
        <f t="shared" si="55"/>
        <v>-50.68181818181813</v>
      </c>
      <c r="AG124" s="24"/>
      <c r="AH124" s="24">
        <v>215.2</v>
      </c>
      <c r="AI124" s="24">
        <v>202.3</v>
      </c>
      <c r="AJ124" s="24">
        <f t="shared" si="56"/>
        <v>269</v>
      </c>
      <c r="AK124" s="68"/>
      <c r="AL124" s="40"/>
      <c r="AM124" s="40"/>
      <c r="AN124" s="68"/>
      <c r="AO124" s="68"/>
      <c r="AP124" s="24">
        <f t="shared" si="57"/>
        <v>269</v>
      </c>
      <c r="AQ124" s="24">
        <f>MIN(AP124,51.5)</f>
        <v>51.5</v>
      </c>
      <c r="AR124" s="24">
        <f t="shared" si="58"/>
        <v>217.5</v>
      </c>
      <c r="AS124" s="76"/>
      <c r="AT124" s="1"/>
      <c r="AU124" s="1"/>
      <c r="AV124" s="38"/>
      <c r="AW124" s="38"/>
      <c r="AY124" s="1"/>
      <c r="AZ124" s="1"/>
      <c r="BA124" s="1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9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9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9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9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9"/>
      <c r="GH124" s="8"/>
      <c r="GI124" s="8"/>
    </row>
    <row r="125" spans="1:191" s="2" customFormat="1" ht="17.100000000000001" customHeight="1">
      <c r="A125" s="13" t="s">
        <v>108</v>
      </c>
      <c r="B125" s="24">
        <v>2334</v>
      </c>
      <c r="C125" s="24">
        <v>1879.2</v>
      </c>
      <c r="D125" s="4">
        <f t="shared" si="52"/>
        <v>0.80514138817480718</v>
      </c>
      <c r="E125" s="10">
        <v>15</v>
      </c>
      <c r="F125" s="5">
        <v>1</v>
      </c>
      <c r="G125" s="5">
        <v>10</v>
      </c>
      <c r="H125" s="5"/>
      <c r="I125" s="5"/>
      <c r="J125" s="4">
        <f t="shared" si="50"/>
        <v>1.060889115993868</v>
      </c>
      <c r="K125" s="5">
        <v>10</v>
      </c>
      <c r="L125" s="5" t="s">
        <v>394</v>
      </c>
      <c r="M125" s="5" t="s">
        <v>394</v>
      </c>
      <c r="N125" s="4" t="s">
        <v>394</v>
      </c>
      <c r="O125" s="5"/>
      <c r="P125" s="5" t="s">
        <v>394</v>
      </c>
      <c r="Q125" s="5" t="s">
        <v>394</v>
      </c>
      <c r="R125" s="5" t="s">
        <v>394</v>
      </c>
      <c r="S125" s="5"/>
      <c r="T125" s="5" t="s">
        <v>394</v>
      </c>
      <c r="U125" s="5" t="s">
        <v>394</v>
      </c>
      <c r="V125" s="5" t="s">
        <v>394</v>
      </c>
      <c r="W125" s="5"/>
      <c r="X125" s="5"/>
      <c r="Y125" s="5"/>
      <c r="Z125" s="4">
        <f t="shared" si="51"/>
        <v>1.0263788968824941</v>
      </c>
      <c r="AA125" s="5">
        <v>15</v>
      </c>
      <c r="AB125" s="31">
        <f t="shared" si="53"/>
        <v>0.96163390871596388</v>
      </c>
      <c r="AC125" s="32">
        <v>6846</v>
      </c>
      <c r="AD125" s="24">
        <f t="shared" si="54"/>
        <v>1867.090909090909</v>
      </c>
      <c r="AE125" s="24">
        <f t="shared" si="49"/>
        <v>1795.5</v>
      </c>
      <c r="AF125" s="24">
        <f t="shared" si="55"/>
        <v>-71.590909090909008</v>
      </c>
      <c r="AG125" s="24"/>
      <c r="AH125" s="24">
        <v>515.4</v>
      </c>
      <c r="AI125" s="24">
        <v>634.20000000000005</v>
      </c>
      <c r="AJ125" s="24">
        <f t="shared" si="56"/>
        <v>645.9</v>
      </c>
      <c r="AK125" s="68"/>
      <c r="AL125" s="40"/>
      <c r="AM125" s="40"/>
      <c r="AN125" s="68"/>
      <c r="AO125" s="68"/>
      <c r="AP125" s="24">
        <f t="shared" si="57"/>
        <v>645.9</v>
      </c>
      <c r="AQ125" s="24">
        <f>MIN(AP125,95.3)</f>
        <v>95.3</v>
      </c>
      <c r="AR125" s="24">
        <f t="shared" si="58"/>
        <v>550.6</v>
      </c>
      <c r="AS125" s="76"/>
      <c r="AT125" s="1"/>
      <c r="AU125" s="1"/>
      <c r="AV125" s="38"/>
      <c r="AW125" s="38"/>
      <c r="AY125" s="1"/>
      <c r="AZ125" s="1"/>
      <c r="BA125" s="1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9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9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9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9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9"/>
      <c r="GH125" s="8"/>
      <c r="GI125" s="8"/>
    </row>
    <row r="126" spans="1:191" s="2" customFormat="1" ht="17.100000000000001" customHeight="1">
      <c r="A126" s="13" t="s">
        <v>109</v>
      </c>
      <c r="B126" s="24">
        <v>5949.1</v>
      </c>
      <c r="C126" s="24">
        <v>6228.9</v>
      </c>
      <c r="D126" s="4">
        <f t="shared" si="52"/>
        <v>1.0470323242171082</v>
      </c>
      <c r="E126" s="10">
        <v>15</v>
      </c>
      <c r="F126" s="5">
        <v>1</v>
      </c>
      <c r="G126" s="5">
        <v>10</v>
      </c>
      <c r="H126" s="5"/>
      <c r="I126" s="5"/>
      <c r="J126" s="4">
        <f t="shared" si="50"/>
        <v>1.060889115993868</v>
      </c>
      <c r="K126" s="5">
        <v>10</v>
      </c>
      <c r="L126" s="5" t="s">
        <v>394</v>
      </c>
      <c r="M126" s="5" t="s">
        <v>394</v>
      </c>
      <c r="N126" s="4" t="s">
        <v>394</v>
      </c>
      <c r="O126" s="5"/>
      <c r="P126" s="5" t="s">
        <v>394</v>
      </c>
      <c r="Q126" s="5" t="s">
        <v>394</v>
      </c>
      <c r="R126" s="5" t="s">
        <v>394</v>
      </c>
      <c r="S126" s="5"/>
      <c r="T126" s="5" t="s">
        <v>394</v>
      </c>
      <c r="U126" s="5" t="s">
        <v>394</v>
      </c>
      <c r="V126" s="5" t="s">
        <v>394</v>
      </c>
      <c r="W126" s="5"/>
      <c r="X126" s="5"/>
      <c r="Y126" s="5"/>
      <c r="Z126" s="4">
        <f t="shared" si="51"/>
        <v>1.0263788968824941</v>
      </c>
      <c r="AA126" s="5">
        <v>15</v>
      </c>
      <c r="AB126" s="31">
        <f t="shared" si="53"/>
        <v>1.0342011895286543</v>
      </c>
      <c r="AC126" s="32">
        <v>0</v>
      </c>
      <c r="AD126" s="24">
        <f t="shared" si="54"/>
        <v>0</v>
      </c>
      <c r="AE126" s="24">
        <f t="shared" si="49"/>
        <v>0</v>
      </c>
      <c r="AF126" s="24">
        <f t="shared" si="55"/>
        <v>0</v>
      </c>
      <c r="AG126" s="24"/>
      <c r="AH126" s="24">
        <v>0</v>
      </c>
      <c r="AI126" s="24">
        <v>0</v>
      </c>
      <c r="AJ126" s="24">
        <f t="shared" si="56"/>
        <v>0</v>
      </c>
      <c r="AK126" s="40"/>
      <c r="AL126" s="40"/>
      <c r="AM126" s="40"/>
      <c r="AN126" s="68"/>
      <c r="AO126" s="68"/>
      <c r="AP126" s="24">
        <f t="shared" si="57"/>
        <v>0</v>
      </c>
      <c r="AQ126" s="24"/>
      <c r="AR126" s="24">
        <f t="shared" si="58"/>
        <v>0</v>
      </c>
      <c r="AS126" s="76"/>
      <c r="AT126" s="1"/>
      <c r="AU126" s="1"/>
      <c r="AV126" s="38"/>
      <c r="AW126" s="38"/>
      <c r="AY126" s="1"/>
      <c r="AZ126" s="1"/>
      <c r="BA126" s="1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9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9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9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9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9"/>
      <c r="GH126" s="8"/>
      <c r="GI126" s="8"/>
    </row>
    <row r="127" spans="1:191" s="2" customFormat="1" ht="17.100000000000001" customHeight="1">
      <c r="A127" s="13" t="s">
        <v>110</v>
      </c>
      <c r="B127" s="24">
        <v>34425.9</v>
      </c>
      <c r="C127" s="24">
        <v>52854.5</v>
      </c>
      <c r="D127" s="4">
        <f t="shared" si="52"/>
        <v>1.2335312076082252</v>
      </c>
      <c r="E127" s="10">
        <v>15</v>
      </c>
      <c r="F127" s="5">
        <v>1</v>
      </c>
      <c r="G127" s="5">
        <v>10</v>
      </c>
      <c r="H127" s="5"/>
      <c r="I127" s="5"/>
      <c r="J127" s="4">
        <f t="shared" si="50"/>
        <v>1.060889115993868</v>
      </c>
      <c r="K127" s="5">
        <v>10</v>
      </c>
      <c r="L127" s="5" t="s">
        <v>394</v>
      </c>
      <c r="M127" s="5" t="s">
        <v>394</v>
      </c>
      <c r="N127" s="4" t="s">
        <v>394</v>
      </c>
      <c r="O127" s="5"/>
      <c r="P127" s="5" t="s">
        <v>394</v>
      </c>
      <c r="Q127" s="5" t="s">
        <v>394</v>
      </c>
      <c r="R127" s="5" t="s">
        <v>394</v>
      </c>
      <c r="S127" s="5"/>
      <c r="T127" s="5" t="s">
        <v>394</v>
      </c>
      <c r="U127" s="5" t="s">
        <v>394</v>
      </c>
      <c r="V127" s="5" t="s">
        <v>394</v>
      </c>
      <c r="W127" s="5"/>
      <c r="X127" s="5"/>
      <c r="Y127" s="5"/>
      <c r="Z127" s="4">
        <f t="shared" si="51"/>
        <v>1.0263788968824941</v>
      </c>
      <c r="AA127" s="5">
        <v>15</v>
      </c>
      <c r="AB127" s="31">
        <f t="shared" si="53"/>
        <v>1.0901508545459893</v>
      </c>
      <c r="AC127" s="32">
        <v>5588</v>
      </c>
      <c r="AD127" s="24">
        <f t="shared" si="54"/>
        <v>1524</v>
      </c>
      <c r="AE127" s="24">
        <f t="shared" si="49"/>
        <v>1661.4</v>
      </c>
      <c r="AF127" s="24">
        <f t="shared" si="55"/>
        <v>137.40000000000009</v>
      </c>
      <c r="AG127" s="24"/>
      <c r="AH127" s="24">
        <v>571.9</v>
      </c>
      <c r="AI127" s="24">
        <v>599.4</v>
      </c>
      <c r="AJ127" s="24">
        <f t="shared" si="56"/>
        <v>490.1</v>
      </c>
      <c r="AK127" s="40"/>
      <c r="AL127" s="40"/>
      <c r="AM127" s="40"/>
      <c r="AN127" s="68"/>
      <c r="AO127" s="68"/>
      <c r="AP127" s="24">
        <f t="shared" si="57"/>
        <v>490.1</v>
      </c>
      <c r="AQ127" s="24">
        <f>MIN(AP127,194.8)</f>
        <v>194.8</v>
      </c>
      <c r="AR127" s="24">
        <f t="shared" si="58"/>
        <v>295.3</v>
      </c>
      <c r="AS127" s="76"/>
      <c r="AT127" s="1"/>
      <c r="AU127" s="1"/>
      <c r="AV127" s="38"/>
      <c r="AW127" s="38"/>
      <c r="AY127" s="1"/>
      <c r="AZ127" s="1"/>
      <c r="BA127" s="1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9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9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9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9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9"/>
      <c r="GH127" s="8"/>
      <c r="GI127" s="8"/>
    </row>
    <row r="128" spans="1:191" s="2" customFormat="1" ht="17.100000000000001" customHeight="1">
      <c r="A128" s="13" t="s">
        <v>111</v>
      </c>
      <c r="B128" s="24">
        <v>1881.3</v>
      </c>
      <c r="C128" s="24">
        <v>1045.2</v>
      </c>
      <c r="D128" s="4">
        <f t="shared" si="52"/>
        <v>0.55557327380003196</v>
      </c>
      <c r="E128" s="10">
        <v>15</v>
      </c>
      <c r="F128" s="5">
        <v>1</v>
      </c>
      <c r="G128" s="5">
        <v>10</v>
      </c>
      <c r="H128" s="5"/>
      <c r="I128" s="5"/>
      <c r="J128" s="4">
        <f t="shared" si="50"/>
        <v>1.060889115993868</v>
      </c>
      <c r="K128" s="5">
        <v>10</v>
      </c>
      <c r="L128" s="5" t="s">
        <v>394</v>
      </c>
      <c r="M128" s="5" t="s">
        <v>394</v>
      </c>
      <c r="N128" s="4" t="s">
        <v>394</v>
      </c>
      <c r="O128" s="5"/>
      <c r="P128" s="5" t="s">
        <v>394</v>
      </c>
      <c r="Q128" s="5" t="s">
        <v>394</v>
      </c>
      <c r="R128" s="5" t="s">
        <v>394</v>
      </c>
      <c r="S128" s="5"/>
      <c r="T128" s="5" t="s">
        <v>394</v>
      </c>
      <c r="U128" s="5" t="s">
        <v>394</v>
      </c>
      <c r="V128" s="5" t="s">
        <v>394</v>
      </c>
      <c r="W128" s="5"/>
      <c r="X128" s="5"/>
      <c r="Y128" s="5"/>
      <c r="Z128" s="4">
        <f t="shared" si="51"/>
        <v>1.0263788968824941</v>
      </c>
      <c r="AA128" s="5">
        <v>15</v>
      </c>
      <c r="AB128" s="31">
        <f t="shared" si="53"/>
        <v>0.88676347440353143</v>
      </c>
      <c r="AC128" s="32">
        <v>2066</v>
      </c>
      <c r="AD128" s="24">
        <f t="shared" si="54"/>
        <v>563.4545454545455</v>
      </c>
      <c r="AE128" s="24">
        <f t="shared" si="49"/>
        <v>499.7</v>
      </c>
      <c r="AF128" s="24">
        <f t="shared" si="55"/>
        <v>-63.754545454545507</v>
      </c>
      <c r="AG128" s="24"/>
      <c r="AH128" s="24">
        <v>187</v>
      </c>
      <c r="AI128" s="24">
        <v>142</v>
      </c>
      <c r="AJ128" s="24">
        <f t="shared" si="56"/>
        <v>170.7</v>
      </c>
      <c r="AK128" s="68"/>
      <c r="AL128" s="40"/>
      <c r="AM128" s="40"/>
      <c r="AN128" s="68"/>
      <c r="AO128" s="68"/>
      <c r="AP128" s="24">
        <f t="shared" si="57"/>
        <v>170.7</v>
      </c>
      <c r="AQ128" s="24"/>
      <c r="AR128" s="24">
        <f t="shared" si="58"/>
        <v>170.7</v>
      </c>
      <c r="AS128" s="76"/>
      <c r="AT128" s="1"/>
      <c r="AU128" s="1"/>
      <c r="AV128" s="38"/>
      <c r="AW128" s="38"/>
      <c r="AY128" s="1"/>
      <c r="AZ128" s="1"/>
      <c r="BA128" s="1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9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9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9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9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9"/>
      <c r="GH128" s="8"/>
      <c r="GI128" s="8"/>
    </row>
    <row r="129" spans="1:191" s="2" customFormat="1" ht="17.100000000000001" customHeight="1">
      <c r="A129" s="13" t="s">
        <v>112</v>
      </c>
      <c r="B129" s="24">
        <v>457.9</v>
      </c>
      <c r="C129" s="24">
        <v>320.5</v>
      </c>
      <c r="D129" s="4">
        <f t="shared" si="52"/>
        <v>0.69993448351168386</v>
      </c>
      <c r="E129" s="10">
        <v>15</v>
      </c>
      <c r="F129" s="5">
        <v>1</v>
      </c>
      <c r="G129" s="5">
        <v>10</v>
      </c>
      <c r="H129" s="5"/>
      <c r="I129" s="5"/>
      <c r="J129" s="4">
        <f t="shared" si="50"/>
        <v>1.060889115993868</v>
      </c>
      <c r="K129" s="5">
        <v>10</v>
      </c>
      <c r="L129" s="5" t="s">
        <v>394</v>
      </c>
      <c r="M129" s="5" t="s">
        <v>394</v>
      </c>
      <c r="N129" s="4" t="s">
        <v>394</v>
      </c>
      <c r="O129" s="5"/>
      <c r="P129" s="5" t="s">
        <v>394</v>
      </c>
      <c r="Q129" s="5" t="s">
        <v>394</v>
      </c>
      <c r="R129" s="5" t="s">
        <v>394</v>
      </c>
      <c r="S129" s="5"/>
      <c r="T129" s="5" t="s">
        <v>394</v>
      </c>
      <c r="U129" s="5" t="s">
        <v>394</v>
      </c>
      <c r="V129" s="5" t="s">
        <v>394</v>
      </c>
      <c r="W129" s="5"/>
      <c r="X129" s="5"/>
      <c r="Y129" s="5"/>
      <c r="Z129" s="4">
        <f t="shared" si="51"/>
        <v>1.0263788968824941</v>
      </c>
      <c r="AA129" s="5">
        <v>15</v>
      </c>
      <c r="AB129" s="31">
        <f t="shared" si="53"/>
        <v>0.93007183731702692</v>
      </c>
      <c r="AC129" s="32">
        <v>4217</v>
      </c>
      <c r="AD129" s="24">
        <f t="shared" si="54"/>
        <v>1150.090909090909</v>
      </c>
      <c r="AE129" s="24">
        <f t="shared" si="49"/>
        <v>1069.7</v>
      </c>
      <c r="AF129" s="24">
        <f t="shared" si="55"/>
        <v>-80.390909090908963</v>
      </c>
      <c r="AG129" s="24"/>
      <c r="AH129" s="24">
        <v>355.1</v>
      </c>
      <c r="AI129" s="24">
        <v>289.39999999999998</v>
      </c>
      <c r="AJ129" s="24">
        <f t="shared" si="56"/>
        <v>425.2</v>
      </c>
      <c r="AK129" s="68"/>
      <c r="AL129" s="40"/>
      <c r="AM129" s="40"/>
      <c r="AN129" s="68"/>
      <c r="AO129" s="68"/>
      <c r="AP129" s="24">
        <f t="shared" si="57"/>
        <v>425.2</v>
      </c>
      <c r="AQ129" s="24"/>
      <c r="AR129" s="24">
        <f t="shared" si="58"/>
        <v>425.2</v>
      </c>
      <c r="AS129" s="76"/>
      <c r="AT129" s="1"/>
      <c r="AU129" s="1"/>
      <c r="AV129" s="38"/>
      <c r="AW129" s="38"/>
      <c r="AY129" s="1"/>
      <c r="AZ129" s="1"/>
      <c r="BA129" s="1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9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9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9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9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9"/>
      <c r="GH129" s="8"/>
      <c r="GI129" s="8"/>
    </row>
    <row r="130" spans="1:191" s="2" customFormat="1" ht="17.100000000000001" customHeight="1">
      <c r="A130" s="13" t="s">
        <v>113</v>
      </c>
      <c r="B130" s="24">
        <v>864.7</v>
      </c>
      <c r="C130" s="24">
        <v>739.1</v>
      </c>
      <c r="D130" s="4">
        <f t="shared" si="52"/>
        <v>0.85474731120619862</v>
      </c>
      <c r="E130" s="10">
        <v>15</v>
      </c>
      <c r="F130" s="5">
        <v>1</v>
      </c>
      <c r="G130" s="5">
        <v>10</v>
      </c>
      <c r="H130" s="5"/>
      <c r="I130" s="5"/>
      <c r="J130" s="4">
        <f t="shared" si="50"/>
        <v>1.060889115993868</v>
      </c>
      <c r="K130" s="5">
        <v>10</v>
      </c>
      <c r="L130" s="5" t="s">
        <v>394</v>
      </c>
      <c r="M130" s="5" t="s">
        <v>394</v>
      </c>
      <c r="N130" s="4" t="s">
        <v>394</v>
      </c>
      <c r="O130" s="5"/>
      <c r="P130" s="5" t="s">
        <v>394</v>
      </c>
      <c r="Q130" s="5" t="s">
        <v>394</v>
      </c>
      <c r="R130" s="5" t="s">
        <v>394</v>
      </c>
      <c r="S130" s="5"/>
      <c r="T130" s="5" t="s">
        <v>394</v>
      </c>
      <c r="U130" s="5" t="s">
        <v>394</v>
      </c>
      <c r="V130" s="5" t="s">
        <v>394</v>
      </c>
      <c r="W130" s="5"/>
      <c r="X130" s="5"/>
      <c r="Y130" s="5"/>
      <c r="Z130" s="4">
        <f t="shared" si="51"/>
        <v>1.0263788968824941</v>
      </c>
      <c r="AA130" s="5">
        <v>15</v>
      </c>
      <c r="AB130" s="31">
        <f t="shared" si="53"/>
        <v>0.97651568562538149</v>
      </c>
      <c r="AC130" s="32">
        <v>2620</v>
      </c>
      <c r="AD130" s="24">
        <f t="shared" si="54"/>
        <v>714.5454545454545</v>
      </c>
      <c r="AE130" s="24">
        <f t="shared" si="49"/>
        <v>697.8</v>
      </c>
      <c r="AF130" s="24">
        <f t="shared" si="55"/>
        <v>-16.74545454545455</v>
      </c>
      <c r="AG130" s="24"/>
      <c r="AH130" s="24">
        <v>187</v>
      </c>
      <c r="AI130" s="24">
        <v>204.2</v>
      </c>
      <c r="AJ130" s="24">
        <f t="shared" si="56"/>
        <v>306.60000000000002</v>
      </c>
      <c r="AK130" s="68"/>
      <c r="AL130" s="40"/>
      <c r="AM130" s="40"/>
      <c r="AN130" s="68"/>
      <c r="AO130" s="68"/>
      <c r="AP130" s="24">
        <f t="shared" si="57"/>
        <v>306.60000000000002</v>
      </c>
      <c r="AQ130" s="24">
        <f>MIN(AP130,1.5)</f>
        <v>1.5</v>
      </c>
      <c r="AR130" s="24">
        <f t="shared" si="58"/>
        <v>305.10000000000002</v>
      </c>
      <c r="AS130" s="76"/>
      <c r="AT130" s="1"/>
      <c r="AU130" s="1"/>
      <c r="AV130" s="38"/>
      <c r="AW130" s="38"/>
      <c r="AY130" s="1"/>
      <c r="AZ130" s="1"/>
      <c r="BA130" s="1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9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9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9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9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9"/>
      <c r="GH130" s="8"/>
      <c r="GI130" s="8"/>
    </row>
    <row r="131" spans="1:191" s="2" customFormat="1" ht="17.100000000000001" customHeight="1">
      <c r="A131" s="13" t="s">
        <v>114</v>
      </c>
      <c r="B131" s="24">
        <v>6689.4</v>
      </c>
      <c r="C131" s="24">
        <v>12652.5</v>
      </c>
      <c r="D131" s="4">
        <f t="shared" si="52"/>
        <v>1.2691425239931833</v>
      </c>
      <c r="E131" s="10">
        <v>15</v>
      </c>
      <c r="F131" s="5">
        <v>1</v>
      </c>
      <c r="G131" s="5">
        <v>10</v>
      </c>
      <c r="H131" s="5"/>
      <c r="I131" s="5"/>
      <c r="J131" s="4">
        <f t="shared" si="50"/>
        <v>1.060889115993868</v>
      </c>
      <c r="K131" s="5">
        <v>10</v>
      </c>
      <c r="L131" s="5" t="s">
        <v>394</v>
      </c>
      <c r="M131" s="5" t="s">
        <v>394</v>
      </c>
      <c r="N131" s="4" t="s">
        <v>394</v>
      </c>
      <c r="O131" s="5"/>
      <c r="P131" s="5" t="s">
        <v>394</v>
      </c>
      <c r="Q131" s="5" t="s">
        <v>394</v>
      </c>
      <c r="R131" s="5" t="s">
        <v>394</v>
      </c>
      <c r="S131" s="5"/>
      <c r="T131" s="5" t="s">
        <v>394</v>
      </c>
      <c r="U131" s="5" t="s">
        <v>394</v>
      </c>
      <c r="V131" s="5" t="s">
        <v>394</v>
      </c>
      <c r="W131" s="5"/>
      <c r="X131" s="5"/>
      <c r="Y131" s="5"/>
      <c r="Z131" s="4">
        <f t="shared" si="51"/>
        <v>1.0263788968824941</v>
      </c>
      <c r="AA131" s="5">
        <v>15</v>
      </c>
      <c r="AB131" s="31">
        <f t="shared" si="53"/>
        <v>1.1008342494614769</v>
      </c>
      <c r="AC131" s="32">
        <v>3344</v>
      </c>
      <c r="AD131" s="24">
        <f t="shared" si="54"/>
        <v>912</v>
      </c>
      <c r="AE131" s="24">
        <f t="shared" si="49"/>
        <v>1004</v>
      </c>
      <c r="AF131" s="24">
        <f t="shared" si="55"/>
        <v>92</v>
      </c>
      <c r="AG131" s="24"/>
      <c r="AH131" s="24">
        <v>209.8</v>
      </c>
      <c r="AI131" s="24">
        <v>358.7</v>
      </c>
      <c r="AJ131" s="24">
        <f t="shared" si="56"/>
        <v>435.5</v>
      </c>
      <c r="AK131" s="40"/>
      <c r="AL131" s="40"/>
      <c r="AM131" s="40"/>
      <c r="AN131" s="68"/>
      <c r="AO131" s="68"/>
      <c r="AP131" s="24">
        <f t="shared" si="57"/>
        <v>435.5</v>
      </c>
      <c r="AQ131" s="24">
        <f>MIN(AP131,152)</f>
        <v>152</v>
      </c>
      <c r="AR131" s="24">
        <f t="shared" si="58"/>
        <v>283.5</v>
      </c>
      <c r="AS131" s="76"/>
      <c r="AT131" s="1"/>
      <c r="AU131" s="1"/>
      <c r="AV131" s="38"/>
      <c r="AW131" s="38"/>
      <c r="AY131" s="1"/>
      <c r="AZ131" s="1"/>
      <c r="BA131" s="1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9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9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9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9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9"/>
      <c r="GH131" s="8"/>
      <c r="GI131" s="8"/>
    </row>
    <row r="132" spans="1:191" s="2" customFormat="1" ht="17.100000000000001" customHeight="1">
      <c r="A132" s="17" t="s">
        <v>115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76"/>
      <c r="AT132" s="1"/>
      <c r="AU132" s="1"/>
      <c r="AV132" s="38"/>
      <c r="AW132" s="38"/>
      <c r="AX132" s="1"/>
      <c r="AY132" s="1"/>
      <c r="AZ132" s="1"/>
      <c r="BA132" s="1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9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9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9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9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9"/>
      <c r="GH132" s="8"/>
      <c r="GI132" s="8"/>
    </row>
    <row r="133" spans="1:191" s="2" customFormat="1" ht="17.100000000000001" customHeight="1">
      <c r="A133" s="13" t="s">
        <v>116</v>
      </c>
      <c r="B133" s="24">
        <v>103.7</v>
      </c>
      <c r="C133" s="24">
        <v>111.4</v>
      </c>
      <c r="D133" s="4">
        <f t="shared" si="52"/>
        <v>1.0742526518804243</v>
      </c>
      <c r="E133" s="10">
        <v>15</v>
      </c>
      <c r="F133" s="5">
        <v>1</v>
      </c>
      <c r="G133" s="5">
        <v>10</v>
      </c>
      <c r="H133" s="5"/>
      <c r="I133" s="5"/>
      <c r="J133" s="4">
        <f>J$37</f>
        <v>0.91348695652173917</v>
      </c>
      <c r="K133" s="5">
        <v>10</v>
      </c>
      <c r="L133" s="5" t="s">
        <v>394</v>
      </c>
      <c r="M133" s="5" t="s">
        <v>394</v>
      </c>
      <c r="N133" s="4" t="s">
        <v>394</v>
      </c>
      <c r="O133" s="5"/>
      <c r="P133" s="5" t="s">
        <v>394</v>
      </c>
      <c r="Q133" s="5" t="s">
        <v>394</v>
      </c>
      <c r="R133" s="5" t="s">
        <v>394</v>
      </c>
      <c r="S133" s="5"/>
      <c r="T133" s="5" t="s">
        <v>394</v>
      </c>
      <c r="U133" s="5" t="s">
        <v>394</v>
      </c>
      <c r="V133" s="5" t="s">
        <v>394</v>
      </c>
      <c r="W133" s="5"/>
      <c r="X133" s="5"/>
      <c r="Y133" s="5"/>
      <c r="Z133" s="4">
        <f>Z$37</f>
        <v>0.63</v>
      </c>
      <c r="AA133" s="5">
        <v>15</v>
      </c>
      <c r="AB133" s="31">
        <f t="shared" si="53"/>
        <v>0.89397318686847516</v>
      </c>
      <c r="AC133" s="32">
        <v>1404</v>
      </c>
      <c r="AD133" s="24">
        <f t="shared" si="54"/>
        <v>382.90909090909093</v>
      </c>
      <c r="AE133" s="24">
        <f t="shared" ref="AE133:AE139" si="59">ROUND(AB133*AD133,1)</f>
        <v>342.3</v>
      </c>
      <c r="AF133" s="24">
        <f t="shared" si="55"/>
        <v>-40.609090909090924</v>
      </c>
      <c r="AG133" s="24"/>
      <c r="AH133" s="24">
        <v>150.6</v>
      </c>
      <c r="AI133" s="24">
        <v>115.3</v>
      </c>
      <c r="AJ133" s="24">
        <f t="shared" si="56"/>
        <v>76.400000000000006</v>
      </c>
      <c r="AK133" s="68"/>
      <c r="AL133" s="40"/>
      <c r="AM133" s="40"/>
      <c r="AN133" s="68"/>
      <c r="AO133" s="68"/>
      <c r="AP133" s="24">
        <f t="shared" si="57"/>
        <v>76.400000000000006</v>
      </c>
      <c r="AQ133" s="24"/>
      <c r="AR133" s="24">
        <f t="shared" si="58"/>
        <v>76.400000000000006</v>
      </c>
      <c r="AS133" s="76"/>
      <c r="AT133" s="1"/>
      <c r="AU133" s="1"/>
      <c r="AV133" s="38"/>
      <c r="AW133" s="38"/>
      <c r="AX133" s="1"/>
      <c r="AY133" s="1"/>
      <c r="AZ133" s="1"/>
      <c r="BA133" s="1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9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9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9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9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9"/>
      <c r="GH133" s="8"/>
      <c r="GI133" s="8"/>
    </row>
    <row r="134" spans="1:191" s="2" customFormat="1" ht="17.100000000000001" customHeight="1">
      <c r="A134" s="13" t="s">
        <v>117</v>
      </c>
      <c r="B134" s="24">
        <v>1752.7</v>
      </c>
      <c r="C134" s="24">
        <v>1614.5</v>
      </c>
      <c r="D134" s="4">
        <f t="shared" si="52"/>
        <v>0.9211502253665772</v>
      </c>
      <c r="E134" s="10">
        <v>15</v>
      </c>
      <c r="F134" s="5">
        <v>1</v>
      </c>
      <c r="G134" s="5">
        <v>10</v>
      </c>
      <c r="H134" s="5"/>
      <c r="I134" s="5"/>
      <c r="J134" s="4">
        <f t="shared" ref="J134:J139" si="60">J$37</f>
        <v>0.91348695652173917</v>
      </c>
      <c r="K134" s="5">
        <v>10</v>
      </c>
      <c r="L134" s="5" t="s">
        <v>394</v>
      </c>
      <c r="M134" s="5" t="s">
        <v>394</v>
      </c>
      <c r="N134" s="4" t="s">
        <v>394</v>
      </c>
      <c r="O134" s="5"/>
      <c r="P134" s="5" t="s">
        <v>394</v>
      </c>
      <c r="Q134" s="5" t="s">
        <v>394</v>
      </c>
      <c r="R134" s="5" t="s">
        <v>394</v>
      </c>
      <c r="S134" s="5"/>
      <c r="T134" s="5" t="s">
        <v>394</v>
      </c>
      <c r="U134" s="5" t="s">
        <v>394</v>
      </c>
      <c r="V134" s="5" t="s">
        <v>394</v>
      </c>
      <c r="W134" s="5"/>
      <c r="X134" s="5"/>
      <c r="Y134" s="5"/>
      <c r="Z134" s="4">
        <f t="shared" ref="Z134:Z139" si="61">Z$37</f>
        <v>0.63</v>
      </c>
      <c r="AA134" s="5">
        <v>15</v>
      </c>
      <c r="AB134" s="31">
        <f t="shared" si="53"/>
        <v>0.84804245891432084</v>
      </c>
      <c r="AC134" s="32">
        <v>572</v>
      </c>
      <c r="AD134" s="24">
        <f t="shared" si="54"/>
        <v>156</v>
      </c>
      <c r="AE134" s="24">
        <f t="shared" si="59"/>
        <v>132.30000000000001</v>
      </c>
      <c r="AF134" s="24">
        <f t="shared" si="55"/>
        <v>-23.699999999999989</v>
      </c>
      <c r="AG134" s="24"/>
      <c r="AH134" s="24">
        <v>59</v>
      </c>
      <c r="AI134" s="24">
        <v>42.3</v>
      </c>
      <c r="AJ134" s="24">
        <f t="shared" si="56"/>
        <v>31</v>
      </c>
      <c r="AK134" s="68"/>
      <c r="AL134" s="40"/>
      <c r="AM134" s="40"/>
      <c r="AN134" s="68"/>
      <c r="AO134" s="68"/>
      <c r="AP134" s="24">
        <f t="shared" si="57"/>
        <v>31</v>
      </c>
      <c r="AQ134" s="24"/>
      <c r="AR134" s="24">
        <f t="shared" si="58"/>
        <v>31</v>
      </c>
      <c r="AS134" s="76"/>
      <c r="AT134" s="1"/>
      <c r="AU134" s="1"/>
      <c r="AV134" s="38"/>
      <c r="AW134" s="3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9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9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9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9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9"/>
      <c r="GH134" s="8"/>
      <c r="GI134" s="8"/>
    </row>
    <row r="135" spans="1:191" s="2" customFormat="1" ht="17.100000000000001" customHeight="1">
      <c r="A135" s="13" t="s">
        <v>118</v>
      </c>
      <c r="B135" s="24">
        <v>512.1</v>
      </c>
      <c r="C135" s="24">
        <v>389</v>
      </c>
      <c r="D135" s="4">
        <f t="shared" si="52"/>
        <v>0.75961726225346604</v>
      </c>
      <c r="E135" s="10">
        <v>15</v>
      </c>
      <c r="F135" s="5">
        <v>1</v>
      </c>
      <c r="G135" s="5">
        <v>10</v>
      </c>
      <c r="H135" s="5"/>
      <c r="I135" s="5"/>
      <c r="J135" s="4">
        <f t="shared" si="60"/>
        <v>0.91348695652173917</v>
      </c>
      <c r="K135" s="5">
        <v>10</v>
      </c>
      <c r="L135" s="5" t="s">
        <v>394</v>
      </c>
      <c r="M135" s="5" t="s">
        <v>394</v>
      </c>
      <c r="N135" s="4" t="s">
        <v>394</v>
      </c>
      <c r="O135" s="5"/>
      <c r="P135" s="5" t="s">
        <v>394</v>
      </c>
      <c r="Q135" s="5" t="s">
        <v>394</v>
      </c>
      <c r="R135" s="5" t="s">
        <v>394</v>
      </c>
      <c r="S135" s="5"/>
      <c r="T135" s="5" t="s">
        <v>394</v>
      </c>
      <c r="U135" s="5" t="s">
        <v>394</v>
      </c>
      <c r="V135" s="5" t="s">
        <v>394</v>
      </c>
      <c r="W135" s="5"/>
      <c r="X135" s="5"/>
      <c r="Y135" s="5"/>
      <c r="Z135" s="4">
        <f t="shared" si="61"/>
        <v>0.63</v>
      </c>
      <c r="AA135" s="5">
        <v>15</v>
      </c>
      <c r="AB135" s="31">
        <f t="shared" si="53"/>
        <v>0.79958256998038768</v>
      </c>
      <c r="AC135" s="32">
        <v>1147</v>
      </c>
      <c r="AD135" s="24">
        <f t="shared" si="54"/>
        <v>312.81818181818181</v>
      </c>
      <c r="AE135" s="24">
        <f t="shared" si="59"/>
        <v>250.1</v>
      </c>
      <c r="AF135" s="24">
        <f t="shared" si="55"/>
        <v>-62.718181818181819</v>
      </c>
      <c r="AG135" s="24"/>
      <c r="AH135" s="24">
        <v>123</v>
      </c>
      <c r="AI135" s="24">
        <v>76.5</v>
      </c>
      <c r="AJ135" s="24">
        <f t="shared" si="56"/>
        <v>50.6</v>
      </c>
      <c r="AK135" s="68"/>
      <c r="AL135" s="40"/>
      <c r="AM135" s="40"/>
      <c r="AN135" s="68"/>
      <c r="AO135" s="68"/>
      <c r="AP135" s="24">
        <f t="shared" si="57"/>
        <v>50.6</v>
      </c>
      <c r="AQ135" s="24"/>
      <c r="AR135" s="24">
        <f t="shared" si="58"/>
        <v>50.6</v>
      </c>
      <c r="AS135" s="76"/>
      <c r="AT135" s="1"/>
      <c r="AU135" s="1"/>
      <c r="AV135" s="38"/>
      <c r="AW135" s="38"/>
      <c r="AY135" s="1"/>
      <c r="AZ135" s="1"/>
      <c r="BA135" s="1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9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9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9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9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9"/>
      <c r="GH135" s="8"/>
      <c r="GI135" s="8"/>
    </row>
    <row r="136" spans="1:191" s="2" customFormat="1" ht="17.100000000000001" customHeight="1">
      <c r="A136" s="13" t="s">
        <v>119</v>
      </c>
      <c r="B136" s="24">
        <v>284.2</v>
      </c>
      <c r="C136" s="24">
        <v>335.1</v>
      </c>
      <c r="D136" s="4">
        <f t="shared" si="52"/>
        <v>1.1790992258972557</v>
      </c>
      <c r="E136" s="10">
        <v>15</v>
      </c>
      <c r="F136" s="5">
        <v>1</v>
      </c>
      <c r="G136" s="5">
        <v>10</v>
      </c>
      <c r="H136" s="5"/>
      <c r="I136" s="5"/>
      <c r="J136" s="4">
        <f t="shared" si="60"/>
        <v>0.91348695652173917</v>
      </c>
      <c r="K136" s="5">
        <v>10</v>
      </c>
      <c r="L136" s="5" t="s">
        <v>394</v>
      </c>
      <c r="M136" s="5" t="s">
        <v>394</v>
      </c>
      <c r="N136" s="4" t="s">
        <v>394</v>
      </c>
      <c r="O136" s="5"/>
      <c r="P136" s="5" t="s">
        <v>394</v>
      </c>
      <c r="Q136" s="5" t="s">
        <v>394</v>
      </c>
      <c r="R136" s="5" t="s">
        <v>394</v>
      </c>
      <c r="S136" s="5"/>
      <c r="T136" s="5" t="s">
        <v>394</v>
      </c>
      <c r="U136" s="5" t="s">
        <v>394</v>
      </c>
      <c r="V136" s="5" t="s">
        <v>394</v>
      </c>
      <c r="W136" s="5"/>
      <c r="X136" s="5"/>
      <c r="Y136" s="5"/>
      <c r="Z136" s="4">
        <f t="shared" si="61"/>
        <v>0.63</v>
      </c>
      <c r="AA136" s="5">
        <v>15</v>
      </c>
      <c r="AB136" s="31">
        <f t="shared" si="53"/>
        <v>0.92542715907352457</v>
      </c>
      <c r="AC136" s="32">
        <v>1588</v>
      </c>
      <c r="AD136" s="24">
        <f t="shared" si="54"/>
        <v>433.09090909090912</v>
      </c>
      <c r="AE136" s="24">
        <f t="shared" si="59"/>
        <v>400.8</v>
      </c>
      <c r="AF136" s="24">
        <f t="shared" si="55"/>
        <v>-32.290909090909111</v>
      </c>
      <c r="AG136" s="24"/>
      <c r="AH136" s="24">
        <v>170.3</v>
      </c>
      <c r="AI136" s="24">
        <v>72.3</v>
      </c>
      <c r="AJ136" s="24">
        <f t="shared" si="56"/>
        <v>158.19999999999999</v>
      </c>
      <c r="AK136" s="68"/>
      <c r="AL136" s="40"/>
      <c r="AM136" s="40"/>
      <c r="AN136" s="68"/>
      <c r="AO136" s="68"/>
      <c r="AP136" s="24">
        <f t="shared" si="57"/>
        <v>158.19999999999999</v>
      </c>
      <c r="AQ136" s="24"/>
      <c r="AR136" s="24">
        <f t="shared" si="58"/>
        <v>158.19999999999999</v>
      </c>
      <c r="AS136" s="76"/>
      <c r="AT136" s="1"/>
      <c r="AU136" s="1"/>
      <c r="AV136" s="38"/>
      <c r="AW136" s="38"/>
      <c r="AY136" s="1"/>
      <c r="AZ136" s="1"/>
      <c r="BA136" s="1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9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9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9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9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9"/>
      <c r="GH136" s="8"/>
      <c r="GI136" s="8"/>
    </row>
    <row r="137" spans="1:191" s="2" customFormat="1" ht="17.100000000000001" customHeight="1">
      <c r="A137" s="13" t="s">
        <v>120</v>
      </c>
      <c r="B137" s="24">
        <v>472.4</v>
      </c>
      <c r="C137" s="24">
        <v>294.39999999999998</v>
      </c>
      <c r="D137" s="4">
        <f t="shared" si="52"/>
        <v>0.62320067739204066</v>
      </c>
      <c r="E137" s="10">
        <v>15</v>
      </c>
      <c r="F137" s="5">
        <v>1</v>
      </c>
      <c r="G137" s="5">
        <v>10</v>
      </c>
      <c r="H137" s="5"/>
      <c r="I137" s="5"/>
      <c r="J137" s="4">
        <f t="shared" si="60"/>
        <v>0.91348695652173917</v>
      </c>
      <c r="K137" s="5">
        <v>10</v>
      </c>
      <c r="L137" s="5" t="s">
        <v>394</v>
      </c>
      <c r="M137" s="5" t="s">
        <v>394</v>
      </c>
      <c r="N137" s="4" t="s">
        <v>394</v>
      </c>
      <c r="O137" s="5"/>
      <c r="P137" s="5" t="s">
        <v>394</v>
      </c>
      <c r="Q137" s="5" t="s">
        <v>394</v>
      </c>
      <c r="R137" s="5" t="s">
        <v>394</v>
      </c>
      <c r="S137" s="5"/>
      <c r="T137" s="5" t="s">
        <v>394</v>
      </c>
      <c r="U137" s="5" t="s">
        <v>394</v>
      </c>
      <c r="V137" s="5" t="s">
        <v>394</v>
      </c>
      <c r="W137" s="5"/>
      <c r="X137" s="5"/>
      <c r="Y137" s="5"/>
      <c r="Z137" s="4">
        <f t="shared" si="61"/>
        <v>0.63</v>
      </c>
      <c r="AA137" s="5">
        <v>15</v>
      </c>
      <c r="AB137" s="31">
        <f t="shared" si="53"/>
        <v>0.75865759452196013</v>
      </c>
      <c r="AC137" s="32">
        <v>1640</v>
      </c>
      <c r="AD137" s="24">
        <f t="shared" si="54"/>
        <v>447.27272727272725</v>
      </c>
      <c r="AE137" s="24">
        <f t="shared" si="59"/>
        <v>339.3</v>
      </c>
      <c r="AF137" s="24">
        <f t="shared" si="55"/>
        <v>-107.97272727272724</v>
      </c>
      <c r="AG137" s="24"/>
      <c r="AH137" s="24">
        <v>130.5</v>
      </c>
      <c r="AI137" s="24">
        <v>97.2</v>
      </c>
      <c r="AJ137" s="24">
        <f t="shared" si="56"/>
        <v>111.6</v>
      </c>
      <c r="AK137" s="68"/>
      <c r="AL137" s="40"/>
      <c r="AM137" s="40"/>
      <c r="AN137" s="68"/>
      <c r="AO137" s="68"/>
      <c r="AP137" s="24">
        <f t="shared" si="57"/>
        <v>111.6</v>
      </c>
      <c r="AQ137" s="24"/>
      <c r="AR137" s="24">
        <f t="shared" si="58"/>
        <v>111.6</v>
      </c>
      <c r="AS137" s="76"/>
      <c r="AT137" s="1"/>
      <c r="AU137" s="1"/>
      <c r="AV137" s="38"/>
      <c r="AW137" s="38"/>
      <c r="AX137" s="1"/>
      <c r="AY137" s="1"/>
      <c r="AZ137" s="1"/>
      <c r="BA137" s="1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9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9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9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9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9"/>
      <c r="GH137" s="8"/>
      <c r="GI137" s="8"/>
    </row>
    <row r="138" spans="1:191" s="2" customFormat="1" ht="17.100000000000001" customHeight="1">
      <c r="A138" s="13" t="s">
        <v>121</v>
      </c>
      <c r="B138" s="24">
        <v>246.9</v>
      </c>
      <c r="C138" s="24">
        <v>198.8</v>
      </c>
      <c r="D138" s="4">
        <f t="shared" si="52"/>
        <v>0.80518428513568252</v>
      </c>
      <c r="E138" s="10">
        <v>15</v>
      </c>
      <c r="F138" s="5">
        <v>1</v>
      </c>
      <c r="G138" s="5">
        <v>10</v>
      </c>
      <c r="H138" s="5"/>
      <c r="I138" s="5"/>
      <c r="J138" s="4">
        <f t="shared" si="60"/>
        <v>0.91348695652173917</v>
      </c>
      <c r="K138" s="5">
        <v>10</v>
      </c>
      <c r="L138" s="5" t="s">
        <v>394</v>
      </c>
      <c r="M138" s="5" t="s">
        <v>394</v>
      </c>
      <c r="N138" s="4" t="s">
        <v>394</v>
      </c>
      <c r="O138" s="5"/>
      <c r="P138" s="5" t="s">
        <v>394</v>
      </c>
      <c r="Q138" s="5" t="s">
        <v>394</v>
      </c>
      <c r="R138" s="5" t="s">
        <v>394</v>
      </c>
      <c r="S138" s="5"/>
      <c r="T138" s="5" t="s">
        <v>394</v>
      </c>
      <c r="U138" s="5" t="s">
        <v>394</v>
      </c>
      <c r="V138" s="5" t="s">
        <v>394</v>
      </c>
      <c r="W138" s="5"/>
      <c r="X138" s="5"/>
      <c r="Y138" s="5"/>
      <c r="Z138" s="4">
        <f t="shared" si="61"/>
        <v>0.63</v>
      </c>
      <c r="AA138" s="5">
        <v>15</v>
      </c>
      <c r="AB138" s="31">
        <f t="shared" si="53"/>
        <v>0.81325267684505265</v>
      </c>
      <c r="AC138" s="32">
        <v>1600</v>
      </c>
      <c r="AD138" s="24">
        <f t="shared" si="54"/>
        <v>436.36363636363637</v>
      </c>
      <c r="AE138" s="24">
        <f t="shared" si="59"/>
        <v>354.9</v>
      </c>
      <c r="AF138" s="24">
        <f t="shared" si="55"/>
        <v>-81.463636363636397</v>
      </c>
      <c r="AG138" s="24"/>
      <c r="AH138" s="24">
        <v>77.7</v>
      </c>
      <c r="AI138" s="24">
        <v>165.4</v>
      </c>
      <c r="AJ138" s="24">
        <f t="shared" si="56"/>
        <v>111.8</v>
      </c>
      <c r="AK138" s="68"/>
      <c r="AL138" s="40"/>
      <c r="AM138" s="40"/>
      <c r="AN138" s="68"/>
      <c r="AO138" s="68"/>
      <c r="AP138" s="24">
        <f t="shared" si="57"/>
        <v>111.8</v>
      </c>
      <c r="AQ138" s="24"/>
      <c r="AR138" s="24">
        <f t="shared" si="58"/>
        <v>111.8</v>
      </c>
      <c r="AS138" s="76"/>
      <c r="AT138" s="1"/>
      <c r="AU138" s="1"/>
      <c r="AV138" s="38"/>
      <c r="AW138" s="38"/>
      <c r="AX138" s="1"/>
      <c r="AY138" s="1"/>
      <c r="AZ138" s="1"/>
      <c r="BA138" s="1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9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9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9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9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9"/>
      <c r="GH138" s="8"/>
      <c r="GI138" s="8"/>
    </row>
    <row r="139" spans="1:191" s="2" customFormat="1" ht="17.100000000000001" customHeight="1">
      <c r="A139" s="13" t="s">
        <v>122</v>
      </c>
      <c r="B139" s="24">
        <v>190.5</v>
      </c>
      <c r="C139" s="24">
        <v>415</v>
      </c>
      <c r="D139" s="4">
        <f t="shared" si="52"/>
        <v>1.2978477690288712</v>
      </c>
      <c r="E139" s="10">
        <v>15</v>
      </c>
      <c r="F139" s="5">
        <v>1</v>
      </c>
      <c r="G139" s="5">
        <v>10</v>
      </c>
      <c r="H139" s="5"/>
      <c r="I139" s="5"/>
      <c r="J139" s="4">
        <f t="shared" si="60"/>
        <v>0.91348695652173917</v>
      </c>
      <c r="K139" s="5">
        <v>10</v>
      </c>
      <c r="L139" s="5" t="s">
        <v>394</v>
      </c>
      <c r="M139" s="5" t="s">
        <v>394</v>
      </c>
      <c r="N139" s="4" t="s">
        <v>394</v>
      </c>
      <c r="O139" s="5"/>
      <c r="P139" s="5" t="s">
        <v>394</v>
      </c>
      <c r="Q139" s="5" t="s">
        <v>394</v>
      </c>
      <c r="R139" s="5" t="s">
        <v>394</v>
      </c>
      <c r="S139" s="5"/>
      <c r="T139" s="5" t="s">
        <v>394</v>
      </c>
      <c r="U139" s="5" t="s">
        <v>394</v>
      </c>
      <c r="V139" s="5" t="s">
        <v>394</v>
      </c>
      <c r="W139" s="5"/>
      <c r="X139" s="5"/>
      <c r="Y139" s="5"/>
      <c r="Z139" s="4">
        <f t="shared" si="61"/>
        <v>0.63</v>
      </c>
      <c r="AA139" s="5">
        <v>15</v>
      </c>
      <c r="AB139" s="31">
        <f t="shared" si="53"/>
        <v>0.96105172201300915</v>
      </c>
      <c r="AC139" s="32">
        <v>1098</v>
      </c>
      <c r="AD139" s="24">
        <f t="shared" si="54"/>
        <v>299.45454545454544</v>
      </c>
      <c r="AE139" s="24">
        <f t="shared" si="59"/>
        <v>287.8</v>
      </c>
      <c r="AF139" s="24">
        <f t="shared" si="55"/>
        <v>-11.654545454545428</v>
      </c>
      <c r="AG139" s="24"/>
      <c r="AH139" s="24">
        <v>112.7</v>
      </c>
      <c r="AI139" s="24">
        <v>117.8</v>
      </c>
      <c r="AJ139" s="24">
        <f t="shared" si="56"/>
        <v>57.3</v>
      </c>
      <c r="AK139" s="68"/>
      <c r="AL139" s="40"/>
      <c r="AM139" s="40"/>
      <c r="AN139" s="68"/>
      <c r="AO139" s="68"/>
      <c r="AP139" s="24">
        <f t="shared" si="57"/>
        <v>57.3</v>
      </c>
      <c r="AQ139" s="24"/>
      <c r="AR139" s="24">
        <f t="shared" si="58"/>
        <v>57.3</v>
      </c>
      <c r="AS139" s="76"/>
      <c r="AT139" s="1"/>
      <c r="AU139" s="1"/>
      <c r="AV139" s="38"/>
      <c r="AW139" s="38"/>
      <c r="AX139" s="1"/>
      <c r="AY139" s="1"/>
      <c r="AZ139" s="1"/>
      <c r="BA139" s="1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9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9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9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9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9"/>
      <c r="GH139" s="8"/>
      <c r="GI139" s="8"/>
    </row>
    <row r="140" spans="1:191" s="2" customFormat="1" ht="17.100000000000001" customHeight="1">
      <c r="A140" s="17" t="s">
        <v>123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76"/>
      <c r="AT140" s="1"/>
      <c r="AU140" s="1"/>
      <c r="AV140" s="38"/>
      <c r="AW140" s="38"/>
      <c r="AX140" s="1"/>
      <c r="AY140" s="1"/>
      <c r="AZ140" s="1"/>
      <c r="BA140" s="1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9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9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9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9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9"/>
      <c r="GH140" s="8"/>
      <c r="GI140" s="8"/>
    </row>
    <row r="141" spans="1:191" s="2" customFormat="1" ht="17.100000000000001" customHeight="1">
      <c r="A141" s="13" t="s">
        <v>124</v>
      </c>
      <c r="B141" s="24">
        <v>968.2</v>
      </c>
      <c r="C141" s="24">
        <v>810.5</v>
      </c>
      <c r="D141" s="4">
        <f t="shared" si="52"/>
        <v>0.8371204296632927</v>
      </c>
      <c r="E141" s="10">
        <v>15</v>
      </c>
      <c r="F141" s="5">
        <v>1</v>
      </c>
      <c r="G141" s="5">
        <v>10</v>
      </c>
      <c r="H141" s="5"/>
      <c r="I141" s="5"/>
      <c r="J141" s="4">
        <f>J$38</f>
        <v>1.0267164591977871</v>
      </c>
      <c r="K141" s="5">
        <v>10</v>
      </c>
      <c r="L141" s="5" t="s">
        <v>394</v>
      </c>
      <c r="M141" s="5" t="s">
        <v>394</v>
      </c>
      <c r="N141" s="4" t="s">
        <v>394</v>
      </c>
      <c r="O141" s="5"/>
      <c r="P141" s="5" t="s">
        <v>394</v>
      </c>
      <c r="Q141" s="5" t="s">
        <v>394</v>
      </c>
      <c r="R141" s="5" t="s">
        <v>394</v>
      </c>
      <c r="S141" s="5"/>
      <c r="T141" s="5" t="s">
        <v>394</v>
      </c>
      <c r="U141" s="5" t="s">
        <v>394</v>
      </c>
      <c r="V141" s="5" t="s">
        <v>394</v>
      </c>
      <c r="W141" s="5"/>
      <c r="X141" s="5"/>
      <c r="Y141" s="5"/>
      <c r="Z141" s="4">
        <f>Z$38</f>
        <v>1.2324999999999999</v>
      </c>
      <c r="AA141" s="5">
        <v>15</v>
      </c>
      <c r="AB141" s="31">
        <f t="shared" si="53"/>
        <v>1.0262294207385452</v>
      </c>
      <c r="AC141" s="32">
        <v>1381</v>
      </c>
      <c r="AD141" s="24">
        <f t="shared" si="54"/>
        <v>376.63636363636363</v>
      </c>
      <c r="AE141" s="24">
        <f t="shared" ref="AE141:AE148" si="62">ROUND(AB141*AD141,1)</f>
        <v>386.5</v>
      </c>
      <c r="AF141" s="24">
        <f t="shared" si="55"/>
        <v>9.863636363636374</v>
      </c>
      <c r="AG141" s="24"/>
      <c r="AH141" s="24">
        <v>140.9</v>
      </c>
      <c r="AI141" s="24">
        <v>94.9</v>
      </c>
      <c r="AJ141" s="24">
        <f t="shared" si="56"/>
        <v>150.69999999999999</v>
      </c>
      <c r="AK141" s="68"/>
      <c r="AL141" s="40"/>
      <c r="AM141" s="40"/>
      <c r="AN141" s="68"/>
      <c r="AO141" s="68"/>
      <c r="AP141" s="24">
        <f t="shared" si="57"/>
        <v>150.69999999999999</v>
      </c>
      <c r="AQ141" s="24">
        <f>MIN(AP141,29)</f>
        <v>29</v>
      </c>
      <c r="AR141" s="24">
        <f t="shared" si="58"/>
        <v>121.7</v>
      </c>
      <c r="AS141" s="76"/>
      <c r="AT141" s="1"/>
      <c r="AU141" s="1"/>
      <c r="AV141" s="38"/>
      <c r="AW141" s="38"/>
      <c r="BA141" s="1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9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9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9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9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9"/>
      <c r="GH141" s="8"/>
      <c r="GI141" s="8"/>
    </row>
    <row r="142" spans="1:191" s="2" customFormat="1" ht="17.100000000000001" customHeight="1">
      <c r="A142" s="13" t="s">
        <v>125</v>
      </c>
      <c r="B142" s="24">
        <v>435.9</v>
      </c>
      <c r="C142" s="24">
        <v>232.3</v>
      </c>
      <c r="D142" s="4">
        <f t="shared" si="52"/>
        <v>0.53292039458591423</v>
      </c>
      <c r="E142" s="10">
        <v>15</v>
      </c>
      <c r="F142" s="5">
        <v>1</v>
      </c>
      <c r="G142" s="5">
        <v>10</v>
      </c>
      <c r="H142" s="5"/>
      <c r="I142" s="5"/>
      <c r="J142" s="4">
        <f>J$38</f>
        <v>1.0267164591977871</v>
      </c>
      <c r="K142" s="5">
        <v>10</v>
      </c>
      <c r="L142" s="5" t="s">
        <v>394</v>
      </c>
      <c r="M142" s="5" t="s">
        <v>394</v>
      </c>
      <c r="N142" s="4" t="s">
        <v>394</v>
      </c>
      <c r="O142" s="5"/>
      <c r="P142" s="5" t="s">
        <v>394</v>
      </c>
      <c r="Q142" s="5" t="s">
        <v>394</v>
      </c>
      <c r="R142" s="5" t="s">
        <v>394</v>
      </c>
      <c r="S142" s="5"/>
      <c r="T142" s="5" t="s">
        <v>394</v>
      </c>
      <c r="U142" s="5" t="s">
        <v>394</v>
      </c>
      <c r="V142" s="5" t="s">
        <v>394</v>
      </c>
      <c r="W142" s="5"/>
      <c r="X142" s="5"/>
      <c r="Y142" s="5"/>
      <c r="Z142" s="4">
        <f>Z$38</f>
        <v>1.2324999999999999</v>
      </c>
      <c r="AA142" s="5">
        <v>15</v>
      </c>
      <c r="AB142" s="31">
        <f t="shared" si="53"/>
        <v>0.93496941021533164</v>
      </c>
      <c r="AC142" s="32">
        <v>1275</v>
      </c>
      <c r="AD142" s="24">
        <f t="shared" si="54"/>
        <v>347.72727272727275</v>
      </c>
      <c r="AE142" s="24">
        <f t="shared" si="62"/>
        <v>325.10000000000002</v>
      </c>
      <c r="AF142" s="24">
        <f t="shared" si="55"/>
        <v>-22.627272727272725</v>
      </c>
      <c r="AG142" s="24"/>
      <c r="AH142" s="24">
        <v>80</v>
      </c>
      <c r="AI142" s="24">
        <v>71.400000000000006</v>
      </c>
      <c r="AJ142" s="24">
        <f t="shared" si="56"/>
        <v>173.7</v>
      </c>
      <c r="AK142" s="68"/>
      <c r="AL142" s="40"/>
      <c r="AM142" s="40"/>
      <c r="AN142" s="68"/>
      <c r="AO142" s="68"/>
      <c r="AP142" s="24">
        <f t="shared" si="57"/>
        <v>173.7</v>
      </c>
      <c r="AQ142" s="24">
        <f>MIN(AP142,42.7)</f>
        <v>42.7</v>
      </c>
      <c r="AR142" s="24">
        <f t="shared" si="58"/>
        <v>131</v>
      </c>
      <c r="AS142" s="76"/>
      <c r="AT142" s="1"/>
      <c r="AU142" s="1"/>
      <c r="AV142" s="38"/>
      <c r="AW142" s="38"/>
      <c r="BA142" s="1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9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9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9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9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9"/>
      <c r="GH142" s="8"/>
      <c r="GI142" s="8"/>
    </row>
    <row r="143" spans="1:191" s="2" customFormat="1" ht="17.100000000000001" customHeight="1">
      <c r="A143" s="13" t="s">
        <v>126</v>
      </c>
      <c r="B143" s="24">
        <v>1715.1</v>
      </c>
      <c r="C143" s="24">
        <v>1641.5</v>
      </c>
      <c r="D143" s="4">
        <f t="shared" si="52"/>
        <v>0.95708705031776575</v>
      </c>
      <c r="E143" s="10">
        <v>15</v>
      </c>
      <c r="F143" s="5">
        <v>1</v>
      </c>
      <c r="G143" s="5">
        <v>10</v>
      </c>
      <c r="H143" s="5"/>
      <c r="I143" s="5"/>
      <c r="J143" s="4">
        <f t="shared" ref="J143:J148" si="63">J$38</f>
        <v>1.0267164591977871</v>
      </c>
      <c r="K143" s="5">
        <v>10</v>
      </c>
      <c r="L143" s="5" t="s">
        <v>394</v>
      </c>
      <c r="M143" s="5" t="s">
        <v>394</v>
      </c>
      <c r="N143" s="4" t="s">
        <v>394</v>
      </c>
      <c r="O143" s="5"/>
      <c r="P143" s="5" t="s">
        <v>394</v>
      </c>
      <c r="Q143" s="5" t="s">
        <v>394</v>
      </c>
      <c r="R143" s="5" t="s">
        <v>394</v>
      </c>
      <c r="S143" s="5"/>
      <c r="T143" s="5" t="s">
        <v>394</v>
      </c>
      <c r="U143" s="5" t="s">
        <v>394</v>
      </c>
      <c r="V143" s="5" t="s">
        <v>394</v>
      </c>
      <c r="W143" s="5"/>
      <c r="X143" s="5"/>
      <c r="Y143" s="5"/>
      <c r="Z143" s="4">
        <f t="shared" ref="Z143:Z148" si="64">Z$38</f>
        <v>1.2324999999999999</v>
      </c>
      <c r="AA143" s="5">
        <v>15</v>
      </c>
      <c r="AB143" s="31">
        <f t="shared" si="53"/>
        <v>1.0622194069348871</v>
      </c>
      <c r="AC143" s="32">
        <v>2073</v>
      </c>
      <c r="AD143" s="24">
        <f t="shared" si="54"/>
        <v>565.36363636363637</v>
      </c>
      <c r="AE143" s="24">
        <f t="shared" si="62"/>
        <v>600.5</v>
      </c>
      <c r="AF143" s="24">
        <f t="shared" si="55"/>
        <v>35.136363636363626</v>
      </c>
      <c r="AG143" s="24"/>
      <c r="AH143" s="24">
        <v>204.3</v>
      </c>
      <c r="AI143" s="24">
        <v>205.4</v>
      </c>
      <c r="AJ143" s="24">
        <f t="shared" si="56"/>
        <v>190.8</v>
      </c>
      <c r="AK143" s="68"/>
      <c r="AL143" s="40"/>
      <c r="AM143" s="40"/>
      <c r="AN143" s="68"/>
      <c r="AO143" s="68"/>
      <c r="AP143" s="24">
        <f t="shared" si="57"/>
        <v>190.8</v>
      </c>
      <c r="AQ143" s="24"/>
      <c r="AR143" s="24">
        <f t="shared" si="58"/>
        <v>190.8</v>
      </c>
      <c r="AS143" s="76"/>
      <c r="AT143" s="1"/>
      <c r="AU143" s="1"/>
      <c r="AV143" s="38"/>
      <c r="AW143" s="38"/>
      <c r="BA143" s="1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9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9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9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9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9"/>
      <c r="GH143" s="8"/>
      <c r="GI143" s="8"/>
    </row>
    <row r="144" spans="1:191" s="2" customFormat="1" ht="17.100000000000001" customHeight="1">
      <c r="A144" s="13" t="s">
        <v>127</v>
      </c>
      <c r="B144" s="24">
        <v>721.7</v>
      </c>
      <c r="C144" s="24">
        <v>465.1</v>
      </c>
      <c r="D144" s="4">
        <f t="shared" si="52"/>
        <v>0.64445060274352228</v>
      </c>
      <c r="E144" s="10">
        <v>15</v>
      </c>
      <c r="F144" s="5">
        <v>1</v>
      </c>
      <c r="G144" s="5">
        <v>10</v>
      </c>
      <c r="H144" s="5"/>
      <c r="I144" s="5"/>
      <c r="J144" s="4">
        <f t="shared" si="63"/>
        <v>1.0267164591977871</v>
      </c>
      <c r="K144" s="5">
        <v>10</v>
      </c>
      <c r="L144" s="5" t="s">
        <v>394</v>
      </c>
      <c r="M144" s="5" t="s">
        <v>394</v>
      </c>
      <c r="N144" s="4" t="s">
        <v>394</v>
      </c>
      <c r="O144" s="5"/>
      <c r="P144" s="5" t="s">
        <v>394</v>
      </c>
      <c r="Q144" s="5" t="s">
        <v>394</v>
      </c>
      <c r="R144" s="5" t="s">
        <v>394</v>
      </c>
      <c r="S144" s="5"/>
      <c r="T144" s="5" t="s">
        <v>394</v>
      </c>
      <c r="U144" s="5" t="s">
        <v>394</v>
      </c>
      <c r="V144" s="5" t="s">
        <v>394</v>
      </c>
      <c r="W144" s="5"/>
      <c r="X144" s="5"/>
      <c r="Y144" s="5"/>
      <c r="Z144" s="4">
        <f t="shared" si="64"/>
        <v>1.2324999999999999</v>
      </c>
      <c r="AA144" s="5">
        <v>15</v>
      </c>
      <c r="AB144" s="31">
        <f t="shared" si="53"/>
        <v>0.968428472662614</v>
      </c>
      <c r="AC144" s="32">
        <v>1448</v>
      </c>
      <c r="AD144" s="24">
        <f t="shared" si="54"/>
        <v>394.90909090909088</v>
      </c>
      <c r="AE144" s="24">
        <f t="shared" si="62"/>
        <v>382.4</v>
      </c>
      <c r="AF144" s="24">
        <f t="shared" si="55"/>
        <v>-12.509090909090901</v>
      </c>
      <c r="AG144" s="24"/>
      <c r="AH144" s="24">
        <v>98.1</v>
      </c>
      <c r="AI144" s="24">
        <v>93.7</v>
      </c>
      <c r="AJ144" s="24">
        <f t="shared" si="56"/>
        <v>190.6</v>
      </c>
      <c r="AK144" s="68"/>
      <c r="AL144" s="40"/>
      <c r="AM144" s="40"/>
      <c r="AN144" s="68"/>
      <c r="AO144" s="68"/>
      <c r="AP144" s="24">
        <f t="shared" si="57"/>
        <v>190.6</v>
      </c>
      <c r="AQ144" s="24">
        <f>MIN(AP144,16.2)</f>
        <v>16.2</v>
      </c>
      <c r="AR144" s="24">
        <f t="shared" si="58"/>
        <v>174.4</v>
      </c>
      <c r="AS144" s="76"/>
      <c r="AT144" s="1"/>
      <c r="AU144" s="1"/>
      <c r="AV144" s="38"/>
      <c r="AW144" s="38"/>
      <c r="BA144" s="1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9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9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9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9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9"/>
      <c r="GH144" s="8"/>
      <c r="GI144" s="8"/>
    </row>
    <row r="145" spans="1:191" s="2" customFormat="1" ht="17.100000000000001" customHeight="1">
      <c r="A145" s="13" t="s">
        <v>128</v>
      </c>
      <c r="B145" s="24">
        <v>448.5</v>
      </c>
      <c r="C145" s="24">
        <v>552</v>
      </c>
      <c r="D145" s="4">
        <f t="shared" si="52"/>
        <v>1.2030769230769232</v>
      </c>
      <c r="E145" s="10">
        <v>15</v>
      </c>
      <c r="F145" s="5">
        <v>1</v>
      </c>
      <c r="G145" s="5">
        <v>10</v>
      </c>
      <c r="H145" s="5"/>
      <c r="I145" s="5"/>
      <c r="J145" s="4">
        <f t="shared" si="63"/>
        <v>1.0267164591977871</v>
      </c>
      <c r="K145" s="5">
        <v>10</v>
      </c>
      <c r="L145" s="5" t="s">
        <v>394</v>
      </c>
      <c r="M145" s="5" t="s">
        <v>394</v>
      </c>
      <c r="N145" s="4" t="s">
        <v>394</v>
      </c>
      <c r="O145" s="5"/>
      <c r="P145" s="5" t="s">
        <v>394</v>
      </c>
      <c r="Q145" s="5" t="s">
        <v>394</v>
      </c>
      <c r="R145" s="5" t="s">
        <v>394</v>
      </c>
      <c r="S145" s="5"/>
      <c r="T145" s="5" t="s">
        <v>394</v>
      </c>
      <c r="U145" s="5" t="s">
        <v>394</v>
      </c>
      <c r="V145" s="5" t="s">
        <v>394</v>
      </c>
      <c r="W145" s="5"/>
      <c r="X145" s="5"/>
      <c r="Y145" s="5"/>
      <c r="Z145" s="4">
        <f t="shared" si="64"/>
        <v>1.2324999999999999</v>
      </c>
      <c r="AA145" s="5">
        <v>15</v>
      </c>
      <c r="AB145" s="31">
        <f t="shared" si="53"/>
        <v>1.1360163687626343</v>
      </c>
      <c r="AC145" s="32">
        <v>1715</v>
      </c>
      <c r="AD145" s="24">
        <f t="shared" si="54"/>
        <v>467.72727272727275</v>
      </c>
      <c r="AE145" s="24">
        <f t="shared" si="62"/>
        <v>531.29999999999995</v>
      </c>
      <c r="AF145" s="24">
        <f t="shared" si="55"/>
        <v>63.572727272727207</v>
      </c>
      <c r="AG145" s="24"/>
      <c r="AH145" s="24">
        <v>181.1</v>
      </c>
      <c r="AI145" s="24">
        <v>146.4</v>
      </c>
      <c r="AJ145" s="24">
        <f t="shared" si="56"/>
        <v>203.8</v>
      </c>
      <c r="AK145" s="68"/>
      <c r="AL145" s="40"/>
      <c r="AM145" s="40"/>
      <c r="AN145" s="68"/>
      <c r="AO145" s="68"/>
      <c r="AP145" s="24">
        <f t="shared" si="57"/>
        <v>203.8</v>
      </c>
      <c r="AQ145" s="24">
        <f>MIN(AP145,49.7)</f>
        <v>49.7</v>
      </c>
      <c r="AR145" s="24">
        <f t="shared" si="58"/>
        <v>154.1</v>
      </c>
      <c r="AS145" s="76"/>
      <c r="AT145" s="1"/>
      <c r="AU145" s="1"/>
      <c r="AV145" s="38"/>
      <c r="AW145" s="38"/>
      <c r="BA145" s="1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9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9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9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9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9"/>
      <c r="GH145" s="8"/>
      <c r="GI145" s="8"/>
    </row>
    <row r="146" spans="1:191" s="2" customFormat="1" ht="17.100000000000001" customHeight="1">
      <c r="A146" s="13" t="s">
        <v>129</v>
      </c>
      <c r="B146" s="24">
        <v>917.1</v>
      </c>
      <c r="C146" s="24">
        <v>354.7</v>
      </c>
      <c r="D146" s="4">
        <f t="shared" si="52"/>
        <v>0.38676262130629158</v>
      </c>
      <c r="E146" s="10">
        <v>15</v>
      </c>
      <c r="F146" s="5">
        <v>1</v>
      </c>
      <c r="G146" s="5">
        <v>10</v>
      </c>
      <c r="H146" s="5"/>
      <c r="I146" s="5"/>
      <c r="J146" s="4">
        <f t="shared" si="63"/>
        <v>1.0267164591977871</v>
      </c>
      <c r="K146" s="5">
        <v>10</v>
      </c>
      <c r="L146" s="5" t="s">
        <v>394</v>
      </c>
      <c r="M146" s="5" t="s">
        <v>394</v>
      </c>
      <c r="N146" s="4" t="s">
        <v>394</v>
      </c>
      <c r="O146" s="5"/>
      <c r="P146" s="5" t="s">
        <v>394</v>
      </c>
      <c r="Q146" s="5" t="s">
        <v>394</v>
      </c>
      <c r="R146" s="5" t="s">
        <v>394</v>
      </c>
      <c r="S146" s="5"/>
      <c r="T146" s="5" t="s">
        <v>394</v>
      </c>
      <c r="U146" s="5" t="s">
        <v>394</v>
      </c>
      <c r="V146" s="5" t="s">
        <v>394</v>
      </c>
      <c r="W146" s="5"/>
      <c r="X146" s="5"/>
      <c r="Y146" s="5"/>
      <c r="Z146" s="4">
        <f t="shared" si="64"/>
        <v>1.2324999999999999</v>
      </c>
      <c r="AA146" s="5">
        <v>15</v>
      </c>
      <c r="AB146" s="31">
        <f t="shared" si="53"/>
        <v>0.89112207823144474</v>
      </c>
      <c r="AC146" s="32">
        <v>1087</v>
      </c>
      <c r="AD146" s="24">
        <f t="shared" si="54"/>
        <v>296.45454545454544</v>
      </c>
      <c r="AE146" s="24">
        <f t="shared" si="62"/>
        <v>264.2</v>
      </c>
      <c r="AF146" s="24">
        <f t="shared" si="55"/>
        <v>-32.25454545454545</v>
      </c>
      <c r="AG146" s="24"/>
      <c r="AH146" s="24">
        <v>53.6</v>
      </c>
      <c r="AI146" s="24">
        <v>58.6</v>
      </c>
      <c r="AJ146" s="24">
        <f t="shared" si="56"/>
        <v>152</v>
      </c>
      <c r="AK146" s="68"/>
      <c r="AL146" s="40"/>
      <c r="AM146" s="40"/>
      <c r="AN146" s="68"/>
      <c r="AO146" s="68"/>
      <c r="AP146" s="24">
        <f t="shared" si="57"/>
        <v>152</v>
      </c>
      <c r="AQ146" s="24"/>
      <c r="AR146" s="24">
        <f t="shared" si="58"/>
        <v>152</v>
      </c>
      <c r="AS146" s="76"/>
      <c r="AT146" s="1"/>
      <c r="AU146" s="1"/>
      <c r="AV146" s="38"/>
      <c r="AW146" s="38"/>
      <c r="BA146" s="1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9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9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9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9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9"/>
      <c r="GH146" s="8"/>
      <c r="GI146" s="8"/>
    </row>
    <row r="147" spans="1:191" s="2" customFormat="1" ht="17.100000000000001" customHeight="1">
      <c r="A147" s="13" t="s">
        <v>130</v>
      </c>
      <c r="B147" s="24">
        <v>1329.9</v>
      </c>
      <c r="C147" s="24">
        <v>1069.7</v>
      </c>
      <c r="D147" s="4">
        <f t="shared" si="52"/>
        <v>0.8043461914429656</v>
      </c>
      <c r="E147" s="10">
        <v>15</v>
      </c>
      <c r="F147" s="5">
        <v>1</v>
      </c>
      <c r="G147" s="5">
        <v>10</v>
      </c>
      <c r="H147" s="5"/>
      <c r="I147" s="5"/>
      <c r="J147" s="4">
        <f t="shared" si="63"/>
        <v>1.0267164591977871</v>
      </c>
      <c r="K147" s="5">
        <v>10</v>
      </c>
      <c r="L147" s="5" t="s">
        <v>394</v>
      </c>
      <c r="M147" s="5" t="s">
        <v>394</v>
      </c>
      <c r="N147" s="4" t="s">
        <v>394</v>
      </c>
      <c r="O147" s="5"/>
      <c r="P147" s="5" t="s">
        <v>394</v>
      </c>
      <c r="Q147" s="5" t="s">
        <v>394</v>
      </c>
      <c r="R147" s="5" t="s">
        <v>394</v>
      </c>
      <c r="S147" s="5"/>
      <c r="T147" s="5" t="s">
        <v>394</v>
      </c>
      <c r="U147" s="5" t="s">
        <v>394</v>
      </c>
      <c r="V147" s="5" t="s">
        <v>394</v>
      </c>
      <c r="W147" s="5"/>
      <c r="X147" s="5"/>
      <c r="Y147" s="5"/>
      <c r="Z147" s="4">
        <f t="shared" si="64"/>
        <v>1.2324999999999999</v>
      </c>
      <c r="AA147" s="5">
        <v>15</v>
      </c>
      <c r="AB147" s="31">
        <f t="shared" si="53"/>
        <v>1.0163971492724471</v>
      </c>
      <c r="AC147" s="32">
        <v>1215</v>
      </c>
      <c r="AD147" s="24">
        <f t="shared" si="54"/>
        <v>331.36363636363637</v>
      </c>
      <c r="AE147" s="24">
        <f t="shared" si="62"/>
        <v>336.8</v>
      </c>
      <c r="AF147" s="24">
        <f t="shared" si="55"/>
        <v>5.4363636363636374</v>
      </c>
      <c r="AG147" s="24"/>
      <c r="AH147" s="24">
        <v>99.2</v>
      </c>
      <c r="AI147" s="24">
        <v>69.099999999999994</v>
      </c>
      <c r="AJ147" s="24">
        <f t="shared" si="56"/>
        <v>168.5</v>
      </c>
      <c r="AK147" s="68"/>
      <c r="AL147" s="40"/>
      <c r="AM147" s="40"/>
      <c r="AN147" s="68"/>
      <c r="AO147" s="68"/>
      <c r="AP147" s="24">
        <f t="shared" si="57"/>
        <v>168.5</v>
      </c>
      <c r="AQ147" s="24">
        <f>MIN(AP147,9.9)</f>
        <v>9.9</v>
      </c>
      <c r="AR147" s="24">
        <f t="shared" si="58"/>
        <v>158.6</v>
      </c>
      <c r="AS147" s="76"/>
      <c r="AT147" s="1"/>
      <c r="AU147" s="1"/>
      <c r="AV147" s="38"/>
      <c r="AW147" s="38"/>
      <c r="BA147" s="1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9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9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9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9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9"/>
      <c r="GH147" s="8"/>
      <c r="GI147" s="8"/>
    </row>
    <row r="148" spans="1:191" s="2" customFormat="1" ht="17.100000000000001" customHeight="1">
      <c r="A148" s="13" t="s">
        <v>131</v>
      </c>
      <c r="B148" s="24">
        <v>954.3</v>
      </c>
      <c r="C148" s="24">
        <v>692.1</v>
      </c>
      <c r="D148" s="4">
        <f t="shared" si="52"/>
        <v>0.72524363407733428</v>
      </c>
      <c r="E148" s="10">
        <v>15</v>
      </c>
      <c r="F148" s="5">
        <v>1</v>
      </c>
      <c r="G148" s="5">
        <v>10</v>
      </c>
      <c r="H148" s="5"/>
      <c r="I148" s="5"/>
      <c r="J148" s="4">
        <f t="shared" si="63"/>
        <v>1.0267164591977871</v>
      </c>
      <c r="K148" s="5">
        <v>10</v>
      </c>
      <c r="L148" s="5" t="s">
        <v>394</v>
      </c>
      <c r="M148" s="5" t="s">
        <v>394</v>
      </c>
      <c r="N148" s="4" t="s">
        <v>394</v>
      </c>
      <c r="O148" s="5"/>
      <c r="P148" s="5" t="s">
        <v>394</v>
      </c>
      <c r="Q148" s="5" t="s">
        <v>394</v>
      </c>
      <c r="R148" s="5" t="s">
        <v>394</v>
      </c>
      <c r="S148" s="5"/>
      <c r="T148" s="5" t="s">
        <v>394</v>
      </c>
      <c r="U148" s="5" t="s">
        <v>394</v>
      </c>
      <c r="V148" s="5" t="s">
        <v>394</v>
      </c>
      <c r="W148" s="5"/>
      <c r="X148" s="5"/>
      <c r="Y148" s="5"/>
      <c r="Z148" s="4">
        <f t="shared" si="64"/>
        <v>1.2324999999999999</v>
      </c>
      <c r="AA148" s="5">
        <v>15</v>
      </c>
      <c r="AB148" s="31">
        <f t="shared" si="53"/>
        <v>0.99266638206275759</v>
      </c>
      <c r="AC148" s="32">
        <v>544</v>
      </c>
      <c r="AD148" s="24">
        <f t="shared" si="54"/>
        <v>148.36363636363637</v>
      </c>
      <c r="AE148" s="24">
        <f t="shared" si="62"/>
        <v>147.30000000000001</v>
      </c>
      <c r="AF148" s="24">
        <f t="shared" si="55"/>
        <v>-1.0636363636363626</v>
      </c>
      <c r="AG148" s="24"/>
      <c r="AH148" s="24">
        <v>37.799999999999997</v>
      </c>
      <c r="AI148" s="24">
        <v>52.5</v>
      </c>
      <c r="AJ148" s="24">
        <f t="shared" si="56"/>
        <v>57</v>
      </c>
      <c r="AK148" s="68"/>
      <c r="AL148" s="40"/>
      <c r="AM148" s="40"/>
      <c r="AN148" s="68"/>
      <c r="AO148" s="68"/>
      <c r="AP148" s="24">
        <f t="shared" si="57"/>
        <v>57</v>
      </c>
      <c r="AQ148" s="24"/>
      <c r="AR148" s="24">
        <f t="shared" si="58"/>
        <v>57</v>
      </c>
      <c r="AS148" s="76"/>
      <c r="AT148" s="1"/>
      <c r="AU148" s="1"/>
      <c r="AV148" s="38"/>
      <c r="AW148" s="38"/>
      <c r="BA148" s="1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9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9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9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9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9"/>
      <c r="GH148" s="8"/>
      <c r="GI148" s="8"/>
    </row>
    <row r="149" spans="1:191" s="2" customFormat="1" ht="17.100000000000001" customHeight="1">
      <c r="A149" s="17" t="s">
        <v>132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76"/>
      <c r="AT149" s="1"/>
      <c r="AU149" s="1"/>
      <c r="AV149" s="38"/>
      <c r="AW149" s="38"/>
      <c r="AZ149" s="1"/>
      <c r="BA149" s="1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9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9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9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9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9"/>
      <c r="GH149" s="8"/>
      <c r="GI149" s="8"/>
    </row>
    <row r="150" spans="1:191" s="2" customFormat="1" ht="17.100000000000001" customHeight="1">
      <c r="A150" s="13" t="s">
        <v>133</v>
      </c>
      <c r="B150" s="24">
        <v>165.9</v>
      </c>
      <c r="C150" s="24">
        <v>494.2</v>
      </c>
      <c r="D150" s="4">
        <f t="shared" si="52"/>
        <v>1.3</v>
      </c>
      <c r="E150" s="10">
        <v>15</v>
      </c>
      <c r="F150" s="5">
        <v>1</v>
      </c>
      <c r="G150" s="5">
        <v>10</v>
      </c>
      <c r="H150" s="5"/>
      <c r="I150" s="5"/>
      <c r="J150" s="4">
        <f>J$39</f>
        <v>0.7934283333333334</v>
      </c>
      <c r="K150" s="5">
        <v>10</v>
      </c>
      <c r="L150" s="5" t="s">
        <v>394</v>
      </c>
      <c r="M150" s="5" t="s">
        <v>394</v>
      </c>
      <c r="N150" s="4" t="s">
        <v>394</v>
      </c>
      <c r="O150" s="5"/>
      <c r="P150" s="5" t="s">
        <v>394</v>
      </c>
      <c r="Q150" s="5" t="s">
        <v>394</v>
      </c>
      <c r="R150" s="5" t="s">
        <v>394</v>
      </c>
      <c r="S150" s="5"/>
      <c r="T150" s="5" t="s">
        <v>394</v>
      </c>
      <c r="U150" s="5" t="s">
        <v>394</v>
      </c>
      <c r="V150" s="5" t="s">
        <v>394</v>
      </c>
      <c r="W150" s="5"/>
      <c r="X150" s="5"/>
      <c r="Y150" s="5"/>
      <c r="Z150" s="4">
        <f>Z$39</f>
        <v>1.0895522388059702</v>
      </c>
      <c r="AA150" s="5">
        <v>15</v>
      </c>
      <c r="AB150" s="31">
        <f t="shared" si="53"/>
        <v>1.0755513383084576</v>
      </c>
      <c r="AC150" s="32">
        <v>1151</v>
      </c>
      <c r="AD150" s="24">
        <f t="shared" si="54"/>
        <v>313.90909090909093</v>
      </c>
      <c r="AE150" s="24">
        <f t="shared" ref="AE150:AE155" si="65">ROUND(AB150*AD150,1)</f>
        <v>337.6</v>
      </c>
      <c r="AF150" s="24">
        <f t="shared" si="55"/>
        <v>23.690909090909088</v>
      </c>
      <c r="AG150" s="24"/>
      <c r="AH150" s="24">
        <v>72.5</v>
      </c>
      <c r="AI150" s="24">
        <v>123.5</v>
      </c>
      <c r="AJ150" s="24">
        <f t="shared" si="56"/>
        <v>141.6</v>
      </c>
      <c r="AK150" s="40"/>
      <c r="AL150" s="40"/>
      <c r="AM150" s="40"/>
      <c r="AN150" s="68"/>
      <c r="AO150" s="68"/>
      <c r="AP150" s="24">
        <f t="shared" si="57"/>
        <v>141.6</v>
      </c>
      <c r="AQ150" s="24"/>
      <c r="AR150" s="24">
        <f t="shared" si="58"/>
        <v>141.6</v>
      </c>
      <c r="AS150" s="76"/>
      <c r="AT150" s="1"/>
      <c r="AU150" s="1"/>
      <c r="AV150" s="38"/>
      <c r="AW150" s="38"/>
      <c r="AZ150" s="1"/>
      <c r="BA150" s="1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9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9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9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9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9"/>
      <c r="GH150" s="8"/>
      <c r="GI150" s="8"/>
    </row>
    <row r="151" spans="1:191" s="2" customFormat="1" ht="17.100000000000001" customHeight="1">
      <c r="A151" s="13" t="s">
        <v>134</v>
      </c>
      <c r="B151" s="24">
        <v>134.9</v>
      </c>
      <c r="C151" s="24">
        <v>471.3</v>
      </c>
      <c r="D151" s="4">
        <f t="shared" si="52"/>
        <v>1.3</v>
      </c>
      <c r="E151" s="10">
        <v>15</v>
      </c>
      <c r="F151" s="5">
        <v>1</v>
      </c>
      <c r="G151" s="5">
        <v>10</v>
      </c>
      <c r="H151" s="5"/>
      <c r="I151" s="5"/>
      <c r="J151" s="4">
        <f t="shared" ref="J151:J155" si="66">J$39</f>
        <v>0.7934283333333334</v>
      </c>
      <c r="K151" s="5">
        <v>10</v>
      </c>
      <c r="L151" s="5" t="s">
        <v>394</v>
      </c>
      <c r="M151" s="5" t="s">
        <v>394</v>
      </c>
      <c r="N151" s="4" t="s">
        <v>394</v>
      </c>
      <c r="O151" s="5"/>
      <c r="P151" s="5" t="s">
        <v>394</v>
      </c>
      <c r="Q151" s="5" t="s">
        <v>394</v>
      </c>
      <c r="R151" s="5" t="s">
        <v>394</v>
      </c>
      <c r="S151" s="5"/>
      <c r="T151" s="5" t="s">
        <v>394</v>
      </c>
      <c r="U151" s="5" t="s">
        <v>394</v>
      </c>
      <c r="V151" s="5" t="s">
        <v>394</v>
      </c>
      <c r="W151" s="5"/>
      <c r="X151" s="5"/>
      <c r="Y151" s="5"/>
      <c r="Z151" s="4">
        <f t="shared" ref="Z151:Z155" si="67">Z$39</f>
        <v>1.0895522388059702</v>
      </c>
      <c r="AA151" s="5">
        <v>15</v>
      </c>
      <c r="AB151" s="31">
        <f t="shared" si="53"/>
        <v>1.0755513383084576</v>
      </c>
      <c r="AC151" s="32">
        <v>1491</v>
      </c>
      <c r="AD151" s="24">
        <f t="shared" si="54"/>
        <v>406.63636363636363</v>
      </c>
      <c r="AE151" s="24">
        <f t="shared" si="65"/>
        <v>437.4</v>
      </c>
      <c r="AF151" s="24">
        <f t="shared" si="55"/>
        <v>30.763636363636351</v>
      </c>
      <c r="AG151" s="24"/>
      <c r="AH151" s="24">
        <v>159.9</v>
      </c>
      <c r="AI151" s="24">
        <v>159.9</v>
      </c>
      <c r="AJ151" s="24">
        <f t="shared" si="56"/>
        <v>117.6</v>
      </c>
      <c r="AK151" s="68"/>
      <c r="AL151" s="40"/>
      <c r="AM151" s="40"/>
      <c r="AN151" s="68"/>
      <c r="AO151" s="68"/>
      <c r="AP151" s="24">
        <f t="shared" si="57"/>
        <v>117.6</v>
      </c>
      <c r="AQ151" s="24"/>
      <c r="AR151" s="24">
        <f t="shared" si="58"/>
        <v>117.6</v>
      </c>
      <c r="AS151" s="76"/>
      <c r="AT151" s="1"/>
      <c r="AU151" s="1"/>
      <c r="AV151" s="38"/>
      <c r="AW151" s="38"/>
      <c r="AZ151" s="1"/>
      <c r="BA151" s="1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9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9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9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9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9"/>
      <c r="GH151" s="8"/>
      <c r="GI151" s="8"/>
    </row>
    <row r="152" spans="1:191" s="2" customFormat="1" ht="17.100000000000001" customHeight="1">
      <c r="A152" s="13" t="s">
        <v>135</v>
      </c>
      <c r="B152" s="24">
        <v>432.2</v>
      </c>
      <c r="C152" s="24">
        <v>361.9</v>
      </c>
      <c r="D152" s="4">
        <f t="shared" si="52"/>
        <v>0.83734382230448867</v>
      </c>
      <c r="E152" s="10">
        <v>15</v>
      </c>
      <c r="F152" s="5">
        <v>1</v>
      </c>
      <c r="G152" s="5">
        <v>10</v>
      </c>
      <c r="H152" s="5"/>
      <c r="I152" s="5"/>
      <c r="J152" s="4">
        <f t="shared" si="66"/>
        <v>0.7934283333333334</v>
      </c>
      <c r="K152" s="5">
        <v>10</v>
      </c>
      <c r="L152" s="5" t="s">
        <v>394</v>
      </c>
      <c r="M152" s="5" t="s">
        <v>394</v>
      </c>
      <c r="N152" s="4" t="s">
        <v>394</v>
      </c>
      <c r="O152" s="5"/>
      <c r="P152" s="5" t="s">
        <v>394</v>
      </c>
      <c r="Q152" s="5" t="s">
        <v>394</v>
      </c>
      <c r="R152" s="5" t="s">
        <v>394</v>
      </c>
      <c r="S152" s="5"/>
      <c r="T152" s="5" t="s">
        <v>394</v>
      </c>
      <c r="U152" s="5" t="s">
        <v>394</v>
      </c>
      <c r="V152" s="5" t="s">
        <v>394</v>
      </c>
      <c r="W152" s="5"/>
      <c r="X152" s="5"/>
      <c r="Y152" s="5"/>
      <c r="Z152" s="4">
        <f t="shared" si="67"/>
        <v>1.0895522388059702</v>
      </c>
      <c r="AA152" s="5">
        <v>15</v>
      </c>
      <c r="AB152" s="31">
        <f t="shared" si="53"/>
        <v>0.93675448499980429</v>
      </c>
      <c r="AC152" s="32">
        <v>2214</v>
      </c>
      <c r="AD152" s="24">
        <f t="shared" si="54"/>
        <v>603.81818181818187</v>
      </c>
      <c r="AE152" s="24">
        <f t="shared" si="65"/>
        <v>565.6</v>
      </c>
      <c r="AF152" s="24">
        <f t="shared" si="55"/>
        <v>-38.218181818181847</v>
      </c>
      <c r="AG152" s="24"/>
      <c r="AH152" s="24">
        <v>93.4</v>
      </c>
      <c r="AI152" s="24">
        <v>236.7</v>
      </c>
      <c r="AJ152" s="24">
        <f t="shared" si="56"/>
        <v>235.5</v>
      </c>
      <c r="AK152" s="68"/>
      <c r="AL152" s="40"/>
      <c r="AM152" s="40"/>
      <c r="AN152" s="68"/>
      <c r="AO152" s="68"/>
      <c r="AP152" s="24">
        <f t="shared" si="57"/>
        <v>235.5</v>
      </c>
      <c r="AQ152" s="24"/>
      <c r="AR152" s="24">
        <f t="shared" si="58"/>
        <v>235.5</v>
      </c>
      <c r="AS152" s="76"/>
      <c r="AT152" s="1"/>
      <c r="AU152" s="1"/>
      <c r="AV152" s="38"/>
      <c r="AW152" s="38"/>
      <c r="AZ152" s="1"/>
      <c r="BA152" s="1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9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9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9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9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9"/>
      <c r="GH152" s="8"/>
      <c r="GI152" s="8"/>
    </row>
    <row r="153" spans="1:191" s="2" customFormat="1" ht="17.100000000000001" customHeight="1">
      <c r="A153" s="13" t="s">
        <v>136</v>
      </c>
      <c r="B153" s="24">
        <v>1883.3</v>
      </c>
      <c r="C153" s="24">
        <v>1841.5</v>
      </c>
      <c r="D153" s="4">
        <f t="shared" si="52"/>
        <v>0.9778049169011841</v>
      </c>
      <c r="E153" s="10">
        <v>15</v>
      </c>
      <c r="F153" s="5">
        <v>1</v>
      </c>
      <c r="G153" s="5">
        <v>10</v>
      </c>
      <c r="H153" s="5"/>
      <c r="I153" s="5"/>
      <c r="J153" s="4">
        <f t="shared" si="66"/>
        <v>0.7934283333333334</v>
      </c>
      <c r="K153" s="5">
        <v>10</v>
      </c>
      <c r="L153" s="5" t="s">
        <v>394</v>
      </c>
      <c r="M153" s="5" t="s">
        <v>394</v>
      </c>
      <c r="N153" s="4" t="s">
        <v>394</v>
      </c>
      <c r="O153" s="5"/>
      <c r="P153" s="5" t="s">
        <v>394</v>
      </c>
      <c r="Q153" s="5" t="s">
        <v>394</v>
      </c>
      <c r="R153" s="5" t="s">
        <v>394</v>
      </c>
      <c r="S153" s="5"/>
      <c r="T153" s="5" t="s">
        <v>394</v>
      </c>
      <c r="U153" s="5" t="s">
        <v>394</v>
      </c>
      <c r="V153" s="5" t="s">
        <v>394</v>
      </c>
      <c r="W153" s="5"/>
      <c r="X153" s="5"/>
      <c r="Y153" s="5"/>
      <c r="Z153" s="4">
        <f t="shared" si="67"/>
        <v>1.0895522388059702</v>
      </c>
      <c r="AA153" s="5">
        <v>15</v>
      </c>
      <c r="AB153" s="31">
        <f t="shared" si="53"/>
        <v>0.97889281337881295</v>
      </c>
      <c r="AC153" s="32">
        <v>1779</v>
      </c>
      <c r="AD153" s="24">
        <f t="shared" si="54"/>
        <v>485.18181818181813</v>
      </c>
      <c r="AE153" s="24">
        <f t="shared" si="65"/>
        <v>474.9</v>
      </c>
      <c r="AF153" s="24">
        <f t="shared" si="55"/>
        <v>-10.281818181818153</v>
      </c>
      <c r="AG153" s="24"/>
      <c r="AH153" s="24">
        <v>112</v>
      </c>
      <c r="AI153" s="24">
        <v>182.2</v>
      </c>
      <c r="AJ153" s="24">
        <f t="shared" si="56"/>
        <v>180.7</v>
      </c>
      <c r="AK153" s="68"/>
      <c r="AL153" s="40"/>
      <c r="AM153" s="40"/>
      <c r="AN153" s="68"/>
      <c r="AO153" s="68"/>
      <c r="AP153" s="24">
        <f t="shared" si="57"/>
        <v>180.7</v>
      </c>
      <c r="AQ153" s="24">
        <f>MIN(AP153,11.3)</f>
        <v>11.3</v>
      </c>
      <c r="AR153" s="24">
        <f t="shared" si="58"/>
        <v>169.4</v>
      </c>
      <c r="AS153" s="76"/>
      <c r="AT153" s="1"/>
      <c r="AU153" s="1"/>
      <c r="AV153" s="38"/>
      <c r="AW153" s="38"/>
      <c r="AZ153" s="1"/>
      <c r="BA153" s="1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9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9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9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9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9"/>
      <c r="GH153" s="8"/>
      <c r="GI153" s="8"/>
    </row>
    <row r="154" spans="1:191" s="2" customFormat="1" ht="17.100000000000001" customHeight="1">
      <c r="A154" s="13" t="s">
        <v>137</v>
      </c>
      <c r="B154" s="24">
        <v>1492.3</v>
      </c>
      <c r="C154" s="24">
        <v>1066.7</v>
      </c>
      <c r="D154" s="4">
        <f t="shared" si="52"/>
        <v>0.71480265362192597</v>
      </c>
      <c r="E154" s="10">
        <v>15</v>
      </c>
      <c r="F154" s="5">
        <v>1</v>
      </c>
      <c r="G154" s="5">
        <v>10</v>
      </c>
      <c r="H154" s="5"/>
      <c r="I154" s="5"/>
      <c r="J154" s="4">
        <f t="shared" si="66"/>
        <v>0.7934283333333334</v>
      </c>
      <c r="K154" s="5">
        <v>10</v>
      </c>
      <c r="L154" s="5" t="s">
        <v>394</v>
      </c>
      <c r="M154" s="5" t="s">
        <v>394</v>
      </c>
      <c r="N154" s="4" t="s">
        <v>394</v>
      </c>
      <c r="O154" s="5"/>
      <c r="P154" s="5" t="s">
        <v>394</v>
      </c>
      <c r="Q154" s="5" t="s">
        <v>394</v>
      </c>
      <c r="R154" s="5" t="s">
        <v>394</v>
      </c>
      <c r="S154" s="5"/>
      <c r="T154" s="5" t="s">
        <v>394</v>
      </c>
      <c r="U154" s="5" t="s">
        <v>394</v>
      </c>
      <c r="V154" s="5" t="s">
        <v>394</v>
      </c>
      <c r="W154" s="5"/>
      <c r="X154" s="5"/>
      <c r="Y154" s="5"/>
      <c r="Z154" s="4">
        <f t="shared" si="67"/>
        <v>1.0895522388059702</v>
      </c>
      <c r="AA154" s="5">
        <v>15</v>
      </c>
      <c r="AB154" s="31">
        <f t="shared" si="53"/>
        <v>0.89999213439503545</v>
      </c>
      <c r="AC154" s="32">
        <v>172</v>
      </c>
      <c r="AD154" s="24">
        <f t="shared" si="54"/>
        <v>46.909090909090907</v>
      </c>
      <c r="AE154" s="24">
        <f t="shared" si="65"/>
        <v>42.2</v>
      </c>
      <c r="AF154" s="24">
        <f t="shared" si="55"/>
        <v>-4.7090909090909037</v>
      </c>
      <c r="AG154" s="24"/>
      <c r="AH154" s="24">
        <v>10.199999999999999</v>
      </c>
      <c r="AI154" s="24">
        <v>16.7</v>
      </c>
      <c r="AJ154" s="24">
        <f t="shared" si="56"/>
        <v>15.3</v>
      </c>
      <c r="AK154" s="40"/>
      <c r="AL154" s="40"/>
      <c r="AM154" s="40"/>
      <c r="AN154" s="68"/>
      <c r="AO154" s="68"/>
      <c r="AP154" s="24">
        <f t="shared" si="57"/>
        <v>15.3</v>
      </c>
      <c r="AQ154" s="24"/>
      <c r="AR154" s="24">
        <f t="shared" si="58"/>
        <v>15.3</v>
      </c>
      <c r="AS154" s="76"/>
      <c r="AT154" s="1"/>
      <c r="AU154" s="1"/>
      <c r="AV154" s="38"/>
      <c r="AW154" s="38"/>
      <c r="AZ154" s="1"/>
      <c r="BA154" s="1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9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9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9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9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9"/>
      <c r="GH154" s="8"/>
      <c r="GI154" s="8"/>
    </row>
    <row r="155" spans="1:191" s="2" customFormat="1" ht="17.100000000000001" customHeight="1">
      <c r="A155" s="13" t="s">
        <v>138</v>
      </c>
      <c r="B155" s="24">
        <v>140.30000000000001</v>
      </c>
      <c r="C155" s="24">
        <v>366</v>
      </c>
      <c r="D155" s="4">
        <f t="shared" si="52"/>
        <v>1.3</v>
      </c>
      <c r="E155" s="10">
        <v>15</v>
      </c>
      <c r="F155" s="5">
        <v>1</v>
      </c>
      <c r="G155" s="5">
        <v>10</v>
      </c>
      <c r="H155" s="5"/>
      <c r="I155" s="5"/>
      <c r="J155" s="4">
        <f t="shared" si="66"/>
        <v>0.7934283333333334</v>
      </c>
      <c r="K155" s="5">
        <v>10</v>
      </c>
      <c r="L155" s="5" t="s">
        <v>394</v>
      </c>
      <c r="M155" s="5" t="s">
        <v>394</v>
      </c>
      <c r="N155" s="4" t="s">
        <v>394</v>
      </c>
      <c r="O155" s="5"/>
      <c r="P155" s="5" t="s">
        <v>394</v>
      </c>
      <c r="Q155" s="5" t="s">
        <v>394</v>
      </c>
      <c r="R155" s="5" t="s">
        <v>394</v>
      </c>
      <c r="S155" s="5"/>
      <c r="T155" s="5" t="s">
        <v>394</v>
      </c>
      <c r="U155" s="5" t="s">
        <v>394</v>
      </c>
      <c r="V155" s="5" t="s">
        <v>394</v>
      </c>
      <c r="W155" s="5"/>
      <c r="X155" s="5"/>
      <c r="Y155" s="5"/>
      <c r="Z155" s="4">
        <f t="shared" si="67"/>
        <v>1.0895522388059702</v>
      </c>
      <c r="AA155" s="5">
        <v>15</v>
      </c>
      <c r="AB155" s="31">
        <f t="shared" si="53"/>
        <v>1.0755513383084576</v>
      </c>
      <c r="AC155" s="32">
        <v>1501</v>
      </c>
      <c r="AD155" s="24">
        <f t="shared" si="54"/>
        <v>409.36363636363637</v>
      </c>
      <c r="AE155" s="24">
        <f t="shared" si="65"/>
        <v>440.3</v>
      </c>
      <c r="AF155" s="24">
        <f t="shared" si="55"/>
        <v>30.936363636363637</v>
      </c>
      <c r="AG155" s="24"/>
      <c r="AH155" s="24">
        <v>154.19999999999999</v>
      </c>
      <c r="AI155" s="24">
        <v>161</v>
      </c>
      <c r="AJ155" s="24">
        <f t="shared" si="56"/>
        <v>125.1</v>
      </c>
      <c r="AK155" s="68"/>
      <c r="AL155" s="40"/>
      <c r="AM155" s="40"/>
      <c r="AN155" s="68"/>
      <c r="AO155" s="68"/>
      <c r="AP155" s="24">
        <f t="shared" si="57"/>
        <v>125.1</v>
      </c>
      <c r="AQ155" s="24"/>
      <c r="AR155" s="24">
        <f t="shared" si="58"/>
        <v>125.1</v>
      </c>
      <c r="AS155" s="76"/>
      <c r="AT155" s="1"/>
      <c r="AU155" s="1"/>
      <c r="AV155" s="38"/>
      <c r="AW155" s="38"/>
      <c r="AZ155" s="1"/>
      <c r="BA155" s="1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9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9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9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9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9"/>
      <c r="GH155" s="8"/>
      <c r="GI155" s="8"/>
    </row>
    <row r="156" spans="1:191" s="2" customFormat="1" ht="17.100000000000001" customHeight="1">
      <c r="A156" s="17" t="s">
        <v>139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76"/>
      <c r="AT156" s="1"/>
      <c r="AU156" s="1"/>
      <c r="AV156" s="38"/>
      <c r="AW156" s="38"/>
      <c r="AX156" s="1"/>
      <c r="AY156" s="1"/>
      <c r="AZ156" s="1"/>
      <c r="BA156" s="1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9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9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9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9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9"/>
      <c r="GH156" s="8"/>
      <c r="GI156" s="8"/>
    </row>
    <row r="157" spans="1:191" s="2" customFormat="1" ht="17.100000000000001" customHeight="1">
      <c r="A157" s="13" t="s">
        <v>140</v>
      </c>
      <c r="B157" s="24">
        <v>428.2</v>
      </c>
      <c r="C157" s="24">
        <v>396.7</v>
      </c>
      <c r="D157" s="4">
        <f t="shared" si="52"/>
        <v>0.92643624474544606</v>
      </c>
      <c r="E157" s="10">
        <v>15</v>
      </c>
      <c r="F157" s="5">
        <v>1</v>
      </c>
      <c r="G157" s="5">
        <v>10</v>
      </c>
      <c r="H157" s="5"/>
      <c r="I157" s="5"/>
      <c r="J157" s="4">
        <f>J$40</f>
        <v>1.0981544771018454</v>
      </c>
      <c r="K157" s="5">
        <v>10</v>
      </c>
      <c r="L157" s="5" t="s">
        <v>394</v>
      </c>
      <c r="M157" s="5" t="s">
        <v>394</v>
      </c>
      <c r="N157" s="4" t="s">
        <v>394</v>
      </c>
      <c r="O157" s="5"/>
      <c r="P157" s="5" t="s">
        <v>394</v>
      </c>
      <c r="Q157" s="5" t="s">
        <v>394</v>
      </c>
      <c r="R157" s="5" t="s">
        <v>394</v>
      </c>
      <c r="S157" s="5"/>
      <c r="T157" s="5" t="s">
        <v>394</v>
      </c>
      <c r="U157" s="5" t="s">
        <v>394</v>
      </c>
      <c r="V157" s="5" t="s">
        <v>394</v>
      </c>
      <c r="W157" s="5"/>
      <c r="X157" s="5"/>
      <c r="Y157" s="5"/>
      <c r="Z157" s="4">
        <f>Z$40</f>
        <v>0.89552238805970152</v>
      </c>
      <c r="AA157" s="5">
        <v>15</v>
      </c>
      <c r="AB157" s="31">
        <f t="shared" si="53"/>
        <v>0.96621848526191345</v>
      </c>
      <c r="AC157" s="32">
        <v>2067</v>
      </c>
      <c r="AD157" s="24">
        <f t="shared" si="54"/>
        <v>563.72727272727275</v>
      </c>
      <c r="AE157" s="24">
        <f t="shared" ref="AE157:AE168" si="68">ROUND(AB157*AD157,1)</f>
        <v>544.70000000000005</v>
      </c>
      <c r="AF157" s="24">
        <f t="shared" si="55"/>
        <v>-19.027272727272702</v>
      </c>
      <c r="AG157" s="24"/>
      <c r="AH157" s="24">
        <v>206.1</v>
      </c>
      <c r="AI157" s="24">
        <v>164.1</v>
      </c>
      <c r="AJ157" s="24">
        <f t="shared" si="56"/>
        <v>174.5</v>
      </c>
      <c r="AK157" s="68"/>
      <c r="AL157" s="40"/>
      <c r="AM157" s="40"/>
      <c r="AN157" s="68"/>
      <c r="AO157" s="68"/>
      <c r="AP157" s="24">
        <f t="shared" si="57"/>
        <v>174.5</v>
      </c>
      <c r="AQ157" s="24"/>
      <c r="AR157" s="24">
        <f t="shared" si="58"/>
        <v>174.5</v>
      </c>
      <c r="AS157" s="76"/>
      <c r="AT157" s="1"/>
      <c r="AU157" s="1"/>
      <c r="AV157" s="38"/>
      <c r="AW157" s="38"/>
      <c r="AX157" s="1"/>
      <c r="AY157" s="1"/>
      <c r="AZ157" s="1"/>
      <c r="BA157" s="1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9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9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9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9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9"/>
      <c r="GH157" s="8"/>
      <c r="GI157" s="8"/>
    </row>
    <row r="158" spans="1:191" s="2" customFormat="1" ht="17.100000000000001" customHeight="1">
      <c r="A158" s="13" t="s">
        <v>141</v>
      </c>
      <c r="B158" s="24">
        <v>701.7</v>
      </c>
      <c r="C158" s="24">
        <v>1369.7</v>
      </c>
      <c r="D158" s="4">
        <f t="shared" si="52"/>
        <v>1.2751973777967791</v>
      </c>
      <c r="E158" s="10">
        <v>15</v>
      </c>
      <c r="F158" s="5">
        <v>1</v>
      </c>
      <c r="G158" s="5">
        <v>10</v>
      </c>
      <c r="H158" s="5"/>
      <c r="I158" s="5"/>
      <c r="J158" s="4">
        <f t="shared" ref="J158:J168" si="69">J$40</f>
        <v>1.0981544771018454</v>
      </c>
      <c r="K158" s="5">
        <v>10</v>
      </c>
      <c r="L158" s="5" t="s">
        <v>394</v>
      </c>
      <c r="M158" s="5" t="s">
        <v>394</v>
      </c>
      <c r="N158" s="4" t="s">
        <v>394</v>
      </c>
      <c r="O158" s="5"/>
      <c r="P158" s="5" t="s">
        <v>394</v>
      </c>
      <c r="Q158" s="5" t="s">
        <v>394</v>
      </c>
      <c r="R158" s="5" t="s">
        <v>394</v>
      </c>
      <c r="S158" s="5"/>
      <c r="T158" s="5" t="s">
        <v>394</v>
      </c>
      <c r="U158" s="5" t="s">
        <v>394</v>
      </c>
      <c r="V158" s="5" t="s">
        <v>394</v>
      </c>
      <c r="W158" s="5"/>
      <c r="X158" s="5"/>
      <c r="Y158" s="5"/>
      <c r="Z158" s="4">
        <f t="shared" ref="Z158:Z168" si="70">Z$40</f>
        <v>0.89552238805970152</v>
      </c>
      <c r="AA158" s="5">
        <v>15</v>
      </c>
      <c r="AB158" s="31">
        <f t="shared" si="53"/>
        <v>1.0708468251773133</v>
      </c>
      <c r="AC158" s="32">
        <v>1965</v>
      </c>
      <c r="AD158" s="24">
        <f t="shared" si="54"/>
        <v>535.90909090909088</v>
      </c>
      <c r="AE158" s="24">
        <f t="shared" si="68"/>
        <v>573.9</v>
      </c>
      <c r="AF158" s="24">
        <f t="shared" si="55"/>
        <v>37.990909090909099</v>
      </c>
      <c r="AG158" s="24"/>
      <c r="AH158" s="24">
        <v>210.8</v>
      </c>
      <c r="AI158" s="24">
        <v>210.8</v>
      </c>
      <c r="AJ158" s="24">
        <f t="shared" si="56"/>
        <v>152.30000000000001</v>
      </c>
      <c r="AK158" s="68"/>
      <c r="AL158" s="40"/>
      <c r="AM158" s="40"/>
      <c r="AN158" s="68"/>
      <c r="AO158" s="68"/>
      <c r="AP158" s="24">
        <f t="shared" si="57"/>
        <v>152.30000000000001</v>
      </c>
      <c r="AQ158" s="24"/>
      <c r="AR158" s="24">
        <f t="shared" si="58"/>
        <v>152.30000000000001</v>
      </c>
      <c r="AS158" s="76"/>
      <c r="AT158" s="1"/>
      <c r="AU158" s="1"/>
      <c r="AV158" s="38"/>
      <c r="AW158" s="38"/>
      <c r="AX158" s="1"/>
      <c r="AY158" s="1"/>
      <c r="AZ158" s="1"/>
      <c r="BA158" s="1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9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9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9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9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9"/>
      <c r="GH158" s="8"/>
      <c r="GI158" s="8"/>
    </row>
    <row r="159" spans="1:191" s="2" customFormat="1" ht="17.100000000000001" customHeight="1">
      <c r="A159" s="13" t="s">
        <v>142</v>
      </c>
      <c r="B159" s="24">
        <v>625.5</v>
      </c>
      <c r="C159" s="24">
        <v>918.3</v>
      </c>
      <c r="D159" s="4">
        <f t="shared" si="52"/>
        <v>1.2268105515587528</v>
      </c>
      <c r="E159" s="10">
        <v>15</v>
      </c>
      <c r="F159" s="5">
        <v>1</v>
      </c>
      <c r="G159" s="5">
        <v>10</v>
      </c>
      <c r="H159" s="5"/>
      <c r="I159" s="5"/>
      <c r="J159" s="4">
        <f t="shared" si="69"/>
        <v>1.0981544771018454</v>
      </c>
      <c r="K159" s="5">
        <v>10</v>
      </c>
      <c r="L159" s="5" t="s">
        <v>394</v>
      </c>
      <c r="M159" s="5" t="s">
        <v>394</v>
      </c>
      <c r="N159" s="4" t="s">
        <v>394</v>
      </c>
      <c r="O159" s="5"/>
      <c r="P159" s="5" t="s">
        <v>394</v>
      </c>
      <c r="Q159" s="5" t="s">
        <v>394</v>
      </c>
      <c r="R159" s="5" t="s">
        <v>394</v>
      </c>
      <c r="S159" s="5"/>
      <c r="T159" s="5" t="s">
        <v>394</v>
      </c>
      <c r="U159" s="5" t="s">
        <v>394</v>
      </c>
      <c r="V159" s="5" t="s">
        <v>394</v>
      </c>
      <c r="W159" s="5"/>
      <c r="X159" s="5"/>
      <c r="Y159" s="5"/>
      <c r="Z159" s="4">
        <f t="shared" si="70"/>
        <v>0.89552238805970152</v>
      </c>
      <c r="AA159" s="5">
        <v>15</v>
      </c>
      <c r="AB159" s="31">
        <f t="shared" si="53"/>
        <v>1.0563307773059054</v>
      </c>
      <c r="AC159" s="32">
        <v>590</v>
      </c>
      <c r="AD159" s="24">
        <f t="shared" si="54"/>
        <v>160.90909090909091</v>
      </c>
      <c r="AE159" s="24">
        <f t="shared" si="68"/>
        <v>170</v>
      </c>
      <c r="AF159" s="24">
        <f t="shared" si="55"/>
        <v>9.0909090909090935</v>
      </c>
      <c r="AG159" s="24"/>
      <c r="AH159" s="24">
        <v>61</v>
      </c>
      <c r="AI159" s="24">
        <v>60.3</v>
      </c>
      <c r="AJ159" s="24">
        <f t="shared" si="56"/>
        <v>48.7</v>
      </c>
      <c r="AK159" s="68"/>
      <c r="AL159" s="40"/>
      <c r="AM159" s="40"/>
      <c r="AN159" s="68"/>
      <c r="AO159" s="68"/>
      <c r="AP159" s="24">
        <f t="shared" si="57"/>
        <v>48.7</v>
      </c>
      <c r="AQ159" s="24"/>
      <c r="AR159" s="24">
        <f t="shared" si="58"/>
        <v>48.7</v>
      </c>
      <c r="AS159" s="76"/>
      <c r="AT159" s="1"/>
      <c r="AU159" s="1"/>
      <c r="AV159" s="38"/>
      <c r="AW159" s="38"/>
      <c r="AX159" s="1"/>
      <c r="AY159" s="1"/>
      <c r="AZ159" s="1"/>
      <c r="BA159" s="1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9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9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9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9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9"/>
      <c r="GH159" s="8"/>
      <c r="GI159" s="8"/>
    </row>
    <row r="160" spans="1:191" s="2" customFormat="1" ht="17.100000000000001" customHeight="1">
      <c r="A160" s="13" t="s">
        <v>143</v>
      </c>
      <c r="B160" s="24">
        <v>1372.6</v>
      </c>
      <c r="C160" s="24">
        <v>1127.3</v>
      </c>
      <c r="D160" s="4">
        <f t="shared" si="52"/>
        <v>0.82128806644324637</v>
      </c>
      <c r="E160" s="10">
        <v>15</v>
      </c>
      <c r="F160" s="5">
        <v>1</v>
      </c>
      <c r="G160" s="5">
        <v>10</v>
      </c>
      <c r="H160" s="5"/>
      <c r="I160" s="5"/>
      <c r="J160" s="4">
        <f t="shared" si="69"/>
        <v>1.0981544771018454</v>
      </c>
      <c r="K160" s="5">
        <v>10</v>
      </c>
      <c r="L160" s="5" t="s">
        <v>394</v>
      </c>
      <c r="M160" s="5" t="s">
        <v>394</v>
      </c>
      <c r="N160" s="4" t="s">
        <v>394</v>
      </c>
      <c r="O160" s="5"/>
      <c r="P160" s="5" t="s">
        <v>394</v>
      </c>
      <c r="Q160" s="5" t="s">
        <v>394</v>
      </c>
      <c r="R160" s="5" t="s">
        <v>394</v>
      </c>
      <c r="S160" s="5"/>
      <c r="T160" s="5" t="s">
        <v>394</v>
      </c>
      <c r="U160" s="5" t="s">
        <v>394</v>
      </c>
      <c r="V160" s="5" t="s">
        <v>394</v>
      </c>
      <c r="W160" s="5"/>
      <c r="X160" s="5"/>
      <c r="Y160" s="5"/>
      <c r="Z160" s="4">
        <f t="shared" si="70"/>
        <v>0.89552238805970152</v>
      </c>
      <c r="AA160" s="5">
        <v>15</v>
      </c>
      <c r="AB160" s="31">
        <f t="shared" si="53"/>
        <v>0.9346740317712533</v>
      </c>
      <c r="AC160" s="32">
        <v>5993</v>
      </c>
      <c r="AD160" s="24">
        <f t="shared" si="54"/>
        <v>1634.4545454545455</v>
      </c>
      <c r="AE160" s="24">
        <f t="shared" si="68"/>
        <v>1527.7</v>
      </c>
      <c r="AF160" s="24">
        <f t="shared" si="55"/>
        <v>-106.75454545454545</v>
      </c>
      <c r="AG160" s="24"/>
      <c r="AH160" s="24">
        <v>395.8</v>
      </c>
      <c r="AI160" s="24">
        <v>610.9</v>
      </c>
      <c r="AJ160" s="24">
        <f t="shared" si="56"/>
        <v>521</v>
      </c>
      <c r="AK160" s="68"/>
      <c r="AL160" s="40"/>
      <c r="AM160" s="40"/>
      <c r="AN160" s="68"/>
      <c r="AO160" s="68"/>
      <c r="AP160" s="24">
        <f t="shared" si="57"/>
        <v>521</v>
      </c>
      <c r="AQ160" s="24"/>
      <c r="AR160" s="24">
        <f t="shared" si="58"/>
        <v>521</v>
      </c>
      <c r="AS160" s="76"/>
      <c r="AT160" s="1"/>
      <c r="AU160" s="1"/>
      <c r="AV160" s="38"/>
      <c r="AW160" s="38"/>
      <c r="AX160" s="1"/>
      <c r="AY160" s="1"/>
      <c r="AZ160" s="1"/>
      <c r="BA160" s="1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9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9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9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9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9"/>
      <c r="GH160" s="8"/>
      <c r="GI160" s="8"/>
    </row>
    <row r="161" spans="1:191" s="2" customFormat="1" ht="17.100000000000001" customHeight="1">
      <c r="A161" s="13" t="s">
        <v>144</v>
      </c>
      <c r="B161" s="24">
        <v>1592.9</v>
      </c>
      <c r="C161" s="24">
        <v>2458.6</v>
      </c>
      <c r="D161" s="4">
        <f t="shared" si="52"/>
        <v>1.234347416661435</v>
      </c>
      <c r="E161" s="10">
        <v>15</v>
      </c>
      <c r="F161" s="5">
        <v>1</v>
      </c>
      <c r="G161" s="5">
        <v>10</v>
      </c>
      <c r="H161" s="5"/>
      <c r="I161" s="5"/>
      <c r="J161" s="4">
        <f t="shared" si="69"/>
        <v>1.0981544771018454</v>
      </c>
      <c r="K161" s="5">
        <v>10</v>
      </c>
      <c r="L161" s="5" t="s">
        <v>394</v>
      </c>
      <c r="M161" s="5" t="s">
        <v>394</v>
      </c>
      <c r="N161" s="4" t="s">
        <v>394</v>
      </c>
      <c r="O161" s="5"/>
      <c r="P161" s="5" t="s">
        <v>394</v>
      </c>
      <c r="Q161" s="5" t="s">
        <v>394</v>
      </c>
      <c r="R161" s="5" t="s">
        <v>394</v>
      </c>
      <c r="S161" s="5"/>
      <c r="T161" s="5" t="s">
        <v>394</v>
      </c>
      <c r="U161" s="5" t="s">
        <v>394</v>
      </c>
      <c r="V161" s="5" t="s">
        <v>394</v>
      </c>
      <c r="W161" s="5"/>
      <c r="X161" s="5"/>
      <c r="Y161" s="5"/>
      <c r="Z161" s="4">
        <f t="shared" si="70"/>
        <v>0.89552238805970152</v>
      </c>
      <c r="AA161" s="5">
        <v>15</v>
      </c>
      <c r="AB161" s="31">
        <f t="shared" si="53"/>
        <v>1.05859183683671</v>
      </c>
      <c r="AC161" s="32">
        <v>54</v>
      </c>
      <c r="AD161" s="24">
        <f t="shared" si="54"/>
        <v>14.727272727272727</v>
      </c>
      <c r="AE161" s="24">
        <f t="shared" si="68"/>
        <v>15.6</v>
      </c>
      <c r="AF161" s="24">
        <f t="shared" si="55"/>
        <v>0.87272727272727302</v>
      </c>
      <c r="AG161" s="24"/>
      <c r="AH161" s="24">
        <v>5.7</v>
      </c>
      <c r="AI161" s="24">
        <v>5.0999999999999996</v>
      </c>
      <c r="AJ161" s="24">
        <f t="shared" si="56"/>
        <v>4.8</v>
      </c>
      <c r="AK161" s="40"/>
      <c r="AL161" s="40"/>
      <c r="AM161" s="40"/>
      <c r="AN161" s="68"/>
      <c r="AO161" s="68"/>
      <c r="AP161" s="24">
        <f t="shared" si="57"/>
        <v>4.8</v>
      </c>
      <c r="AQ161" s="24"/>
      <c r="AR161" s="24">
        <f t="shared" si="58"/>
        <v>4.8</v>
      </c>
      <c r="AS161" s="76"/>
      <c r="AT161" s="1"/>
      <c r="AU161" s="1"/>
      <c r="AV161" s="38"/>
      <c r="AW161" s="38"/>
      <c r="AX161" s="1"/>
      <c r="AY161" s="1"/>
      <c r="AZ161" s="1"/>
      <c r="BA161" s="1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9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9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9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9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9"/>
      <c r="GH161" s="8"/>
      <c r="GI161" s="8"/>
    </row>
    <row r="162" spans="1:191" s="2" customFormat="1" ht="17.100000000000001" customHeight="1">
      <c r="A162" s="13" t="s">
        <v>145</v>
      </c>
      <c r="B162" s="24">
        <v>1182.9000000000001</v>
      </c>
      <c r="C162" s="24">
        <v>1224.0999999999999</v>
      </c>
      <c r="D162" s="4">
        <f t="shared" si="52"/>
        <v>1.0348296559303405</v>
      </c>
      <c r="E162" s="10">
        <v>15</v>
      </c>
      <c r="F162" s="5">
        <v>1</v>
      </c>
      <c r="G162" s="5">
        <v>10</v>
      </c>
      <c r="H162" s="5"/>
      <c r="I162" s="5"/>
      <c r="J162" s="4">
        <f t="shared" si="69"/>
        <v>1.0981544771018454</v>
      </c>
      <c r="K162" s="5">
        <v>10</v>
      </c>
      <c r="L162" s="5" t="s">
        <v>394</v>
      </c>
      <c r="M162" s="5" t="s">
        <v>394</v>
      </c>
      <c r="N162" s="4" t="s">
        <v>394</v>
      </c>
      <c r="O162" s="5"/>
      <c r="P162" s="5" t="s">
        <v>394</v>
      </c>
      <c r="Q162" s="5" t="s">
        <v>394</v>
      </c>
      <c r="R162" s="5" t="s">
        <v>394</v>
      </c>
      <c r="S162" s="5"/>
      <c r="T162" s="5" t="s">
        <v>394</v>
      </c>
      <c r="U162" s="5" t="s">
        <v>394</v>
      </c>
      <c r="V162" s="5" t="s">
        <v>394</v>
      </c>
      <c r="W162" s="5"/>
      <c r="X162" s="5"/>
      <c r="Y162" s="5"/>
      <c r="Z162" s="4">
        <f t="shared" si="70"/>
        <v>0.89552238805970152</v>
      </c>
      <c r="AA162" s="5">
        <v>15</v>
      </c>
      <c r="AB162" s="31">
        <f t="shared" si="53"/>
        <v>0.99873650861738161</v>
      </c>
      <c r="AC162" s="32">
        <v>345</v>
      </c>
      <c r="AD162" s="24">
        <f t="shared" si="54"/>
        <v>94.090909090909093</v>
      </c>
      <c r="AE162" s="24">
        <f t="shared" si="68"/>
        <v>94</v>
      </c>
      <c r="AF162" s="24">
        <f t="shared" si="55"/>
        <v>-9.0909090909093493E-2</v>
      </c>
      <c r="AG162" s="24"/>
      <c r="AH162" s="24">
        <v>34.299999999999997</v>
      </c>
      <c r="AI162" s="24">
        <v>20.9</v>
      </c>
      <c r="AJ162" s="24">
        <f t="shared" si="56"/>
        <v>38.799999999999997</v>
      </c>
      <c r="AK162" s="68"/>
      <c r="AL162" s="40"/>
      <c r="AM162" s="40"/>
      <c r="AN162" s="68"/>
      <c r="AO162" s="68"/>
      <c r="AP162" s="24">
        <f t="shared" si="57"/>
        <v>38.799999999999997</v>
      </c>
      <c r="AQ162" s="24">
        <f>MIN(AP162,2)</f>
        <v>2</v>
      </c>
      <c r="AR162" s="24">
        <f t="shared" si="58"/>
        <v>36.799999999999997</v>
      </c>
      <c r="AS162" s="76"/>
      <c r="AT162" s="1"/>
      <c r="AU162" s="1"/>
      <c r="AV162" s="38"/>
      <c r="AW162" s="38"/>
      <c r="AX162" s="1"/>
      <c r="AY162" s="1"/>
      <c r="AZ162" s="1"/>
      <c r="BA162" s="1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9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9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9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9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9"/>
      <c r="GH162" s="8"/>
      <c r="GI162" s="8"/>
    </row>
    <row r="163" spans="1:191" s="2" customFormat="1" ht="17.100000000000001" customHeight="1">
      <c r="A163" s="13" t="s">
        <v>146</v>
      </c>
      <c r="B163" s="24">
        <v>2658.9</v>
      </c>
      <c r="C163" s="24">
        <v>1942.7</v>
      </c>
      <c r="D163" s="4">
        <f t="shared" si="52"/>
        <v>0.73064049042837265</v>
      </c>
      <c r="E163" s="10">
        <v>15</v>
      </c>
      <c r="F163" s="5">
        <v>1</v>
      </c>
      <c r="G163" s="5">
        <v>10</v>
      </c>
      <c r="H163" s="5"/>
      <c r="I163" s="5"/>
      <c r="J163" s="4">
        <f t="shared" si="69"/>
        <v>1.0981544771018454</v>
      </c>
      <c r="K163" s="5">
        <v>10</v>
      </c>
      <c r="L163" s="5" t="s">
        <v>394</v>
      </c>
      <c r="M163" s="5" t="s">
        <v>394</v>
      </c>
      <c r="N163" s="4" t="s">
        <v>394</v>
      </c>
      <c r="O163" s="5"/>
      <c r="P163" s="5" t="s">
        <v>394</v>
      </c>
      <c r="Q163" s="5" t="s">
        <v>394</v>
      </c>
      <c r="R163" s="5" t="s">
        <v>394</v>
      </c>
      <c r="S163" s="5"/>
      <c r="T163" s="5" t="s">
        <v>394</v>
      </c>
      <c r="U163" s="5" t="s">
        <v>394</v>
      </c>
      <c r="V163" s="5" t="s">
        <v>394</v>
      </c>
      <c r="W163" s="5"/>
      <c r="X163" s="5"/>
      <c r="Y163" s="5"/>
      <c r="Z163" s="4">
        <f t="shared" si="70"/>
        <v>0.89552238805970152</v>
      </c>
      <c r="AA163" s="5">
        <v>15</v>
      </c>
      <c r="AB163" s="31">
        <f t="shared" si="53"/>
        <v>0.90747975896679123</v>
      </c>
      <c r="AC163" s="32">
        <v>2435</v>
      </c>
      <c r="AD163" s="24">
        <f t="shared" si="54"/>
        <v>664.09090909090912</v>
      </c>
      <c r="AE163" s="24">
        <f t="shared" si="68"/>
        <v>602.6</v>
      </c>
      <c r="AF163" s="24">
        <f t="shared" si="55"/>
        <v>-61.490909090909099</v>
      </c>
      <c r="AG163" s="24"/>
      <c r="AH163" s="24">
        <v>155.9</v>
      </c>
      <c r="AI163" s="24">
        <v>223.1</v>
      </c>
      <c r="AJ163" s="24">
        <f t="shared" si="56"/>
        <v>223.6</v>
      </c>
      <c r="AK163" s="68"/>
      <c r="AL163" s="40"/>
      <c r="AM163" s="40"/>
      <c r="AN163" s="68"/>
      <c r="AO163" s="68"/>
      <c r="AP163" s="24">
        <f t="shared" si="57"/>
        <v>223.6</v>
      </c>
      <c r="AQ163" s="24"/>
      <c r="AR163" s="24">
        <f t="shared" si="58"/>
        <v>223.6</v>
      </c>
      <c r="AS163" s="76"/>
      <c r="AT163" s="1"/>
      <c r="AU163" s="1"/>
      <c r="AV163" s="38"/>
      <c r="AW163" s="38"/>
      <c r="AX163" s="1"/>
      <c r="AY163" s="1"/>
      <c r="AZ163" s="1"/>
      <c r="BA163" s="1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9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9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9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9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9"/>
      <c r="GH163" s="8"/>
      <c r="GI163" s="8"/>
    </row>
    <row r="164" spans="1:191" s="2" customFormat="1" ht="17.100000000000001" customHeight="1">
      <c r="A164" s="13" t="s">
        <v>147</v>
      </c>
      <c r="B164" s="24">
        <v>827.8</v>
      </c>
      <c r="C164" s="24">
        <v>272.2</v>
      </c>
      <c r="D164" s="4">
        <f t="shared" si="52"/>
        <v>0.32882338729161631</v>
      </c>
      <c r="E164" s="10">
        <v>15</v>
      </c>
      <c r="F164" s="5">
        <v>1</v>
      </c>
      <c r="G164" s="5">
        <v>10</v>
      </c>
      <c r="H164" s="5"/>
      <c r="I164" s="5"/>
      <c r="J164" s="4">
        <f t="shared" si="69"/>
        <v>1.0981544771018454</v>
      </c>
      <c r="K164" s="5">
        <v>10</v>
      </c>
      <c r="L164" s="5" t="s">
        <v>394</v>
      </c>
      <c r="M164" s="5" t="s">
        <v>394</v>
      </c>
      <c r="N164" s="4" t="s">
        <v>394</v>
      </c>
      <c r="O164" s="5"/>
      <c r="P164" s="5" t="s">
        <v>394</v>
      </c>
      <c r="Q164" s="5" t="s">
        <v>394</v>
      </c>
      <c r="R164" s="5" t="s">
        <v>394</v>
      </c>
      <c r="S164" s="5"/>
      <c r="T164" s="5" t="s">
        <v>394</v>
      </c>
      <c r="U164" s="5" t="s">
        <v>394</v>
      </c>
      <c r="V164" s="5" t="s">
        <v>394</v>
      </c>
      <c r="W164" s="5"/>
      <c r="X164" s="5"/>
      <c r="Y164" s="5"/>
      <c r="Z164" s="4">
        <f t="shared" si="70"/>
        <v>0.89552238805970152</v>
      </c>
      <c r="AA164" s="5">
        <v>15</v>
      </c>
      <c r="AB164" s="31">
        <f t="shared" si="53"/>
        <v>0.78693462802576453</v>
      </c>
      <c r="AC164" s="32">
        <v>2252</v>
      </c>
      <c r="AD164" s="24">
        <f t="shared" si="54"/>
        <v>614.18181818181813</v>
      </c>
      <c r="AE164" s="24">
        <f t="shared" si="68"/>
        <v>483.3</v>
      </c>
      <c r="AF164" s="24">
        <f t="shared" si="55"/>
        <v>-130.88181818181812</v>
      </c>
      <c r="AG164" s="24"/>
      <c r="AH164" s="24">
        <v>157.4</v>
      </c>
      <c r="AI164" s="24">
        <v>81.900000000000006</v>
      </c>
      <c r="AJ164" s="24">
        <f t="shared" si="56"/>
        <v>244</v>
      </c>
      <c r="AK164" s="68"/>
      <c r="AL164" s="40"/>
      <c r="AM164" s="40"/>
      <c r="AN164" s="68"/>
      <c r="AO164" s="68"/>
      <c r="AP164" s="24">
        <f t="shared" si="57"/>
        <v>244</v>
      </c>
      <c r="AQ164" s="24"/>
      <c r="AR164" s="24">
        <f t="shared" si="58"/>
        <v>244</v>
      </c>
      <c r="AS164" s="76"/>
      <c r="AT164" s="1"/>
      <c r="AU164" s="1"/>
      <c r="AV164" s="38"/>
      <c r="AW164" s="38"/>
      <c r="AX164" s="1"/>
      <c r="AY164" s="1"/>
      <c r="AZ164" s="1"/>
      <c r="BA164" s="1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9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9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9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9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9"/>
      <c r="GH164" s="8"/>
      <c r="GI164" s="8"/>
    </row>
    <row r="165" spans="1:191" s="2" customFormat="1" ht="17.100000000000001" customHeight="1">
      <c r="A165" s="13" t="s">
        <v>148</v>
      </c>
      <c r="B165" s="24">
        <v>931.3</v>
      </c>
      <c r="C165" s="24">
        <v>1011.7</v>
      </c>
      <c r="D165" s="4">
        <f t="shared" si="52"/>
        <v>1.0863309352517987</v>
      </c>
      <c r="E165" s="10">
        <v>15</v>
      </c>
      <c r="F165" s="5">
        <v>1</v>
      </c>
      <c r="G165" s="5">
        <v>10</v>
      </c>
      <c r="H165" s="5"/>
      <c r="I165" s="5"/>
      <c r="J165" s="4">
        <f t="shared" si="69"/>
        <v>1.0981544771018454</v>
      </c>
      <c r="K165" s="5">
        <v>10</v>
      </c>
      <c r="L165" s="5" t="s">
        <v>394</v>
      </c>
      <c r="M165" s="5" t="s">
        <v>394</v>
      </c>
      <c r="N165" s="4" t="s">
        <v>394</v>
      </c>
      <c r="O165" s="5"/>
      <c r="P165" s="5" t="s">
        <v>394</v>
      </c>
      <c r="Q165" s="5" t="s">
        <v>394</v>
      </c>
      <c r="R165" s="5" t="s">
        <v>394</v>
      </c>
      <c r="S165" s="5"/>
      <c r="T165" s="5" t="s">
        <v>394</v>
      </c>
      <c r="U165" s="5" t="s">
        <v>394</v>
      </c>
      <c r="V165" s="5" t="s">
        <v>394</v>
      </c>
      <c r="W165" s="5"/>
      <c r="X165" s="5"/>
      <c r="Y165" s="5"/>
      <c r="Z165" s="4">
        <f t="shared" si="70"/>
        <v>0.89552238805970152</v>
      </c>
      <c r="AA165" s="5">
        <v>15</v>
      </c>
      <c r="AB165" s="31">
        <f t="shared" si="53"/>
        <v>1.0141868924138191</v>
      </c>
      <c r="AC165" s="32">
        <v>3969</v>
      </c>
      <c r="AD165" s="24">
        <f t="shared" si="54"/>
        <v>1082.4545454545455</v>
      </c>
      <c r="AE165" s="24">
        <f t="shared" si="68"/>
        <v>1097.8</v>
      </c>
      <c r="AF165" s="24">
        <f t="shared" si="55"/>
        <v>15.345454545454459</v>
      </c>
      <c r="AG165" s="24"/>
      <c r="AH165" s="24">
        <v>305.7</v>
      </c>
      <c r="AI165" s="24">
        <v>412.9</v>
      </c>
      <c r="AJ165" s="24">
        <f t="shared" si="56"/>
        <v>379.2</v>
      </c>
      <c r="AK165" s="68"/>
      <c r="AL165" s="40"/>
      <c r="AM165" s="40"/>
      <c r="AN165" s="68"/>
      <c r="AO165" s="68"/>
      <c r="AP165" s="24">
        <f t="shared" si="57"/>
        <v>379.2</v>
      </c>
      <c r="AQ165" s="24"/>
      <c r="AR165" s="24">
        <f t="shared" si="58"/>
        <v>379.2</v>
      </c>
      <c r="AS165" s="76"/>
      <c r="AT165" s="1"/>
      <c r="AU165" s="1"/>
      <c r="AV165" s="38"/>
      <c r="AW165" s="38"/>
      <c r="AX165" s="1"/>
      <c r="AY165" s="1"/>
      <c r="AZ165" s="1"/>
      <c r="BA165" s="1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9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9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9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9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9"/>
      <c r="GH165" s="8"/>
      <c r="GI165" s="8"/>
    </row>
    <row r="166" spans="1:191" s="2" customFormat="1" ht="17.100000000000001" customHeight="1">
      <c r="A166" s="13" t="s">
        <v>149</v>
      </c>
      <c r="B166" s="24">
        <v>361.9</v>
      </c>
      <c r="C166" s="24">
        <v>375.9</v>
      </c>
      <c r="D166" s="4">
        <f t="shared" si="52"/>
        <v>1.0386847195357833</v>
      </c>
      <c r="E166" s="10">
        <v>15</v>
      </c>
      <c r="F166" s="5">
        <v>1</v>
      </c>
      <c r="G166" s="5">
        <v>10</v>
      </c>
      <c r="H166" s="5"/>
      <c r="I166" s="5"/>
      <c r="J166" s="4">
        <f t="shared" si="69"/>
        <v>1.0981544771018454</v>
      </c>
      <c r="K166" s="5">
        <v>10</v>
      </c>
      <c r="L166" s="5" t="s">
        <v>394</v>
      </c>
      <c r="M166" s="5" t="s">
        <v>394</v>
      </c>
      <c r="N166" s="4" t="s">
        <v>394</v>
      </c>
      <c r="O166" s="5"/>
      <c r="P166" s="5" t="s">
        <v>394</v>
      </c>
      <c r="Q166" s="5" t="s">
        <v>394</v>
      </c>
      <c r="R166" s="5" t="s">
        <v>394</v>
      </c>
      <c r="S166" s="5"/>
      <c r="T166" s="5" t="s">
        <v>394</v>
      </c>
      <c r="U166" s="5" t="s">
        <v>394</v>
      </c>
      <c r="V166" s="5" t="s">
        <v>394</v>
      </c>
      <c r="W166" s="5"/>
      <c r="X166" s="5"/>
      <c r="Y166" s="5"/>
      <c r="Z166" s="4">
        <f t="shared" si="70"/>
        <v>0.89552238805970152</v>
      </c>
      <c r="AA166" s="5">
        <v>15</v>
      </c>
      <c r="AB166" s="31">
        <f t="shared" si="53"/>
        <v>0.99989302769901456</v>
      </c>
      <c r="AC166" s="32">
        <v>3142</v>
      </c>
      <c r="AD166" s="24">
        <f t="shared" si="54"/>
        <v>856.90909090909088</v>
      </c>
      <c r="AE166" s="24">
        <f t="shared" si="68"/>
        <v>856.8</v>
      </c>
      <c r="AF166" s="24">
        <f t="shared" si="55"/>
        <v>-0.10909090909092356</v>
      </c>
      <c r="AG166" s="24"/>
      <c r="AH166" s="24">
        <v>320.2</v>
      </c>
      <c r="AI166" s="24">
        <v>291.7</v>
      </c>
      <c r="AJ166" s="24">
        <f t="shared" si="56"/>
        <v>244.9</v>
      </c>
      <c r="AK166" s="68"/>
      <c r="AL166" s="40"/>
      <c r="AM166" s="40"/>
      <c r="AN166" s="68"/>
      <c r="AO166" s="68"/>
      <c r="AP166" s="24">
        <f t="shared" si="57"/>
        <v>244.9</v>
      </c>
      <c r="AQ166" s="24"/>
      <c r="AR166" s="24">
        <f t="shared" si="58"/>
        <v>244.9</v>
      </c>
      <c r="AS166" s="76"/>
      <c r="AT166" s="1"/>
      <c r="AU166" s="1"/>
      <c r="AV166" s="38"/>
      <c r="AW166" s="38"/>
      <c r="AX166" s="1"/>
      <c r="AY166" s="1"/>
      <c r="AZ166" s="1"/>
      <c r="BA166" s="1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9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9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9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9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9"/>
      <c r="GH166" s="8"/>
      <c r="GI166" s="8"/>
    </row>
    <row r="167" spans="1:191" s="2" customFormat="1" ht="17.100000000000001" customHeight="1">
      <c r="A167" s="13" t="s">
        <v>150</v>
      </c>
      <c r="B167" s="24">
        <v>379.3</v>
      </c>
      <c r="C167" s="24">
        <v>499.7</v>
      </c>
      <c r="D167" s="4">
        <f t="shared" si="52"/>
        <v>1.2117426838913787</v>
      </c>
      <c r="E167" s="10">
        <v>15</v>
      </c>
      <c r="F167" s="5">
        <v>1</v>
      </c>
      <c r="G167" s="5">
        <v>10</v>
      </c>
      <c r="H167" s="5"/>
      <c r="I167" s="5"/>
      <c r="J167" s="4">
        <f t="shared" si="69"/>
        <v>1.0981544771018454</v>
      </c>
      <c r="K167" s="5">
        <v>10</v>
      </c>
      <c r="L167" s="5" t="s">
        <v>394</v>
      </c>
      <c r="M167" s="5" t="s">
        <v>394</v>
      </c>
      <c r="N167" s="4" t="s">
        <v>394</v>
      </c>
      <c r="O167" s="5"/>
      <c r="P167" s="5" t="s">
        <v>394</v>
      </c>
      <c r="Q167" s="5" t="s">
        <v>394</v>
      </c>
      <c r="R167" s="5" t="s">
        <v>394</v>
      </c>
      <c r="S167" s="5"/>
      <c r="T167" s="5" t="s">
        <v>394</v>
      </c>
      <c r="U167" s="5" t="s">
        <v>394</v>
      </c>
      <c r="V167" s="5" t="s">
        <v>394</v>
      </c>
      <c r="W167" s="5"/>
      <c r="X167" s="5"/>
      <c r="Y167" s="5"/>
      <c r="Z167" s="4">
        <f t="shared" si="70"/>
        <v>0.89552238805970152</v>
      </c>
      <c r="AA167" s="5">
        <v>15</v>
      </c>
      <c r="AB167" s="31">
        <f t="shared" si="53"/>
        <v>1.0518104170056932</v>
      </c>
      <c r="AC167" s="32">
        <v>1244</v>
      </c>
      <c r="AD167" s="24">
        <f t="shared" si="54"/>
        <v>339.27272727272725</v>
      </c>
      <c r="AE167" s="24">
        <f t="shared" si="68"/>
        <v>356.9</v>
      </c>
      <c r="AF167" s="24">
        <f t="shared" si="55"/>
        <v>17.627272727272725</v>
      </c>
      <c r="AG167" s="24"/>
      <c r="AH167" s="24">
        <v>81</v>
      </c>
      <c r="AI167" s="24">
        <v>131.69999999999999</v>
      </c>
      <c r="AJ167" s="24">
        <f t="shared" si="56"/>
        <v>144.19999999999999</v>
      </c>
      <c r="AK167" s="68"/>
      <c r="AL167" s="40"/>
      <c r="AM167" s="40"/>
      <c r="AN167" s="68"/>
      <c r="AO167" s="68"/>
      <c r="AP167" s="24">
        <f t="shared" si="57"/>
        <v>144.19999999999999</v>
      </c>
      <c r="AQ167" s="24"/>
      <c r="AR167" s="24">
        <f t="shared" si="58"/>
        <v>144.19999999999999</v>
      </c>
      <c r="AS167" s="76"/>
      <c r="AT167" s="1"/>
      <c r="AU167" s="1"/>
      <c r="AV167" s="38"/>
      <c r="AW167" s="38"/>
      <c r="AX167" s="1"/>
      <c r="AY167" s="1"/>
      <c r="AZ167" s="1"/>
      <c r="BA167" s="1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9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9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9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9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9"/>
      <c r="GH167" s="8"/>
      <c r="GI167" s="8"/>
    </row>
    <row r="168" spans="1:191" s="2" customFormat="1" ht="17.100000000000001" customHeight="1">
      <c r="A168" s="13" t="s">
        <v>151</v>
      </c>
      <c r="B168" s="24">
        <v>5911.2</v>
      </c>
      <c r="C168" s="24">
        <v>5470.9</v>
      </c>
      <c r="D168" s="4">
        <f t="shared" si="52"/>
        <v>0.92551427798078223</v>
      </c>
      <c r="E168" s="10">
        <v>15</v>
      </c>
      <c r="F168" s="5">
        <v>1</v>
      </c>
      <c r="G168" s="5">
        <v>10</v>
      </c>
      <c r="H168" s="5"/>
      <c r="I168" s="5"/>
      <c r="J168" s="4">
        <f t="shared" si="69"/>
        <v>1.0981544771018454</v>
      </c>
      <c r="K168" s="5">
        <v>10</v>
      </c>
      <c r="L168" s="5" t="s">
        <v>394</v>
      </c>
      <c r="M168" s="5" t="s">
        <v>394</v>
      </c>
      <c r="N168" s="4" t="s">
        <v>394</v>
      </c>
      <c r="O168" s="5"/>
      <c r="P168" s="5" t="s">
        <v>394</v>
      </c>
      <c r="Q168" s="5" t="s">
        <v>394</v>
      </c>
      <c r="R168" s="5" t="s">
        <v>394</v>
      </c>
      <c r="S168" s="5"/>
      <c r="T168" s="5" t="s">
        <v>394</v>
      </c>
      <c r="U168" s="5" t="s">
        <v>394</v>
      </c>
      <c r="V168" s="5" t="s">
        <v>394</v>
      </c>
      <c r="W168" s="5"/>
      <c r="X168" s="5"/>
      <c r="Y168" s="5"/>
      <c r="Z168" s="4">
        <f t="shared" si="70"/>
        <v>0.89552238805970152</v>
      </c>
      <c r="AA168" s="5">
        <v>15</v>
      </c>
      <c r="AB168" s="31">
        <f t="shared" si="53"/>
        <v>0.96594189523251428</v>
      </c>
      <c r="AC168" s="32">
        <v>2447</v>
      </c>
      <c r="AD168" s="24">
        <f t="shared" si="54"/>
        <v>667.36363636363637</v>
      </c>
      <c r="AE168" s="24">
        <f t="shared" si="68"/>
        <v>644.6</v>
      </c>
      <c r="AF168" s="24">
        <f t="shared" si="55"/>
        <v>-22.763636363636351</v>
      </c>
      <c r="AG168" s="24"/>
      <c r="AH168" s="24">
        <v>243.1</v>
      </c>
      <c r="AI168" s="24">
        <v>203.9</v>
      </c>
      <c r="AJ168" s="24">
        <f t="shared" si="56"/>
        <v>197.6</v>
      </c>
      <c r="AK168" s="40"/>
      <c r="AL168" s="40"/>
      <c r="AM168" s="40"/>
      <c r="AN168" s="68"/>
      <c r="AO168" s="68"/>
      <c r="AP168" s="24">
        <f t="shared" si="57"/>
        <v>197.6</v>
      </c>
      <c r="AQ168" s="24"/>
      <c r="AR168" s="24">
        <f t="shared" si="58"/>
        <v>197.6</v>
      </c>
      <c r="AS168" s="76"/>
      <c r="AT168" s="1"/>
      <c r="AU168" s="1"/>
      <c r="AV168" s="38"/>
      <c r="AW168" s="38"/>
      <c r="AX168" s="1"/>
      <c r="AY168" s="1"/>
      <c r="AZ168" s="1"/>
      <c r="BA168" s="1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9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9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9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9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9"/>
      <c r="GH168" s="8"/>
      <c r="GI168" s="8"/>
    </row>
    <row r="169" spans="1:191" s="2" customFormat="1" ht="17.100000000000001" customHeight="1">
      <c r="A169" s="17" t="s">
        <v>152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76"/>
      <c r="AT169" s="1"/>
      <c r="AU169" s="1"/>
      <c r="AV169" s="38"/>
      <c r="AW169" s="38"/>
      <c r="AX169" s="1"/>
      <c r="AY169" s="1"/>
      <c r="AZ169" s="1"/>
      <c r="BA169" s="1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9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9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9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9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9"/>
      <c r="GH169" s="8"/>
      <c r="GI169" s="8"/>
    </row>
    <row r="170" spans="1:191" s="2" customFormat="1" ht="17.100000000000001" customHeight="1">
      <c r="A170" s="13" t="s">
        <v>67</v>
      </c>
      <c r="B170" s="24">
        <v>281.5</v>
      </c>
      <c r="C170" s="24">
        <v>181.3</v>
      </c>
      <c r="D170" s="4">
        <f t="shared" si="52"/>
        <v>0.64404973357015993</v>
      </c>
      <c r="E170" s="10">
        <v>15</v>
      </c>
      <c r="F170" s="5">
        <v>1</v>
      </c>
      <c r="G170" s="5">
        <v>10</v>
      </c>
      <c r="H170" s="5"/>
      <c r="I170" s="5"/>
      <c r="J170" s="4">
        <f>J$41</f>
        <v>0.97094095940959413</v>
      </c>
      <c r="K170" s="5">
        <v>10</v>
      </c>
      <c r="L170" s="5" t="s">
        <v>394</v>
      </c>
      <c r="M170" s="5" t="s">
        <v>394</v>
      </c>
      <c r="N170" s="4" t="s">
        <v>394</v>
      </c>
      <c r="O170" s="5"/>
      <c r="P170" s="5" t="s">
        <v>394</v>
      </c>
      <c r="Q170" s="5" t="s">
        <v>394</v>
      </c>
      <c r="R170" s="5" t="s">
        <v>394</v>
      </c>
      <c r="S170" s="5"/>
      <c r="T170" s="5" t="s">
        <v>394</v>
      </c>
      <c r="U170" s="5" t="s">
        <v>394</v>
      </c>
      <c r="V170" s="5" t="s">
        <v>394</v>
      </c>
      <c r="W170" s="5"/>
      <c r="X170" s="5"/>
      <c r="Y170" s="5"/>
      <c r="Z170" s="4">
        <f>Z$41</f>
        <v>1.0084033613445378</v>
      </c>
      <c r="AA170" s="5">
        <v>15</v>
      </c>
      <c r="AB170" s="31">
        <f t="shared" si="53"/>
        <v>0.88992412035632806</v>
      </c>
      <c r="AC170" s="32">
        <v>2838</v>
      </c>
      <c r="AD170" s="24">
        <f t="shared" si="54"/>
        <v>774</v>
      </c>
      <c r="AE170" s="24">
        <f t="shared" ref="AE170:AE182" si="71">ROUND(AB170*AD170,1)</f>
        <v>688.8</v>
      </c>
      <c r="AF170" s="24">
        <f t="shared" si="55"/>
        <v>-85.200000000000045</v>
      </c>
      <c r="AG170" s="24"/>
      <c r="AH170" s="24">
        <v>204.5</v>
      </c>
      <c r="AI170" s="24">
        <v>177.6</v>
      </c>
      <c r="AJ170" s="24">
        <f t="shared" si="56"/>
        <v>306.7</v>
      </c>
      <c r="AK170" s="68"/>
      <c r="AL170" s="40"/>
      <c r="AM170" s="40"/>
      <c r="AN170" s="68"/>
      <c r="AO170" s="68"/>
      <c r="AP170" s="24">
        <f t="shared" si="57"/>
        <v>306.7</v>
      </c>
      <c r="AQ170" s="24"/>
      <c r="AR170" s="24">
        <f t="shared" si="58"/>
        <v>306.7</v>
      </c>
      <c r="AS170" s="76"/>
      <c r="AT170" s="1"/>
      <c r="AU170" s="1"/>
      <c r="AV170" s="38"/>
      <c r="AW170" s="38"/>
      <c r="AX170" s="1"/>
      <c r="AY170" s="1"/>
      <c r="AZ170" s="1"/>
      <c r="BA170" s="1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9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9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9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9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9"/>
      <c r="GH170" s="8"/>
      <c r="GI170" s="8"/>
    </row>
    <row r="171" spans="1:191" s="2" customFormat="1" ht="17.100000000000001" customHeight="1">
      <c r="A171" s="13" t="s">
        <v>153</v>
      </c>
      <c r="B171" s="24">
        <v>439.5</v>
      </c>
      <c r="C171" s="24">
        <v>176.1</v>
      </c>
      <c r="D171" s="4">
        <f t="shared" si="52"/>
        <v>0.40068259385665528</v>
      </c>
      <c r="E171" s="10">
        <v>15</v>
      </c>
      <c r="F171" s="5">
        <v>1</v>
      </c>
      <c r="G171" s="5">
        <v>10</v>
      </c>
      <c r="H171" s="5"/>
      <c r="I171" s="5"/>
      <c r="J171" s="4">
        <f t="shared" ref="J171:J182" si="72">J$41</f>
        <v>0.97094095940959413</v>
      </c>
      <c r="K171" s="5">
        <v>10</v>
      </c>
      <c r="L171" s="5" t="s">
        <v>394</v>
      </c>
      <c r="M171" s="5" t="s">
        <v>394</v>
      </c>
      <c r="N171" s="4" t="s">
        <v>394</v>
      </c>
      <c r="O171" s="5"/>
      <c r="P171" s="5" t="s">
        <v>394</v>
      </c>
      <c r="Q171" s="5" t="s">
        <v>394</v>
      </c>
      <c r="R171" s="5" t="s">
        <v>394</v>
      </c>
      <c r="S171" s="5"/>
      <c r="T171" s="5" t="s">
        <v>394</v>
      </c>
      <c r="U171" s="5" t="s">
        <v>394</v>
      </c>
      <c r="V171" s="5" t="s">
        <v>394</v>
      </c>
      <c r="W171" s="5"/>
      <c r="X171" s="5"/>
      <c r="Y171" s="5"/>
      <c r="Z171" s="4">
        <f t="shared" ref="Z171:Z182" si="73">Z$41</f>
        <v>1.0084033613445378</v>
      </c>
      <c r="AA171" s="5">
        <v>15</v>
      </c>
      <c r="AB171" s="31">
        <f t="shared" si="53"/>
        <v>0.81691397844227676</v>
      </c>
      <c r="AC171" s="32">
        <v>2174</v>
      </c>
      <c r="AD171" s="24">
        <f t="shared" si="54"/>
        <v>592.90909090909088</v>
      </c>
      <c r="AE171" s="24">
        <f t="shared" si="71"/>
        <v>484.4</v>
      </c>
      <c r="AF171" s="24">
        <f t="shared" si="55"/>
        <v>-108.5090909090909</v>
      </c>
      <c r="AG171" s="24"/>
      <c r="AH171" s="24">
        <v>144.5</v>
      </c>
      <c r="AI171" s="24">
        <v>99</v>
      </c>
      <c r="AJ171" s="24">
        <f t="shared" si="56"/>
        <v>240.9</v>
      </c>
      <c r="AK171" s="68"/>
      <c r="AL171" s="40"/>
      <c r="AM171" s="40"/>
      <c r="AN171" s="68"/>
      <c r="AO171" s="68"/>
      <c r="AP171" s="24">
        <f t="shared" si="57"/>
        <v>240.9</v>
      </c>
      <c r="AQ171" s="24"/>
      <c r="AR171" s="24">
        <f t="shared" si="58"/>
        <v>240.9</v>
      </c>
      <c r="AS171" s="76"/>
      <c r="AT171" s="1"/>
      <c r="AU171" s="1"/>
      <c r="AV171" s="38"/>
      <c r="AW171" s="38"/>
      <c r="AX171" s="1"/>
      <c r="AY171" s="1"/>
      <c r="AZ171" s="1"/>
      <c r="BA171" s="1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9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9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9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9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9"/>
      <c r="GH171" s="8"/>
      <c r="GI171" s="8"/>
    </row>
    <row r="172" spans="1:191" s="2" customFormat="1" ht="17.100000000000001" customHeight="1">
      <c r="A172" s="13" t="s">
        <v>154</v>
      </c>
      <c r="B172" s="24">
        <v>572</v>
      </c>
      <c r="C172" s="24">
        <v>2526.4</v>
      </c>
      <c r="D172" s="4">
        <f t="shared" si="52"/>
        <v>1.3</v>
      </c>
      <c r="E172" s="10">
        <v>15</v>
      </c>
      <c r="F172" s="5">
        <v>1</v>
      </c>
      <c r="G172" s="5">
        <v>10</v>
      </c>
      <c r="H172" s="5"/>
      <c r="I172" s="5"/>
      <c r="J172" s="4">
        <f t="shared" si="72"/>
        <v>0.97094095940959413</v>
      </c>
      <c r="K172" s="5">
        <v>10</v>
      </c>
      <c r="L172" s="5" t="s">
        <v>394</v>
      </c>
      <c r="M172" s="5" t="s">
        <v>394</v>
      </c>
      <c r="N172" s="4" t="s">
        <v>394</v>
      </c>
      <c r="O172" s="5"/>
      <c r="P172" s="5" t="s">
        <v>394</v>
      </c>
      <c r="Q172" s="5" t="s">
        <v>394</v>
      </c>
      <c r="R172" s="5" t="s">
        <v>394</v>
      </c>
      <c r="S172" s="5"/>
      <c r="T172" s="5" t="s">
        <v>394</v>
      </c>
      <c r="U172" s="5" t="s">
        <v>394</v>
      </c>
      <c r="V172" s="5" t="s">
        <v>394</v>
      </c>
      <c r="W172" s="5"/>
      <c r="X172" s="5"/>
      <c r="Y172" s="5"/>
      <c r="Z172" s="4">
        <f t="shared" si="73"/>
        <v>1.0084033613445378</v>
      </c>
      <c r="AA172" s="5">
        <v>15</v>
      </c>
      <c r="AB172" s="31">
        <f t="shared" si="53"/>
        <v>1.0867092002852803</v>
      </c>
      <c r="AC172" s="32">
        <v>3290</v>
      </c>
      <c r="AD172" s="24">
        <f t="shared" si="54"/>
        <v>897.27272727272725</v>
      </c>
      <c r="AE172" s="24">
        <f t="shared" si="71"/>
        <v>975.1</v>
      </c>
      <c r="AF172" s="24">
        <f t="shared" si="55"/>
        <v>77.827272727272771</v>
      </c>
      <c r="AG172" s="24"/>
      <c r="AH172" s="24">
        <v>215.7</v>
      </c>
      <c r="AI172" s="24">
        <v>352.9</v>
      </c>
      <c r="AJ172" s="24">
        <f t="shared" si="56"/>
        <v>406.5</v>
      </c>
      <c r="AK172" s="68"/>
      <c r="AL172" s="40"/>
      <c r="AM172" s="40"/>
      <c r="AN172" s="68"/>
      <c r="AO172" s="68"/>
      <c r="AP172" s="24">
        <f t="shared" si="57"/>
        <v>406.5</v>
      </c>
      <c r="AQ172" s="24"/>
      <c r="AR172" s="24">
        <f t="shared" si="58"/>
        <v>406.5</v>
      </c>
      <c r="AS172" s="76"/>
      <c r="AT172" s="1"/>
      <c r="AU172" s="1"/>
      <c r="AV172" s="38"/>
      <c r="AW172" s="38"/>
      <c r="AX172" s="1"/>
      <c r="AY172" s="1"/>
      <c r="AZ172" s="1"/>
      <c r="BA172" s="1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9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9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9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9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9"/>
      <c r="GH172" s="8"/>
      <c r="GI172" s="8"/>
    </row>
    <row r="173" spans="1:191" s="2" customFormat="1" ht="17.100000000000001" customHeight="1">
      <c r="A173" s="13" t="s">
        <v>155</v>
      </c>
      <c r="B173" s="24">
        <v>1097.8</v>
      </c>
      <c r="C173" s="24">
        <v>549.5</v>
      </c>
      <c r="D173" s="4">
        <f t="shared" si="52"/>
        <v>0.50054654764073603</v>
      </c>
      <c r="E173" s="10">
        <v>15</v>
      </c>
      <c r="F173" s="5">
        <v>1</v>
      </c>
      <c r="G173" s="5">
        <v>10</v>
      </c>
      <c r="H173" s="5"/>
      <c r="I173" s="5"/>
      <c r="J173" s="4">
        <f t="shared" si="72"/>
        <v>0.97094095940959413</v>
      </c>
      <c r="K173" s="5">
        <v>10</v>
      </c>
      <c r="L173" s="5" t="s">
        <v>394</v>
      </c>
      <c r="M173" s="5" t="s">
        <v>394</v>
      </c>
      <c r="N173" s="4" t="s">
        <v>394</v>
      </c>
      <c r="O173" s="5"/>
      <c r="P173" s="5" t="s">
        <v>394</v>
      </c>
      <c r="Q173" s="5" t="s">
        <v>394</v>
      </c>
      <c r="R173" s="5" t="s">
        <v>394</v>
      </c>
      <c r="S173" s="5"/>
      <c r="T173" s="5" t="s">
        <v>394</v>
      </c>
      <c r="U173" s="5" t="s">
        <v>394</v>
      </c>
      <c r="V173" s="5" t="s">
        <v>394</v>
      </c>
      <c r="W173" s="5"/>
      <c r="X173" s="5"/>
      <c r="Y173" s="5"/>
      <c r="Z173" s="4">
        <f t="shared" si="73"/>
        <v>1.0084033613445378</v>
      </c>
      <c r="AA173" s="5">
        <v>15</v>
      </c>
      <c r="AB173" s="31">
        <f t="shared" si="53"/>
        <v>0.84687316457750095</v>
      </c>
      <c r="AC173" s="32">
        <v>3280</v>
      </c>
      <c r="AD173" s="24">
        <f t="shared" si="54"/>
        <v>894.5454545454545</v>
      </c>
      <c r="AE173" s="24">
        <f t="shared" si="71"/>
        <v>757.6</v>
      </c>
      <c r="AF173" s="24">
        <f t="shared" si="55"/>
        <v>-136.94545454545448</v>
      </c>
      <c r="AG173" s="24"/>
      <c r="AH173" s="24">
        <v>262.2</v>
      </c>
      <c r="AI173" s="24">
        <v>180.8</v>
      </c>
      <c r="AJ173" s="24">
        <f t="shared" si="56"/>
        <v>314.60000000000002</v>
      </c>
      <c r="AK173" s="68"/>
      <c r="AL173" s="40"/>
      <c r="AM173" s="40"/>
      <c r="AN173" s="68"/>
      <c r="AO173" s="68"/>
      <c r="AP173" s="24">
        <f t="shared" si="57"/>
        <v>314.60000000000002</v>
      </c>
      <c r="AQ173" s="24"/>
      <c r="AR173" s="24">
        <f t="shared" si="58"/>
        <v>314.60000000000002</v>
      </c>
      <c r="AS173" s="76"/>
      <c r="AT173" s="1"/>
      <c r="AU173" s="1"/>
      <c r="AV173" s="38"/>
      <c r="AW173" s="38"/>
      <c r="AX173" s="1"/>
      <c r="AY173" s="1"/>
      <c r="AZ173" s="1"/>
      <c r="BA173" s="1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9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9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9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9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9"/>
      <c r="GH173" s="8"/>
      <c r="GI173" s="8"/>
    </row>
    <row r="174" spans="1:191" s="2" customFormat="1" ht="17.100000000000001" customHeight="1">
      <c r="A174" s="13" t="s">
        <v>156</v>
      </c>
      <c r="B174" s="24">
        <v>7794.1</v>
      </c>
      <c r="C174" s="24">
        <v>6942.6</v>
      </c>
      <c r="D174" s="4">
        <f t="shared" si="52"/>
        <v>0.89075069603931178</v>
      </c>
      <c r="E174" s="10">
        <v>15</v>
      </c>
      <c r="F174" s="5">
        <v>1</v>
      </c>
      <c r="G174" s="5">
        <v>10</v>
      </c>
      <c r="H174" s="5"/>
      <c r="I174" s="5"/>
      <c r="J174" s="4">
        <f t="shared" si="72"/>
        <v>0.97094095940959413</v>
      </c>
      <c r="K174" s="5">
        <v>10</v>
      </c>
      <c r="L174" s="5" t="s">
        <v>394</v>
      </c>
      <c r="M174" s="5" t="s">
        <v>394</v>
      </c>
      <c r="N174" s="4" t="s">
        <v>394</v>
      </c>
      <c r="O174" s="5"/>
      <c r="P174" s="5" t="s">
        <v>394</v>
      </c>
      <c r="Q174" s="5" t="s">
        <v>394</v>
      </c>
      <c r="R174" s="5" t="s">
        <v>394</v>
      </c>
      <c r="S174" s="5"/>
      <c r="T174" s="5" t="s">
        <v>394</v>
      </c>
      <c r="U174" s="5" t="s">
        <v>394</v>
      </c>
      <c r="V174" s="5" t="s">
        <v>394</v>
      </c>
      <c r="W174" s="5"/>
      <c r="X174" s="5"/>
      <c r="Y174" s="5"/>
      <c r="Z174" s="4">
        <f t="shared" si="73"/>
        <v>1.0084033613445378</v>
      </c>
      <c r="AA174" s="5">
        <v>15</v>
      </c>
      <c r="AB174" s="31">
        <f t="shared" si="53"/>
        <v>0.96393440909707384</v>
      </c>
      <c r="AC174" s="32">
        <v>1957</v>
      </c>
      <c r="AD174" s="24">
        <f t="shared" si="54"/>
        <v>533.72727272727275</v>
      </c>
      <c r="AE174" s="24">
        <f t="shared" si="71"/>
        <v>514.5</v>
      </c>
      <c r="AF174" s="24">
        <f t="shared" si="55"/>
        <v>-19.227272727272748</v>
      </c>
      <c r="AG174" s="24"/>
      <c r="AH174" s="24">
        <v>187.6</v>
      </c>
      <c r="AI174" s="24">
        <v>155.5</v>
      </c>
      <c r="AJ174" s="24">
        <f t="shared" si="56"/>
        <v>171.4</v>
      </c>
      <c r="AK174" s="68"/>
      <c r="AL174" s="40"/>
      <c r="AM174" s="40"/>
      <c r="AN174" s="68"/>
      <c r="AO174" s="68"/>
      <c r="AP174" s="24">
        <f t="shared" si="57"/>
        <v>171.4</v>
      </c>
      <c r="AQ174" s="24"/>
      <c r="AR174" s="24">
        <f t="shared" si="58"/>
        <v>171.4</v>
      </c>
      <c r="AS174" s="76"/>
      <c r="AT174" s="1"/>
      <c r="AU174" s="1"/>
      <c r="AV174" s="38"/>
      <c r="AW174" s="38"/>
      <c r="AX174" s="1"/>
      <c r="AY174" s="1"/>
      <c r="AZ174" s="1"/>
      <c r="BA174" s="1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9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9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9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9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9"/>
      <c r="GH174" s="8"/>
      <c r="GI174" s="8"/>
    </row>
    <row r="175" spans="1:191" s="2" customFormat="1" ht="17.100000000000001" customHeight="1">
      <c r="A175" s="13" t="s">
        <v>157</v>
      </c>
      <c r="B175" s="24">
        <v>477.5</v>
      </c>
      <c r="C175" s="24">
        <v>791.5</v>
      </c>
      <c r="D175" s="4">
        <f t="shared" si="52"/>
        <v>1.2457591623036648</v>
      </c>
      <c r="E175" s="10">
        <v>15</v>
      </c>
      <c r="F175" s="5">
        <v>1</v>
      </c>
      <c r="G175" s="5">
        <v>10</v>
      </c>
      <c r="H175" s="5"/>
      <c r="I175" s="5"/>
      <c r="J175" s="4">
        <f t="shared" si="72"/>
        <v>0.97094095940959413</v>
      </c>
      <c r="K175" s="5">
        <v>10</v>
      </c>
      <c r="L175" s="5" t="s">
        <v>394</v>
      </c>
      <c r="M175" s="5" t="s">
        <v>394</v>
      </c>
      <c r="N175" s="4" t="s">
        <v>394</v>
      </c>
      <c r="O175" s="5"/>
      <c r="P175" s="5" t="s">
        <v>394</v>
      </c>
      <c r="Q175" s="5" t="s">
        <v>394</v>
      </c>
      <c r="R175" s="5" t="s">
        <v>394</v>
      </c>
      <c r="S175" s="5"/>
      <c r="T175" s="5" t="s">
        <v>394</v>
      </c>
      <c r="U175" s="5" t="s">
        <v>394</v>
      </c>
      <c r="V175" s="5" t="s">
        <v>394</v>
      </c>
      <c r="W175" s="5"/>
      <c r="X175" s="5"/>
      <c r="Y175" s="5"/>
      <c r="Z175" s="4">
        <f t="shared" si="73"/>
        <v>1.0084033613445378</v>
      </c>
      <c r="AA175" s="5">
        <v>15</v>
      </c>
      <c r="AB175" s="31">
        <f t="shared" si="53"/>
        <v>1.0704369489763799</v>
      </c>
      <c r="AC175" s="32">
        <v>1988</v>
      </c>
      <c r="AD175" s="24">
        <f t="shared" si="54"/>
        <v>542.18181818181813</v>
      </c>
      <c r="AE175" s="24">
        <f t="shared" si="71"/>
        <v>580.4</v>
      </c>
      <c r="AF175" s="24">
        <f t="shared" si="55"/>
        <v>38.218181818181847</v>
      </c>
      <c r="AG175" s="24"/>
      <c r="AH175" s="24">
        <v>106.6</v>
      </c>
      <c r="AI175" s="24">
        <v>209.3</v>
      </c>
      <c r="AJ175" s="24">
        <f t="shared" si="56"/>
        <v>264.5</v>
      </c>
      <c r="AK175" s="68"/>
      <c r="AL175" s="40"/>
      <c r="AM175" s="40"/>
      <c r="AN175" s="68"/>
      <c r="AO175" s="68"/>
      <c r="AP175" s="24">
        <f t="shared" si="57"/>
        <v>264.5</v>
      </c>
      <c r="AQ175" s="24"/>
      <c r="AR175" s="24">
        <f t="shared" si="58"/>
        <v>264.5</v>
      </c>
      <c r="AS175" s="76"/>
      <c r="AT175" s="1"/>
      <c r="AU175" s="1"/>
      <c r="AV175" s="38"/>
      <c r="AW175" s="38"/>
      <c r="AX175" s="1"/>
      <c r="AY175" s="1"/>
      <c r="AZ175" s="1"/>
      <c r="BA175" s="1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9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9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9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9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9"/>
      <c r="GH175" s="8"/>
      <c r="GI175" s="8"/>
    </row>
    <row r="176" spans="1:191" s="2" customFormat="1" ht="17.100000000000001" customHeight="1">
      <c r="A176" s="13" t="s">
        <v>158</v>
      </c>
      <c r="B176" s="24">
        <v>2654.4</v>
      </c>
      <c r="C176" s="24">
        <v>2044.9</v>
      </c>
      <c r="D176" s="4">
        <f t="shared" si="52"/>
        <v>0.77038125376732969</v>
      </c>
      <c r="E176" s="10">
        <v>15</v>
      </c>
      <c r="F176" s="5">
        <v>1</v>
      </c>
      <c r="G176" s="5">
        <v>10</v>
      </c>
      <c r="H176" s="5"/>
      <c r="I176" s="5"/>
      <c r="J176" s="4">
        <f t="shared" si="72"/>
        <v>0.97094095940959413</v>
      </c>
      <c r="K176" s="5">
        <v>10</v>
      </c>
      <c r="L176" s="5" t="s">
        <v>394</v>
      </c>
      <c r="M176" s="5" t="s">
        <v>394</v>
      </c>
      <c r="N176" s="4" t="s">
        <v>394</v>
      </c>
      <c r="O176" s="5"/>
      <c r="P176" s="5" t="s">
        <v>394</v>
      </c>
      <c r="Q176" s="5" t="s">
        <v>394</v>
      </c>
      <c r="R176" s="5" t="s">
        <v>394</v>
      </c>
      <c r="S176" s="5"/>
      <c r="T176" s="5" t="s">
        <v>394</v>
      </c>
      <c r="U176" s="5" t="s">
        <v>394</v>
      </c>
      <c r="V176" s="5" t="s">
        <v>394</v>
      </c>
      <c r="W176" s="5"/>
      <c r="X176" s="5"/>
      <c r="Y176" s="5"/>
      <c r="Z176" s="4">
        <f t="shared" si="73"/>
        <v>1.0084033613445378</v>
      </c>
      <c r="AA176" s="5">
        <v>15</v>
      </c>
      <c r="AB176" s="31">
        <f t="shared" si="53"/>
        <v>0.92782357641547908</v>
      </c>
      <c r="AC176" s="32">
        <v>2485</v>
      </c>
      <c r="AD176" s="24">
        <f t="shared" si="54"/>
        <v>677.72727272727275</v>
      </c>
      <c r="AE176" s="24">
        <f t="shared" si="71"/>
        <v>628.79999999999995</v>
      </c>
      <c r="AF176" s="24">
        <f t="shared" si="55"/>
        <v>-48.927272727272793</v>
      </c>
      <c r="AG176" s="24"/>
      <c r="AH176" s="24">
        <v>210.8</v>
      </c>
      <c r="AI176" s="24">
        <v>176.7</v>
      </c>
      <c r="AJ176" s="24">
        <f t="shared" si="56"/>
        <v>241.3</v>
      </c>
      <c r="AK176" s="68"/>
      <c r="AL176" s="40"/>
      <c r="AM176" s="40"/>
      <c r="AN176" s="68"/>
      <c r="AO176" s="68"/>
      <c r="AP176" s="24">
        <f t="shared" si="57"/>
        <v>241.3</v>
      </c>
      <c r="AQ176" s="24"/>
      <c r="AR176" s="24">
        <f t="shared" si="58"/>
        <v>241.3</v>
      </c>
      <c r="AS176" s="76"/>
      <c r="AT176" s="1"/>
      <c r="AU176" s="1"/>
      <c r="AV176" s="38"/>
      <c r="AW176" s="38"/>
      <c r="AX176" s="1"/>
      <c r="AY176" s="1"/>
      <c r="AZ176" s="1"/>
      <c r="BA176" s="1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9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9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9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9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9"/>
      <c r="GH176" s="8"/>
      <c r="GI176" s="8"/>
    </row>
    <row r="177" spans="1:191" s="2" customFormat="1" ht="17.100000000000001" customHeight="1">
      <c r="A177" s="13" t="s">
        <v>159</v>
      </c>
      <c r="B177" s="24">
        <v>518.20000000000005</v>
      </c>
      <c r="C177" s="24">
        <v>425.9</v>
      </c>
      <c r="D177" s="4">
        <f t="shared" si="52"/>
        <v>0.82188344268622138</v>
      </c>
      <c r="E177" s="10">
        <v>15</v>
      </c>
      <c r="F177" s="5">
        <v>1</v>
      </c>
      <c r="G177" s="5">
        <v>10</v>
      </c>
      <c r="H177" s="5"/>
      <c r="I177" s="5"/>
      <c r="J177" s="4">
        <f t="shared" si="72"/>
        <v>0.97094095940959413</v>
      </c>
      <c r="K177" s="5">
        <v>10</v>
      </c>
      <c r="L177" s="5" t="s">
        <v>394</v>
      </c>
      <c r="M177" s="5" t="s">
        <v>394</v>
      </c>
      <c r="N177" s="4" t="s">
        <v>394</v>
      </c>
      <c r="O177" s="5"/>
      <c r="P177" s="5" t="s">
        <v>394</v>
      </c>
      <c r="Q177" s="5" t="s">
        <v>394</v>
      </c>
      <c r="R177" s="5" t="s">
        <v>394</v>
      </c>
      <c r="S177" s="5"/>
      <c r="T177" s="5" t="s">
        <v>394</v>
      </c>
      <c r="U177" s="5" t="s">
        <v>394</v>
      </c>
      <c r="V177" s="5" t="s">
        <v>394</v>
      </c>
      <c r="W177" s="5"/>
      <c r="X177" s="5"/>
      <c r="Y177" s="5"/>
      <c r="Z177" s="4">
        <f t="shared" si="73"/>
        <v>1.0084033613445378</v>
      </c>
      <c r="AA177" s="5">
        <v>15</v>
      </c>
      <c r="AB177" s="31">
        <f t="shared" si="53"/>
        <v>0.94327423309114666</v>
      </c>
      <c r="AC177" s="32">
        <v>1727</v>
      </c>
      <c r="AD177" s="24">
        <f t="shared" si="54"/>
        <v>471</v>
      </c>
      <c r="AE177" s="24">
        <f t="shared" si="71"/>
        <v>444.3</v>
      </c>
      <c r="AF177" s="24">
        <f t="shared" si="55"/>
        <v>-26.699999999999989</v>
      </c>
      <c r="AG177" s="24"/>
      <c r="AH177" s="24">
        <v>118.6</v>
      </c>
      <c r="AI177" s="24">
        <v>142.9</v>
      </c>
      <c r="AJ177" s="24">
        <f t="shared" si="56"/>
        <v>182.8</v>
      </c>
      <c r="AK177" s="68"/>
      <c r="AL177" s="40"/>
      <c r="AM177" s="40"/>
      <c r="AN177" s="68"/>
      <c r="AO177" s="68"/>
      <c r="AP177" s="24">
        <f t="shared" si="57"/>
        <v>182.8</v>
      </c>
      <c r="AQ177" s="24"/>
      <c r="AR177" s="24">
        <f t="shared" si="58"/>
        <v>182.8</v>
      </c>
      <c r="AS177" s="76"/>
      <c r="AT177" s="1"/>
      <c r="AU177" s="1"/>
      <c r="AV177" s="38"/>
      <c r="AW177" s="38"/>
      <c r="AX177" s="1"/>
      <c r="AY177" s="1"/>
      <c r="AZ177" s="1"/>
      <c r="BA177" s="1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9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9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9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9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9"/>
      <c r="GH177" s="8"/>
      <c r="GI177" s="8"/>
    </row>
    <row r="178" spans="1:191" s="2" customFormat="1" ht="17.100000000000001" customHeight="1">
      <c r="A178" s="13" t="s">
        <v>160</v>
      </c>
      <c r="B178" s="24">
        <v>549.70000000000005</v>
      </c>
      <c r="C178" s="24">
        <v>278</v>
      </c>
      <c r="D178" s="4">
        <f t="shared" si="52"/>
        <v>0.5057303983991267</v>
      </c>
      <c r="E178" s="10">
        <v>15</v>
      </c>
      <c r="F178" s="5">
        <v>1</v>
      </c>
      <c r="G178" s="5">
        <v>10</v>
      </c>
      <c r="H178" s="5"/>
      <c r="I178" s="5"/>
      <c r="J178" s="4">
        <f t="shared" si="72"/>
        <v>0.97094095940959413</v>
      </c>
      <c r="K178" s="5">
        <v>10</v>
      </c>
      <c r="L178" s="5" t="s">
        <v>394</v>
      </c>
      <c r="M178" s="5" t="s">
        <v>394</v>
      </c>
      <c r="N178" s="4" t="s">
        <v>394</v>
      </c>
      <c r="O178" s="5"/>
      <c r="P178" s="5" t="s">
        <v>394</v>
      </c>
      <c r="Q178" s="5" t="s">
        <v>394</v>
      </c>
      <c r="R178" s="5" t="s">
        <v>394</v>
      </c>
      <c r="S178" s="5"/>
      <c r="T178" s="5" t="s">
        <v>394</v>
      </c>
      <c r="U178" s="5" t="s">
        <v>394</v>
      </c>
      <c r="V178" s="5" t="s">
        <v>394</v>
      </c>
      <c r="W178" s="5"/>
      <c r="X178" s="5"/>
      <c r="Y178" s="5"/>
      <c r="Z178" s="4">
        <f t="shared" si="73"/>
        <v>1.0084033613445378</v>
      </c>
      <c r="AA178" s="5">
        <v>15</v>
      </c>
      <c r="AB178" s="31">
        <f t="shared" si="53"/>
        <v>0.84842831980501809</v>
      </c>
      <c r="AC178" s="32">
        <v>2135</v>
      </c>
      <c r="AD178" s="24">
        <f t="shared" si="54"/>
        <v>582.27272727272725</v>
      </c>
      <c r="AE178" s="24">
        <f t="shared" si="71"/>
        <v>494</v>
      </c>
      <c r="AF178" s="24">
        <f t="shared" si="55"/>
        <v>-88.272727272727252</v>
      </c>
      <c r="AG178" s="24"/>
      <c r="AH178" s="24">
        <v>154.69999999999999</v>
      </c>
      <c r="AI178" s="24">
        <v>196.9</v>
      </c>
      <c r="AJ178" s="24">
        <f t="shared" si="56"/>
        <v>142.4</v>
      </c>
      <c r="AK178" s="68"/>
      <c r="AL178" s="40"/>
      <c r="AM178" s="40"/>
      <c r="AN178" s="68"/>
      <c r="AO178" s="68"/>
      <c r="AP178" s="24">
        <f t="shared" si="57"/>
        <v>142.4</v>
      </c>
      <c r="AQ178" s="24"/>
      <c r="AR178" s="24">
        <f t="shared" si="58"/>
        <v>142.4</v>
      </c>
      <c r="AS178" s="76"/>
      <c r="AT178" s="1"/>
      <c r="AU178" s="1"/>
      <c r="AV178" s="38"/>
      <c r="AW178" s="38"/>
      <c r="AX178" s="1"/>
      <c r="AY178" s="1"/>
      <c r="AZ178" s="1"/>
      <c r="BA178" s="1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9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9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9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9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9"/>
      <c r="GH178" s="8"/>
      <c r="GI178" s="8"/>
    </row>
    <row r="179" spans="1:191" s="2" customFormat="1" ht="17.100000000000001" customHeight="1">
      <c r="A179" s="13" t="s">
        <v>95</v>
      </c>
      <c r="B179" s="24">
        <v>634.70000000000005</v>
      </c>
      <c r="C179" s="24">
        <v>324.89999999999998</v>
      </c>
      <c r="D179" s="4">
        <f t="shared" si="52"/>
        <v>0.51189538364581688</v>
      </c>
      <c r="E179" s="10">
        <v>15</v>
      </c>
      <c r="F179" s="5">
        <v>1</v>
      </c>
      <c r="G179" s="5">
        <v>10</v>
      </c>
      <c r="H179" s="5"/>
      <c r="I179" s="5"/>
      <c r="J179" s="4">
        <f t="shared" si="72"/>
        <v>0.97094095940959413</v>
      </c>
      <c r="K179" s="5">
        <v>10</v>
      </c>
      <c r="L179" s="5" t="s">
        <v>394</v>
      </c>
      <c r="M179" s="5" t="s">
        <v>394</v>
      </c>
      <c r="N179" s="4" t="s">
        <v>394</v>
      </c>
      <c r="O179" s="5"/>
      <c r="P179" s="5" t="s">
        <v>394</v>
      </c>
      <c r="Q179" s="5" t="s">
        <v>394</v>
      </c>
      <c r="R179" s="5" t="s">
        <v>394</v>
      </c>
      <c r="S179" s="5"/>
      <c r="T179" s="5" t="s">
        <v>394</v>
      </c>
      <c r="U179" s="5" t="s">
        <v>394</v>
      </c>
      <c r="V179" s="5" t="s">
        <v>394</v>
      </c>
      <c r="W179" s="5"/>
      <c r="X179" s="5"/>
      <c r="Y179" s="5"/>
      <c r="Z179" s="4">
        <f t="shared" si="73"/>
        <v>1.0084033613445378</v>
      </c>
      <c r="AA179" s="5">
        <v>15</v>
      </c>
      <c r="AB179" s="31">
        <f t="shared" si="53"/>
        <v>0.85027781537902525</v>
      </c>
      <c r="AC179" s="32">
        <v>2354</v>
      </c>
      <c r="AD179" s="24">
        <f t="shared" si="54"/>
        <v>642</v>
      </c>
      <c r="AE179" s="24">
        <f t="shared" si="71"/>
        <v>545.9</v>
      </c>
      <c r="AF179" s="24">
        <f t="shared" si="55"/>
        <v>-96.100000000000023</v>
      </c>
      <c r="AG179" s="24"/>
      <c r="AH179" s="24">
        <v>104.9</v>
      </c>
      <c r="AI179" s="24">
        <v>157.6</v>
      </c>
      <c r="AJ179" s="24">
        <f t="shared" si="56"/>
        <v>283.39999999999998</v>
      </c>
      <c r="AK179" s="68"/>
      <c r="AL179" s="40"/>
      <c r="AM179" s="40"/>
      <c r="AN179" s="68"/>
      <c r="AO179" s="68"/>
      <c r="AP179" s="24">
        <f t="shared" si="57"/>
        <v>283.39999999999998</v>
      </c>
      <c r="AQ179" s="24">
        <f>MIN(AP179,30)</f>
        <v>30</v>
      </c>
      <c r="AR179" s="24">
        <f t="shared" si="58"/>
        <v>253.4</v>
      </c>
      <c r="AS179" s="76"/>
      <c r="AT179" s="1"/>
      <c r="AU179" s="1"/>
      <c r="AV179" s="38"/>
      <c r="AW179" s="38"/>
      <c r="AX179" s="1"/>
      <c r="AY179" s="1"/>
      <c r="AZ179" s="1"/>
      <c r="BA179" s="1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9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9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9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9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9"/>
      <c r="GH179" s="8"/>
      <c r="GI179" s="8"/>
    </row>
    <row r="180" spans="1:191" s="2" customFormat="1" ht="17.100000000000001" customHeight="1">
      <c r="A180" s="13" t="s">
        <v>161</v>
      </c>
      <c r="B180" s="24">
        <v>1545</v>
      </c>
      <c r="C180" s="24">
        <v>461.9</v>
      </c>
      <c r="D180" s="4">
        <f t="shared" si="52"/>
        <v>0.29896440129449836</v>
      </c>
      <c r="E180" s="10">
        <v>15</v>
      </c>
      <c r="F180" s="5">
        <v>1</v>
      </c>
      <c r="G180" s="5">
        <v>10</v>
      </c>
      <c r="H180" s="5"/>
      <c r="I180" s="5"/>
      <c r="J180" s="4">
        <f t="shared" si="72"/>
        <v>0.97094095940959413</v>
      </c>
      <c r="K180" s="5">
        <v>10</v>
      </c>
      <c r="L180" s="5" t="s">
        <v>394</v>
      </c>
      <c r="M180" s="5" t="s">
        <v>394</v>
      </c>
      <c r="N180" s="4" t="s">
        <v>394</v>
      </c>
      <c r="O180" s="5"/>
      <c r="P180" s="5" t="s">
        <v>394</v>
      </c>
      <c r="Q180" s="5" t="s">
        <v>394</v>
      </c>
      <c r="R180" s="5" t="s">
        <v>394</v>
      </c>
      <c r="S180" s="5"/>
      <c r="T180" s="5" t="s">
        <v>394</v>
      </c>
      <c r="U180" s="5" t="s">
        <v>394</v>
      </c>
      <c r="V180" s="5" t="s">
        <v>394</v>
      </c>
      <c r="W180" s="5"/>
      <c r="X180" s="5"/>
      <c r="Y180" s="5"/>
      <c r="Z180" s="4">
        <f t="shared" si="73"/>
        <v>1.0084033613445378</v>
      </c>
      <c r="AA180" s="5">
        <v>15</v>
      </c>
      <c r="AB180" s="31">
        <f t="shared" si="53"/>
        <v>0.7863985206736297</v>
      </c>
      <c r="AC180" s="32">
        <v>2790</v>
      </c>
      <c r="AD180" s="24">
        <f t="shared" si="54"/>
        <v>760.90909090909088</v>
      </c>
      <c r="AE180" s="24">
        <f t="shared" si="71"/>
        <v>598.4</v>
      </c>
      <c r="AF180" s="24">
        <f t="shared" si="55"/>
        <v>-162.5090909090909</v>
      </c>
      <c r="AG180" s="24"/>
      <c r="AH180" s="24">
        <v>116.8</v>
      </c>
      <c r="AI180" s="24">
        <v>160.4</v>
      </c>
      <c r="AJ180" s="24">
        <f t="shared" si="56"/>
        <v>321.2</v>
      </c>
      <c r="AK180" s="68"/>
      <c r="AL180" s="40"/>
      <c r="AM180" s="40"/>
      <c r="AN180" s="68"/>
      <c r="AO180" s="68"/>
      <c r="AP180" s="24">
        <f t="shared" si="57"/>
        <v>321.2</v>
      </c>
      <c r="AQ180" s="24"/>
      <c r="AR180" s="24">
        <f t="shared" si="58"/>
        <v>321.2</v>
      </c>
      <c r="AS180" s="76"/>
      <c r="AT180" s="1"/>
      <c r="AU180" s="1"/>
      <c r="AV180" s="38"/>
      <c r="AW180" s="38"/>
      <c r="AX180" s="1"/>
      <c r="AY180" s="1"/>
      <c r="AZ180" s="1"/>
      <c r="BA180" s="1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9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9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9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9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9"/>
      <c r="GH180" s="8"/>
      <c r="GI180" s="8"/>
    </row>
    <row r="181" spans="1:191" s="2" customFormat="1" ht="17.100000000000001" customHeight="1">
      <c r="A181" s="13" t="s">
        <v>162</v>
      </c>
      <c r="B181" s="24">
        <v>2330.9</v>
      </c>
      <c r="C181" s="24">
        <v>1441</v>
      </c>
      <c r="D181" s="4">
        <f t="shared" si="52"/>
        <v>0.61821613968853228</v>
      </c>
      <c r="E181" s="10">
        <v>15</v>
      </c>
      <c r="F181" s="5">
        <v>1</v>
      </c>
      <c r="G181" s="5">
        <v>10</v>
      </c>
      <c r="H181" s="5"/>
      <c r="I181" s="5"/>
      <c r="J181" s="4">
        <f t="shared" si="72"/>
        <v>0.97094095940959413</v>
      </c>
      <c r="K181" s="5">
        <v>10</v>
      </c>
      <c r="L181" s="5" t="s">
        <v>394</v>
      </c>
      <c r="M181" s="5" t="s">
        <v>394</v>
      </c>
      <c r="N181" s="4" t="s">
        <v>394</v>
      </c>
      <c r="O181" s="5"/>
      <c r="P181" s="5" t="s">
        <v>394</v>
      </c>
      <c r="Q181" s="5" t="s">
        <v>394</v>
      </c>
      <c r="R181" s="5" t="s">
        <v>394</v>
      </c>
      <c r="S181" s="5"/>
      <c r="T181" s="5" t="s">
        <v>394</v>
      </c>
      <c r="U181" s="5" t="s">
        <v>394</v>
      </c>
      <c r="V181" s="5" t="s">
        <v>394</v>
      </c>
      <c r="W181" s="5"/>
      <c r="X181" s="5"/>
      <c r="Y181" s="5"/>
      <c r="Z181" s="4">
        <f t="shared" si="73"/>
        <v>1.0084033613445378</v>
      </c>
      <c r="AA181" s="5">
        <v>15</v>
      </c>
      <c r="AB181" s="31">
        <f t="shared" si="53"/>
        <v>0.88217404219183981</v>
      </c>
      <c r="AC181" s="32">
        <v>4642</v>
      </c>
      <c r="AD181" s="24">
        <f t="shared" si="54"/>
        <v>1266</v>
      </c>
      <c r="AE181" s="24">
        <f t="shared" si="71"/>
        <v>1116.8</v>
      </c>
      <c r="AF181" s="24">
        <f t="shared" si="55"/>
        <v>-149.20000000000005</v>
      </c>
      <c r="AG181" s="24"/>
      <c r="AH181" s="24">
        <v>388</v>
      </c>
      <c r="AI181" s="24">
        <v>280.7</v>
      </c>
      <c r="AJ181" s="24">
        <f t="shared" si="56"/>
        <v>448.1</v>
      </c>
      <c r="AK181" s="68"/>
      <c r="AL181" s="40"/>
      <c r="AM181" s="40"/>
      <c r="AN181" s="68"/>
      <c r="AO181" s="68"/>
      <c r="AP181" s="24">
        <f t="shared" si="57"/>
        <v>448.1</v>
      </c>
      <c r="AQ181" s="24"/>
      <c r="AR181" s="24">
        <f t="shared" si="58"/>
        <v>448.1</v>
      </c>
      <c r="AS181" s="76"/>
      <c r="AT181" s="1"/>
      <c r="AU181" s="1"/>
      <c r="AV181" s="38"/>
      <c r="AW181" s="38"/>
      <c r="AX181" s="1"/>
      <c r="AY181" s="1"/>
      <c r="AZ181" s="1"/>
      <c r="BA181" s="1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9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9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9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9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9"/>
      <c r="GH181" s="8"/>
      <c r="GI181" s="8"/>
    </row>
    <row r="182" spans="1:191" s="2" customFormat="1" ht="17.100000000000001" customHeight="1">
      <c r="A182" s="13" t="s">
        <v>163</v>
      </c>
      <c r="B182" s="24">
        <v>604.1</v>
      </c>
      <c r="C182" s="24">
        <v>493.7</v>
      </c>
      <c r="D182" s="4">
        <f t="shared" si="52"/>
        <v>0.8172487998675716</v>
      </c>
      <c r="E182" s="10">
        <v>15</v>
      </c>
      <c r="F182" s="5">
        <v>1</v>
      </c>
      <c r="G182" s="5">
        <v>10</v>
      </c>
      <c r="H182" s="5"/>
      <c r="I182" s="5"/>
      <c r="J182" s="4">
        <f t="shared" si="72"/>
        <v>0.97094095940959413</v>
      </c>
      <c r="K182" s="5">
        <v>10</v>
      </c>
      <c r="L182" s="5" t="s">
        <v>394</v>
      </c>
      <c r="M182" s="5" t="s">
        <v>394</v>
      </c>
      <c r="N182" s="4" t="s">
        <v>394</v>
      </c>
      <c r="O182" s="5"/>
      <c r="P182" s="5" t="s">
        <v>394</v>
      </c>
      <c r="Q182" s="5" t="s">
        <v>394</v>
      </c>
      <c r="R182" s="5" t="s">
        <v>394</v>
      </c>
      <c r="S182" s="5"/>
      <c r="T182" s="5" t="s">
        <v>394</v>
      </c>
      <c r="U182" s="5" t="s">
        <v>394</v>
      </c>
      <c r="V182" s="5" t="s">
        <v>394</v>
      </c>
      <c r="W182" s="5"/>
      <c r="X182" s="5"/>
      <c r="Y182" s="5"/>
      <c r="Z182" s="4">
        <f t="shared" si="73"/>
        <v>1.0084033613445378</v>
      </c>
      <c r="AA182" s="5">
        <v>15</v>
      </c>
      <c r="AB182" s="31">
        <f t="shared" si="53"/>
        <v>0.94188384024555161</v>
      </c>
      <c r="AC182" s="32">
        <v>2651</v>
      </c>
      <c r="AD182" s="24">
        <f t="shared" si="54"/>
        <v>723</v>
      </c>
      <c r="AE182" s="24">
        <f t="shared" si="71"/>
        <v>681</v>
      </c>
      <c r="AF182" s="24">
        <f t="shared" si="55"/>
        <v>-42</v>
      </c>
      <c r="AG182" s="24"/>
      <c r="AH182" s="24">
        <v>207.1</v>
      </c>
      <c r="AI182" s="24">
        <v>263.3</v>
      </c>
      <c r="AJ182" s="24">
        <f t="shared" si="56"/>
        <v>210.6</v>
      </c>
      <c r="AK182" s="68"/>
      <c r="AL182" s="40"/>
      <c r="AM182" s="40"/>
      <c r="AN182" s="68"/>
      <c r="AO182" s="68"/>
      <c r="AP182" s="24">
        <f t="shared" si="57"/>
        <v>210.6</v>
      </c>
      <c r="AQ182" s="24"/>
      <c r="AR182" s="24">
        <f t="shared" si="58"/>
        <v>210.6</v>
      </c>
      <c r="AS182" s="76"/>
      <c r="AT182" s="1"/>
      <c r="AU182" s="1"/>
      <c r="AV182" s="38"/>
      <c r="AW182" s="38"/>
      <c r="AX182" s="1"/>
      <c r="AY182" s="1"/>
      <c r="AZ182" s="1"/>
      <c r="BA182" s="1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9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9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9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9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9"/>
      <c r="GH182" s="8"/>
      <c r="GI182" s="8"/>
    </row>
    <row r="183" spans="1:191" s="2" customFormat="1" ht="17.100000000000001" customHeight="1">
      <c r="A183" s="17" t="s">
        <v>164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76"/>
      <c r="AT183" s="1"/>
      <c r="AU183" s="1"/>
      <c r="AV183" s="38"/>
      <c r="AW183" s="38"/>
      <c r="AX183" s="1"/>
      <c r="AY183" s="1"/>
      <c r="AZ183" s="1"/>
      <c r="BA183" s="1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9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9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9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9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9"/>
      <c r="GH183" s="8"/>
      <c r="GI183" s="8"/>
    </row>
    <row r="184" spans="1:191" s="2" customFormat="1" ht="17.100000000000001" customHeight="1">
      <c r="A184" s="13" t="s">
        <v>165</v>
      </c>
      <c r="B184" s="24">
        <v>249.8</v>
      </c>
      <c r="C184" s="24">
        <v>154.80000000000001</v>
      </c>
      <c r="D184" s="4">
        <f t="shared" si="52"/>
        <v>0.6196957566052842</v>
      </c>
      <c r="E184" s="10">
        <v>15</v>
      </c>
      <c r="F184" s="5">
        <v>1</v>
      </c>
      <c r="G184" s="5">
        <v>10</v>
      </c>
      <c r="H184" s="5"/>
      <c r="I184" s="5"/>
      <c r="J184" s="4">
        <f>J$42</f>
        <v>0.9041791767554479</v>
      </c>
      <c r="K184" s="5">
        <v>10</v>
      </c>
      <c r="L184" s="5" t="s">
        <v>394</v>
      </c>
      <c r="M184" s="5" t="s">
        <v>394</v>
      </c>
      <c r="N184" s="4" t="s">
        <v>394</v>
      </c>
      <c r="O184" s="5"/>
      <c r="P184" s="5" t="s">
        <v>394</v>
      </c>
      <c r="Q184" s="5" t="s">
        <v>394</v>
      </c>
      <c r="R184" s="5" t="s">
        <v>394</v>
      </c>
      <c r="S184" s="5"/>
      <c r="T184" s="5" t="s">
        <v>394</v>
      </c>
      <c r="U184" s="5" t="s">
        <v>394</v>
      </c>
      <c r="V184" s="5" t="s">
        <v>394</v>
      </c>
      <c r="W184" s="5"/>
      <c r="X184" s="5"/>
      <c r="Y184" s="5"/>
      <c r="Z184" s="4">
        <f>Z$42</f>
        <v>1.2016216216216216</v>
      </c>
      <c r="AA184" s="5">
        <v>15</v>
      </c>
      <c r="AB184" s="31">
        <f t="shared" si="53"/>
        <v>0.9272310488191613</v>
      </c>
      <c r="AC184" s="32">
        <v>1692</v>
      </c>
      <c r="AD184" s="24">
        <f t="shared" si="54"/>
        <v>461.45454545454544</v>
      </c>
      <c r="AE184" s="24">
        <f t="shared" ref="AE184:AE189" si="74">ROUND(AB184*AD184,1)</f>
        <v>427.9</v>
      </c>
      <c r="AF184" s="24">
        <f t="shared" si="55"/>
        <v>-33.554545454545462</v>
      </c>
      <c r="AG184" s="24"/>
      <c r="AH184" s="24">
        <v>119.6</v>
      </c>
      <c r="AI184" s="24">
        <v>116.4</v>
      </c>
      <c r="AJ184" s="24">
        <f t="shared" si="56"/>
        <v>191.9</v>
      </c>
      <c r="AK184" s="68"/>
      <c r="AL184" s="40"/>
      <c r="AM184" s="40"/>
      <c r="AN184" s="68"/>
      <c r="AO184" s="68"/>
      <c r="AP184" s="24">
        <f t="shared" si="57"/>
        <v>191.9</v>
      </c>
      <c r="AQ184" s="24"/>
      <c r="AR184" s="24">
        <f t="shared" si="58"/>
        <v>191.9</v>
      </c>
      <c r="AS184" s="76"/>
      <c r="AT184" s="1"/>
      <c r="AU184" s="1"/>
      <c r="AV184" s="38"/>
      <c r="AW184" s="38"/>
      <c r="BA184" s="1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9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9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9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9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9"/>
      <c r="GH184" s="8"/>
      <c r="GI184" s="8"/>
    </row>
    <row r="185" spans="1:191" s="2" customFormat="1" ht="17.100000000000001" customHeight="1">
      <c r="A185" s="13" t="s">
        <v>166</v>
      </c>
      <c r="B185" s="24">
        <v>3090.5</v>
      </c>
      <c r="C185" s="24">
        <v>3256.5</v>
      </c>
      <c r="D185" s="4">
        <f t="shared" si="52"/>
        <v>1.0537129914253358</v>
      </c>
      <c r="E185" s="10">
        <v>15</v>
      </c>
      <c r="F185" s="5">
        <v>1</v>
      </c>
      <c r="G185" s="5">
        <v>10</v>
      </c>
      <c r="H185" s="5"/>
      <c r="I185" s="5"/>
      <c r="J185" s="4">
        <f t="shared" ref="J185:J189" si="75">J$42</f>
        <v>0.9041791767554479</v>
      </c>
      <c r="K185" s="5">
        <v>10</v>
      </c>
      <c r="L185" s="5" t="s">
        <v>394</v>
      </c>
      <c r="M185" s="5" t="s">
        <v>394</v>
      </c>
      <c r="N185" s="4" t="s">
        <v>394</v>
      </c>
      <c r="O185" s="5"/>
      <c r="P185" s="5" t="s">
        <v>394</v>
      </c>
      <c r="Q185" s="5" t="s">
        <v>394</v>
      </c>
      <c r="R185" s="5" t="s">
        <v>394</v>
      </c>
      <c r="S185" s="5"/>
      <c r="T185" s="5" t="s">
        <v>394</v>
      </c>
      <c r="U185" s="5" t="s">
        <v>394</v>
      </c>
      <c r="V185" s="5" t="s">
        <v>394</v>
      </c>
      <c r="W185" s="5"/>
      <c r="X185" s="5"/>
      <c r="Y185" s="5"/>
      <c r="Z185" s="4">
        <f t="shared" ref="Z185:Z189" si="76">Z$42</f>
        <v>1.2016216216216216</v>
      </c>
      <c r="AA185" s="5">
        <v>15</v>
      </c>
      <c r="AB185" s="31">
        <f t="shared" si="53"/>
        <v>1.0574362192651767</v>
      </c>
      <c r="AC185" s="32">
        <v>1610</v>
      </c>
      <c r="AD185" s="24">
        <f t="shared" si="54"/>
        <v>439.09090909090912</v>
      </c>
      <c r="AE185" s="24">
        <f t="shared" si="74"/>
        <v>464.3</v>
      </c>
      <c r="AF185" s="24">
        <f t="shared" si="55"/>
        <v>25.209090909090889</v>
      </c>
      <c r="AG185" s="24"/>
      <c r="AH185" s="24">
        <v>116.9</v>
      </c>
      <c r="AI185" s="24">
        <v>157.19999999999999</v>
      </c>
      <c r="AJ185" s="24">
        <f t="shared" si="56"/>
        <v>190.2</v>
      </c>
      <c r="AK185" s="68"/>
      <c r="AL185" s="40"/>
      <c r="AM185" s="40"/>
      <c r="AN185" s="68"/>
      <c r="AO185" s="68"/>
      <c r="AP185" s="24">
        <f t="shared" si="57"/>
        <v>190.2</v>
      </c>
      <c r="AQ185" s="24"/>
      <c r="AR185" s="24">
        <f t="shared" si="58"/>
        <v>190.2</v>
      </c>
      <c r="AS185" s="76"/>
      <c r="AT185" s="1"/>
      <c r="AU185" s="1"/>
      <c r="AV185" s="38"/>
      <c r="AW185" s="38"/>
      <c r="AY185" s="1"/>
      <c r="AZ185" s="1"/>
      <c r="BA185" s="1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9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9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9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9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9"/>
      <c r="GH185" s="8"/>
      <c r="GI185" s="8"/>
    </row>
    <row r="186" spans="1:191" s="2" customFormat="1" ht="17.100000000000001" customHeight="1">
      <c r="A186" s="13" t="s">
        <v>167</v>
      </c>
      <c r="B186" s="24">
        <v>222.9</v>
      </c>
      <c r="C186" s="24">
        <v>276.89999999999998</v>
      </c>
      <c r="D186" s="4">
        <f t="shared" si="52"/>
        <v>1.2042261103633916</v>
      </c>
      <c r="E186" s="10">
        <v>15</v>
      </c>
      <c r="F186" s="5">
        <v>1</v>
      </c>
      <c r="G186" s="5">
        <v>10</v>
      </c>
      <c r="H186" s="5"/>
      <c r="I186" s="5"/>
      <c r="J186" s="4">
        <f t="shared" si="75"/>
        <v>0.9041791767554479</v>
      </c>
      <c r="K186" s="5">
        <v>10</v>
      </c>
      <c r="L186" s="5" t="s">
        <v>394</v>
      </c>
      <c r="M186" s="5" t="s">
        <v>394</v>
      </c>
      <c r="N186" s="4" t="s">
        <v>394</v>
      </c>
      <c r="O186" s="5"/>
      <c r="P186" s="5" t="s">
        <v>394</v>
      </c>
      <c r="Q186" s="5" t="s">
        <v>394</v>
      </c>
      <c r="R186" s="5" t="s">
        <v>394</v>
      </c>
      <c r="S186" s="5"/>
      <c r="T186" s="5" t="s">
        <v>394</v>
      </c>
      <c r="U186" s="5" t="s">
        <v>394</v>
      </c>
      <c r="V186" s="5" t="s">
        <v>394</v>
      </c>
      <c r="W186" s="5"/>
      <c r="X186" s="5"/>
      <c r="Y186" s="5"/>
      <c r="Z186" s="4">
        <f t="shared" si="76"/>
        <v>1.2016216216216216</v>
      </c>
      <c r="AA186" s="5">
        <v>15</v>
      </c>
      <c r="AB186" s="31">
        <f t="shared" si="53"/>
        <v>1.1025901549465933</v>
      </c>
      <c r="AC186" s="32">
        <v>1515</v>
      </c>
      <c r="AD186" s="24">
        <f t="shared" si="54"/>
        <v>413.18181818181813</v>
      </c>
      <c r="AE186" s="24">
        <f t="shared" si="74"/>
        <v>455.6</v>
      </c>
      <c r="AF186" s="24">
        <f t="shared" si="55"/>
        <v>42.418181818181893</v>
      </c>
      <c r="AG186" s="24"/>
      <c r="AH186" s="24">
        <v>87.1</v>
      </c>
      <c r="AI186" s="24">
        <v>159.9</v>
      </c>
      <c r="AJ186" s="24">
        <f t="shared" si="56"/>
        <v>208.6</v>
      </c>
      <c r="AK186" s="68"/>
      <c r="AL186" s="40"/>
      <c r="AM186" s="40"/>
      <c r="AN186" s="68"/>
      <c r="AO186" s="68"/>
      <c r="AP186" s="24">
        <f t="shared" si="57"/>
        <v>208.6</v>
      </c>
      <c r="AQ186" s="24"/>
      <c r="AR186" s="24">
        <f t="shared" si="58"/>
        <v>208.6</v>
      </c>
      <c r="AS186" s="76"/>
      <c r="AT186" s="1"/>
      <c r="AU186" s="1"/>
      <c r="AV186" s="38"/>
      <c r="AW186" s="38"/>
      <c r="AZ186" s="1"/>
      <c r="BA186" s="1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9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9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9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9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9"/>
      <c r="GH186" s="8"/>
      <c r="GI186" s="8"/>
    </row>
    <row r="187" spans="1:191" s="2" customFormat="1" ht="17.100000000000001" customHeight="1">
      <c r="A187" s="13" t="s">
        <v>168</v>
      </c>
      <c r="B187" s="24">
        <v>634</v>
      </c>
      <c r="C187" s="24">
        <v>136.9</v>
      </c>
      <c r="D187" s="4">
        <f t="shared" ref="D187:D249" si="77">IF(E187=0,0,IF(B187=0,1,IF(C187&lt;0,0,IF(C187/B187&gt;1.2,IF((C187/B187-1.2)*0.1+1.2&gt;1.3,1.3,(C187/B187-1.2)*0.1+1.2),C187/B187))))</f>
        <v>0.21593059936908518</v>
      </c>
      <c r="E187" s="10">
        <v>15</v>
      </c>
      <c r="F187" s="5">
        <v>1</v>
      </c>
      <c r="G187" s="5">
        <v>10</v>
      </c>
      <c r="H187" s="5"/>
      <c r="I187" s="5"/>
      <c r="J187" s="4">
        <f t="shared" si="75"/>
        <v>0.9041791767554479</v>
      </c>
      <c r="K187" s="5">
        <v>10</v>
      </c>
      <c r="L187" s="5" t="s">
        <v>394</v>
      </c>
      <c r="M187" s="5" t="s">
        <v>394</v>
      </c>
      <c r="N187" s="4" t="s">
        <v>394</v>
      </c>
      <c r="O187" s="5"/>
      <c r="P187" s="5" t="s">
        <v>394</v>
      </c>
      <c r="Q187" s="5" t="s">
        <v>394</v>
      </c>
      <c r="R187" s="5" t="s">
        <v>394</v>
      </c>
      <c r="S187" s="5"/>
      <c r="T187" s="5" t="s">
        <v>394</v>
      </c>
      <c r="U187" s="5" t="s">
        <v>394</v>
      </c>
      <c r="V187" s="5" t="s">
        <v>394</v>
      </c>
      <c r="W187" s="5"/>
      <c r="X187" s="5"/>
      <c r="Y187" s="5"/>
      <c r="Z187" s="4">
        <f t="shared" si="76"/>
        <v>1.2016216216216216</v>
      </c>
      <c r="AA187" s="5">
        <v>15</v>
      </c>
      <c r="AB187" s="31">
        <f t="shared" ref="AB187:AB249" si="78">(D187*E187+F187*G187+J187*K187+Z187*AA187)/(E187+G187+K187+AA187)</f>
        <v>0.80610150164830141</v>
      </c>
      <c r="AC187" s="32">
        <v>1156</v>
      </c>
      <c r="AD187" s="24">
        <f t="shared" ref="AD187:AD249" si="79">AC187/11*3</f>
        <v>315.27272727272725</v>
      </c>
      <c r="AE187" s="24">
        <f t="shared" si="74"/>
        <v>254.1</v>
      </c>
      <c r="AF187" s="24">
        <f t="shared" ref="AF187:AF249" si="80">AE187-AD187</f>
        <v>-61.172727272727258</v>
      </c>
      <c r="AG187" s="24"/>
      <c r="AH187" s="24">
        <v>62.5</v>
      </c>
      <c r="AI187" s="24">
        <v>58.8</v>
      </c>
      <c r="AJ187" s="24">
        <f t="shared" ref="AJ187:AJ249" si="81">ROUND(AE187-SUM(AG187:AI187),1)</f>
        <v>132.80000000000001</v>
      </c>
      <c r="AK187" s="68"/>
      <c r="AL187" s="40"/>
      <c r="AM187" s="40"/>
      <c r="AN187" s="68"/>
      <c r="AO187" s="68"/>
      <c r="AP187" s="24">
        <f t="shared" ref="AP187:AP249" si="82">IF(OR(AJ187&lt;0,AK187="+",AL187="+",AM187="+",AN187="+",AO187="+"),0,AJ187)</f>
        <v>132.80000000000001</v>
      </c>
      <c r="AQ187" s="24"/>
      <c r="AR187" s="24">
        <f t="shared" ref="AR187:AR249" si="83">ROUND(AP187-AQ187,1)</f>
        <v>132.80000000000001</v>
      </c>
      <c r="AS187" s="76"/>
      <c r="AT187" s="1"/>
      <c r="AU187" s="1"/>
      <c r="AV187" s="38"/>
      <c r="AW187" s="38"/>
      <c r="BA187" s="1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9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9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9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9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9"/>
      <c r="GH187" s="8"/>
      <c r="GI187" s="8"/>
    </row>
    <row r="188" spans="1:191" s="2" customFormat="1" ht="17.100000000000001" customHeight="1">
      <c r="A188" s="13" t="s">
        <v>169</v>
      </c>
      <c r="B188" s="24">
        <v>333.5</v>
      </c>
      <c r="C188" s="24">
        <v>289.60000000000002</v>
      </c>
      <c r="D188" s="4">
        <f t="shared" si="77"/>
        <v>0.86836581709145433</v>
      </c>
      <c r="E188" s="10">
        <v>15</v>
      </c>
      <c r="F188" s="5">
        <v>1</v>
      </c>
      <c r="G188" s="5">
        <v>10</v>
      </c>
      <c r="H188" s="5"/>
      <c r="I188" s="5"/>
      <c r="J188" s="4">
        <f t="shared" si="75"/>
        <v>0.9041791767554479</v>
      </c>
      <c r="K188" s="5">
        <v>10</v>
      </c>
      <c r="L188" s="5" t="s">
        <v>394</v>
      </c>
      <c r="M188" s="5" t="s">
        <v>394</v>
      </c>
      <c r="N188" s="4" t="s">
        <v>394</v>
      </c>
      <c r="O188" s="5"/>
      <c r="P188" s="5" t="s">
        <v>394</v>
      </c>
      <c r="Q188" s="5" t="s">
        <v>394</v>
      </c>
      <c r="R188" s="5" t="s">
        <v>394</v>
      </c>
      <c r="S188" s="5"/>
      <c r="T188" s="5" t="s">
        <v>394</v>
      </c>
      <c r="U188" s="5" t="s">
        <v>394</v>
      </c>
      <c r="V188" s="5" t="s">
        <v>394</v>
      </c>
      <c r="W188" s="5"/>
      <c r="X188" s="5"/>
      <c r="Y188" s="5"/>
      <c r="Z188" s="4">
        <f t="shared" si="76"/>
        <v>1.2016216216216216</v>
      </c>
      <c r="AA188" s="5">
        <v>15</v>
      </c>
      <c r="AB188" s="31">
        <f t="shared" si="78"/>
        <v>1.0018320669650123</v>
      </c>
      <c r="AC188" s="32">
        <v>1130</v>
      </c>
      <c r="AD188" s="24">
        <f t="shared" si="79"/>
        <v>308.18181818181819</v>
      </c>
      <c r="AE188" s="24">
        <f t="shared" si="74"/>
        <v>308.7</v>
      </c>
      <c r="AF188" s="24">
        <f t="shared" si="80"/>
        <v>0.51818181818180165</v>
      </c>
      <c r="AG188" s="24"/>
      <c r="AH188" s="24">
        <v>102.5</v>
      </c>
      <c r="AI188" s="24">
        <v>95.4</v>
      </c>
      <c r="AJ188" s="24">
        <f t="shared" si="81"/>
        <v>110.8</v>
      </c>
      <c r="AK188" s="68"/>
      <c r="AL188" s="40"/>
      <c r="AM188" s="40"/>
      <c r="AN188" s="68"/>
      <c r="AO188" s="68"/>
      <c r="AP188" s="24">
        <f t="shared" si="82"/>
        <v>110.8</v>
      </c>
      <c r="AQ188" s="24"/>
      <c r="AR188" s="24">
        <f t="shared" si="83"/>
        <v>110.8</v>
      </c>
      <c r="AS188" s="76"/>
      <c r="AT188" s="1"/>
      <c r="AU188" s="1"/>
      <c r="AV188" s="38"/>
      <c r="AW188" s="3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9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9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9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9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9"/>
      <c r="GH188" s="8"/>
      <c r="GI188" s="8"/>
    </row>
    <row r="189" spans="1:191" s="2" customFormat="1" ht="17.100000000000001" customHeight="1">
      <c r="A189" s="13" t="s">
        <v>170</v>
      </c>
      <c r="B189" s="24">
        <v>543.20000000000005</v>
      </c>
      <c r="C189" s="24">
        <v>380.1</v>
      </c>
      <c r="D189" s="4">
        <f t="shared" si="77"/>
        <v>0.69974226804123707</v>
      </c>
      <c r="E189" s="10">
        <v>15</v>
      </c>
      <c r="F189" s="5">
        <v>1</v>
      </c>
      <c r="G189" s="5">
        <v>10</v>
      </c>
      <c r="H189" s="5"/>
      <c r="I189" s="5"/>
      <c r="J189" s="4">
        <f t="shared" si="75"/>
        <v>0.9041791767554479</v>
      </c>
      <c r="K189" s="5">
        <v>10</v>
      </c>
      <c r="L189" s="5" t="s">
        <v>394</v>
      </c>
      <c r="M189" s="5" t="s">
        <v>394</v>
      </c>
      <c r="N189" s="4" t="s">
        <v>394</v>
      </c>
      <c r="O189" s="5"/>
      <c r="P189" s="5" t="s">
        <v>394</v>
      </c>
      <c r="Q189" s="5" t="s">
        <v>394</v>
      </c>
      <c r="R189" s="5" t="s">
        <v>394</v>
      </c>
      <c r="S189" s="5"/>
      <c r="T189" s="5" t="s">
        <v>394</v>
      </c>
      <c r="U189" s="5" t="s">
        <v>394</v>
      </c>
      <c r="V189" s="5" t="s">
        <v>394</v>
      </c>
      <c r="W189" s="5"/>
      <c r="X189" s="5"/>
      <c r="Y189" s="5"/>
      <c r="Z189" s="4">
        <f t="shared" si="76"/>
        <v>1.2016216216216216</v>
      </c>
      <c r="AA189" s="5">
        <v>15</v>
      </c>
      <c r="AB189" s="31">
        <f t="shared" si="78"/>
        <v>0.95124500224994701</v>
      </c>
      <c r="AC189" s="32">
        <v>1796</v>
      </c>
      <c r="AD189" s="24">
        <f t="shared" si="79"/>
        <v>489.81818181818187</v>
      </c>
      <c r="AE189" s="24">
        <f t="shared" si="74"/>
        <v>465.9</v>
      </c>
      <c r="AF189" s="24">
        <f t="shared" si="80"/>
        <v>-23.918181818181893</v>
      </c>
      <c r="AG189" s="24"/>
      <c r="AH189" s="24">
        <v>97.3</v>
      </c>
      <c r="AI189" s="24">
        <v>183.8</v>
      </c>
      <c r="AJ189" s="24">
        <f t="shared" si="81"/>
        <v>184.8</v>
      </c>
      <c r="AK189" s="68"/>
      <c r="AL189" s="40"/>
      <c r="AM189" s="40"/>
      <c r="AN189" s="68"/>
      <c r="AO189" s="68"/>
      <c r="AP189" s="24">
        <f t="shared" si="82"/>
        <v>184.8</v>
      </c>
      <c r="AQ189" s="24"/>
      <c r="AR189" s="24">
        <f t="shared" si="83"/>
        <v>184.8</v>
      </c>
      <c r="AS189" s="76"/>
      <c r="AT189" s="1"/>
      <c r="AU189" s="1"/>
      <c r="AV189" s="38"/>
      <c r="AW189" s="38"/>
      <c r="AY189" s="1"/>
      <c r="AZ189" s="1"/>
      <c r="BA189" s="1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9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9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9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9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9"/>
      <c r="GH189" s="8"/>
      <c r="GI189" s="8"/>
    </row>
    <row r="190" spans="1:191" s="2" customFormat="1" ht="17.100000000000001" customHeight="1">
      <c r="A190" s="17" t="s">
        <v>171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76"/>
      <c r="AT190" s="1"/>
      <c r="AU190" s="1"/>
      <c r="AV190" s="38"/>
      <c r="AW190" s="38"/>
      <c r="AX190" s="1"/>
      <c r="AY190" s="1"/>
      <c r="AZ190" s="1"/>
      <c r="BA190" s="1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9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9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9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9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9"/>
      <c r="GH190" s="8"/>
      <c r="GI190" s="8"/>
    </row>
    <row r="191" spans="1:191" s="2" customFormat="1" ht="17.850000000000001" customHeight="1">
      <c r="A191" s="13" t="s">
        <v>172</v>
      </c>
      <c r="B191" s="24">
        <v>127.2</v>
      </c>
      <c r="C191" s="24">
        <v>84.6</v>
      </c>
      <c r="D191" s="4">
        <f t="shared" si="77"/>
        <v>0.66509433962264142</v>
      </c>
      <c r="E191" s="10">
        <v>15</v>
      </c>
      <c r="F191" s="5">
        <v>1</v>
      </c>
      <c r="G191" s="5">
        <v>10</v>
      </c>
      <c r="H191" s="5"/>
      <c r="I191" s="5"/>
      <c r="J191" s="4">
        <f>J$43</f>
        <v>0.92514247401944349</v>
      </c>
      <c r="K191" s="5">
        <v>10</v>
      </c>
      <c r="L191" s="5" t="s">
        <v>394</v>
      </c>
      <c r="M191" s="5" t="s">
        <v>394</v>
      </c>
      <c r="N191" s="4" t="s">
        <v>394</v>
      </c>
      <c r="O191" s="5"/>
      <c r="P191" s="5" t="s">
        <v>394</v>
      </c>
      <c r="Q191" s="5" t="s">
        <v>394</v>
      </c>
      <c r="R191" s="5" t="s">
        <v>394</v>
      </c>
      <c r="S191" s="5"/>
      <c r="T191" s="5" t="s">
        <v>394</v>
      </c>
      <c r="U191" s="5" t="s">
        <v>394</v>
      </c>
      <c r="V191" s="5" t="s">
        <v>394</v>
      </c>
      <c r="W191" s="5"/>
      <c r="X191" s="5"/>
      <c r="Y191" s="5"/>
      <c r="Z191" s="4">
        <f>Z$43</f>
        <v>1.3</v>
      </c>
      <c r="AA191" s="5">
        <v>15</v>
      </c>
      <c r="AB191" s="31">
        <f t="shared" si="78"/>
        <v>0.97455679669068118</v>
      </c>
      <c r="AC191" s="32">
        <v>1464</v>
      </c>
      <c r="AD191" s="24">
        <f t="shared" si="79"/>
        <v>399.27272727272725</v>
      </c>
      <c r="AE191" s="24">
        <f t="shared" ref="AE191:AE203" si="84">ROUND(AB191*AD191,1)</f>
        <v>389.1</v>
      </c>
      <c r="AF191" s="24">
        <f t="shared" si="80"/>
        <v>-10.172727272727229</v>
      </c>
      <c r="AG191" s="24"/>
      <c r="AH191" s="24">
        <v>150.30000000000001</v>
      </c>
      <c r="AI191" s="24">
        <v>100.1</v>
      </c>
      <c r="AJ191" s="24">
        <f t="shared" si="81"/>
        <v>138.69999999999999</v>
      </c>
      <c r="AK191" s="68"/>
      <c r="AL191" s="40"/>
      <c r="AM191" s="40"/>
      <c r="AN191" s="68"/>
      <c r="AO191" s="68"/>
      <c r="AP191" s="24">
        <f t="shared" si="82"/>
        <v>138.69999999999999</v>
      </c>
      <c r="AQ191" s="24"/>
      <c r="AR191" s="24">
        <f t="shared" si="83"/>
        <v>138.69999999999999</v>
      </c>
      <c r="AS191" s="76"/>
      <c r="AT191" s="1"/>
      <c r="AU191" s="1"/>
      <c r="AV191" s="38"/>
      <c r="AW191" s="38"/>
      <c r="AX191" s="1"/>
      <c r="AY191" s="1"/>
      <c r="AZ191" s="1"/>
      <c r="BA191" s="1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9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9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9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9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9"/>
      <c r="GH191" s="8"/>
      <c r="GI191" s="8"/>
    </row>
    <row r="192" spans="1:191" s="2" customFormat="1" ht="17.100000000000001" customHeight="1">
      <c r="A192" s="13" t="s">
        <v>173</v>
      </c>
      <c r="B192" s="24">
        <v>666.3</v>
      </c>
      <c r="C192" s="24">
        <v>414.2</v>
      </c>
      <c r="D192" s="4">
        <f t="shared" si="77"/>
        <v>0.62164190304667566</v>
      </c>
      <c r="E192" s="10">
        <v>15</v>
      </c>
      <c r="F192" s="5">
        <v>1</v>
      </c>
      <c r="G192" s="5">
        <v>10</v>
      </c>
      <c r="H192" s="5"/>
      <c r="I192" s="5"/>
      <c r="J192" s="4">
        <f t="shared" ref="J192:J203" si="85">J$43</f>
        <v>0.92514247401944349</v>
      </c>
      <c r="K192" s="5">
        <v>10</v>
      </c>
      <c r="L192" s="5" t="s">
        <v>394</v>
      </c>
      <c r="M192" s="5" t="s">
        <v>394</v>
      </c>
      <c r="N192" s="4" t="s">
        <v>394</v>
      </c>
      <c r="O192" s="5"/>
      <c r="P192" s="5" t="s">
        <v>394</v>
      </c>
      <c r="Q192" s="5" t="s">
        <v>394</v>
      </c>
      <c r="R192" s="5" t="s">
        <v>394</v>
      </c>
      <c r="S192" s="5"/>
      <c r="T192" s="5" t="s">
        <v>394</v>
      </c>
      <c r="U192" s="5" t="s">
        <v>394</v>
      </c>
      <c r="V192" s="5" t="s">
        <v>394</v>
      </c>
      <c r="W192" s="5"/>
      <c r="X192" s="5"/>
      <c r="Y192" s="5"/>
      <c r="Z192" s="4">
        <f t="shared" ref="Z192:Z203" si="86">Z$43</f>
        <v>1.3</v>
      </c>
      <c r="AA192" s="5">
        <v>15</v>
      </c>
      <c r="AB192" s="31">
        <f t="shared" si="78"/>
        <v>0.96152106571789142</v>
      </c>
      <c r="AC192" s="32">
        <v>935</v>
      </c>
      <c r="AD192" s="24">
        <f t="shared" si="79"/>
        <v>255</v>
      </c>
      <c r="AE192" s="24">
        <f t="shared" si="84"/>
        <v>245.2</v>
      </c>
      <c r="AF192" s="24">
        <f t="shared" si="80"/>
        <v>-9.8000000000000114</v>
      </c>
      <c r="AG192" s="24"/>
      <c r="AH192" s="24">
        <v>51.3</v>
      </c>
      <c r="AI192" s="24">
        <v>43.1</v>
      </c>
      <c r="AJ192" s="24">
        <f t="shared" si="81"/>
        <v>150.80000000000001</v>
      </c>
      <c r="AK192" s="68"/>
      <c r="AL192" s="40"/>
      <c r="AM192" s="40"/>
      <c r="AN192" s="68"/>
      <c r="AO192" s="68"/>
      <c r="AP192" s="24">
        <f t="shared" si="82"/>
        <v>150.80000000000001</v>
      </c>
      <c r="AQ192" s="24"/>
      <c r="AR192" s="24">
        <f t="shared" si="83"/>
        <v>150.80000000000001</v>
      </c>
      <c r="AS192" s="76"/>
      <c r="AT192" s="1"/>
      <c r="AU192" s="1"/>
      <c r="AV192" s="38"/>
      <c r="AW192" s="38"/>
      <c r="AX192" s="1"/>
      <c r="AY192" s="1"/>
      <c r="AZ192" s="1"/>
      <c r="BA192" s="1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9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9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9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9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9"/>
      <c r="GH192" s="8"/>
      <c r="GI192" s="8"/>
    </row>
    <row r="193" spans="1:191" s="2" customFormat="1" ht="17.100000000000001" customHeight="1">
      <c r="A193" s="13" t="s">
        <v>174</v>
      </c>
      <c r="B193" s="24">
        <v>440.7</v>
      </c>
      <c r="C193" s="24">
        <v>305</v>
      </c>
      <c r="D193" s="4">
        <f t="shared" si="77"/>
        <v>0.6920807805763558</v>
      </c>
      <c r="E193" s="10">
        <v>15</v>
      </c>
      <c r="F193" s="5">
        <v>1</v>
      </c>
      <c r="G193" s="5">
        <v>10</v>
      </c>
      <c r="H193" s="5"/>
      <c r="I193" s="5"/>
      <c r="J193" s="4">
        <f t="shared" si="85"/>
        <v>0.92514247401944349</v>
      </c>
      <c r="K193" s="5">
        <v>10</v>
      </c>
      <c r="L193" s="5" t="s">
        <v>394</v>
      </c>
      <c r="M193" s="5" t="s">
        <v>394</v>
      </c>
      <c r="N193" s="4" t="s">
        <v>394</v>
      </c>
      <c r="O193" s="5"/>
      <c r="P193" s="5" t="s">
        <v>394</v>
      </c>
      <c r="Q193" s="5" t="s">
        <v>394</v>
      </c>
      <c r="R193" s="5" t="s">
        <v>394</v>
      </c>
      <c r="S193" s="5"/>
      <c r="T193" s="5" t="s">
        <v>394</v>
      </c>
      <c r="U193" s="5" t="s">
        <v>394</v>
      </c>
      <c r="V193" s="5" t="s">
        <v>394</v>
      </c>
      <c r="W193" s="5"/>
      <c r="X193" s="5"/>
      <c r="Y193" s="5"/>
      <c r="Z193" s="4">
        <f t="shared" si="86"/>
        <v>1.3</v>
      </c>
      <c r="AA193" s="5">
        <v>15</v>
      </c>
      <c r="AB193" s="31">
        <f t="shared" si="78"/>
        <v>0.98265272897679556</v>
      </c>
      <c r="AC193" s="32">
        <v>1842</v>
      </c>
      <c r="AD193" s="24">
        <f t="shared" si="79"/>
        <v>502.36363636363637</v>
      </c>
      <c r="AE193" s="24">
        <f t="shared" si="84"/>
        <v>493.6</v>
      </c>
      <c r="AF193" s="24">
        <f t="shared" si="80"/>
        <v>-8.7636363636363512</v>
      </c>
      <c r="AG193" s="24"/>
      <c r="AH193" s="24">
        <v>67</v>
      </c>
      <c r="AI193" s="24">
        <v>179.2</v>
      </c>
      <c r="AJ193" s="24">
        <f t="shared" si="81"/>
        <v>247.4</v>
      </c>
      <c r="AK193" s="68"/>
      <c r="AL193" s="40"/>
      <c r="AM193" s="40"/>
      <c r="AN193" s="68"/>
      <c r="AO193" s="68"/>
      <c r="AP193" s="24">
        <f t="shared" si="82"/>
        <v>247.4</v>
      </c>
      <c r="AQ193" s="24"/>
      <c r="AR193" s="24">
        <f t="shared" si="83"/>
        <v>247.4</v>
      </c>
      <c r="AS193" s="76"/>
      <c r="AT193" s="1"/>
      <c r="AU193" s="1"/>
      <c r="AV193" s="38"/>
      <c r="AW193" s="38"/>
      <c r="AZ193" s="3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9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9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9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9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9"/>
      <c r="GH193" s="8"/>
      <c r="GI193" s="8"/>
    </row>
    <row r="194" spans="1:191" s="2" customFormat="1" ht="17.100000000000001" customHeight="1">
      <c r="A194" s="13" t="s">
        <v>175</v>
      </c>
      <c r="B194" s="24">
        <v>4799.5</v>
      </c>
      <c r="C194" s="24">
        <v>4803.2</v>
      </c>
      <c r="D194" s="4">
        <f t="shared" si="77"/>
        <v>1.0007709136368372</v>
      </c>
      <c r="E194" s="10">
        <v>15</v>
      </c>
      <c r="F194" s="5">
        <v>1</v>
      </c>
      <c r="G194" s="5">
        <v>10</v>
      </c>
      <c r="H194" s="5"/>
      <c r="I194" s="5"/>
      <c r="J194" s="4">
        <f t="shared" si="85"/>
        <v>0.92514247401944349</v>
      </c>
      <c r="K194" s="5">
        <v>10</v>
      </c>
      <c r="L194" s="5" t="s">
        <v>394</v>
      </c>
      <c r="M194" s="5" t="s">
        <v>394</v>
      </c>
      <c r="N194" s="4" t="s">
        <v>394</v>
      </c>
      <c r="O194" s="5"/>
      <c r="P194" s="5" t="s">
        <v>394</v>
      </c>
      <c r="Q194" s="5" t="s">
        <v>394</v>
      </c>
      <c r="R194" s="5" t="s">
        <v>394</v>
      </c>
      <c r="S194" s="5"/>
      <c r="T194" s="5" t="s">
        <v>394</v>
      </c>
      <c r="U194" s="5" t="s">
        <v>394</v>
      </c>
      <c r="V194" s="5" t="s">
        <v>394</v>
      </c>
      <c r="W194" s="5"/>
      <c r="X194" s="5"/>
      <c r="Y194" s="5"/>
      <c r="Z194" s="4">
        <f t="shared" si="86"/>
        <v>1.3</v>
      </c>
      <c r="AA194" s="5">
        <v>15</v>
      </c>
      <c r="AB194" s="31">
        <f t="shared" si="78"/>
        <v>1.0752597688949399</v>
      </c>
      <c r="AC194" s="32">
        <v>54</v>
      </c>
      <c r="AD194" s="24">
        <f t="shared" si="79"/>
        <v>14.727272727272727</v>
      </c>
      <c r="AE194" s="24">
        <f t="shared" si="84"/>
        <v>15.8</v>
      </c>
      <c r="AF194" s="24">
        <f t="shared" si="80"/>
        <v>1.0727272727272741</v>
      </c>
      <c r="AG194" s="24"/>
      <c r="AH194" s="24">
        <v>3.6</v>
      </c>
      <c r="AI194" s="24">
        <v>5.5</v>
      </c>
      <c r="AJ194" s="24">
        <f t="shared" si="81"/>
        <v>6.7</v>
      </c>
      <c r="AK194" s="68"/>
      <c r="AL194" s="40"/>
      <c r="AM194" s="40"/>
      <c r="AN194" s="68"/>
      <c r="AO194" s="68"/>
      <c r="AP194" s="24">
        <f t="shared" si="82"/>
        <v>6.7</v>
      </c>
      <c r="AQ194" s="24"/>
      <c r="AR194" s="24">
        <f t="shared" si="83"/>
        <v>6.7</v>
      </c>
      <c r="AS194" s="76"/>
      <c r="AT194" s="1"/>
      <c r="AU194" s="1"/>
      <c r="AV194" s="38"/>
      <c r="AW194" s="38"/>
      <c r="AY194" s="1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9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9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9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9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9"/>
      <c r="GH194" s="8"/>
      <c r="GI194" s="8"/>
    </row>
    <row r="195" spans="1:191" s="2" customFormat="1" ht="17.100000000000001" customHeight="1">
      <c r="A195" s="13" t="s">
        <v>176</v>
      </c>
      <c r="B195" s="24">
        <v>394.5</v>
      </c>
      <c r="C195" s="24">
        <v>369.2</v>
      </c>
      <c r="D195" s="4">
        <f t="shared" si="77"/>
        <v>0.93586818757921419</v>
      </c>
      <c r="E195" s="10">
        <v>15</v>
      </c>
      <c r="F195" s="5">
        <v>1</v>
      </c>
      <c r="G195" s="5">
        <v>10</v>
      </c>
      <c r="H195" s="5"/>
      <c r="I195" s="5"/>
      <c r="J195" s="4">
        <f t="shared" si="85"/>
        <v>0.92514247401944349</v>
      </c>
      <c r="K195" s="5">
        <v>10</v>
      </c>
      <c r="L195" s="5" t="s">
        <v>394</v>
      </c>
      <c r="M195" s="5" t="s">
        <v>394</v>
      </c>
      <c r="N195" s="4" t="s">
        <v>394</v>
      </c>
      <c r="O195" s="5"/>
      <c r="P195" s="5" t="s">
        <v>394</v>
      </c>
      <c r="Q195" s="5" t="s">
        <v>394</v>
      </c>
      <c r="R195" s="5" t="s">
        <v>394</v>
      </c>
      <c r="S195" s="5"/>
      <c r="T195" s="5" t="s">
        <v>394</v>
      </c>
      <c r="U195" s="5" t="s">
        <v>394</v>
      </c>
      <c r="V195" s="5" t="s">
        <v>394</v>
      </c>
      <c r="W195" s="5"/>
      <c r="X195" s="5"/>
      <c r="Y195" s="5"/>
      <c r="Z195" s="4">
        <f t="shared" si="86"/>
        <v>1.3</v>
      </c>
      <c r="AA195" s="5">
        <v>15</v>
      </c>
      <c r="AB195" s="31">
        <f t="shared" si="78"/>
        <v>1.055788951077653</v>
      </c>
      <c r="AC195" s="32">
        <v>1368</v>
      </c>
      <c r="AD195" s="24">
        <f t="shared" si="79"/>
        <v>373.09090909090907</v>
      </c>
      <c r="AE195" s="24">
        <f t="shared" si="84"/>
        <v>393.9</v>
      </c>
      <c r="AF195" s="24">
        <f t="shared" si="80"/>
        <v>20.809090909090912</v>
      </c>
      <c r="AG195" s="24"/>
      <c r="AH195" s="24">
        <v>102.2</v>
      </c>
      <c r="AI195" s="24">
        <v>113.8</v>
      </c>
      <c r="AJ195" s="24">
        <f t="shared" si="81"/>
        <v>177.9</v>
      </c>
      <c r="AK195" s="68"/>
      <c r="AL195" s="40"/>
      <c r="AM195" s="40"/>
      <c r="AN195" s="68"/>
      <c r="AO195" s="68"/>
      <c r="AP195" s="24">
        <f t="shared" si="82"/>
        <v>177.9</v>
      </c>
      <c r="AQ195" s="24"/>
      <c r="AR195" s="24">
        <f t="shared" si="83"/>
        <v>177.9</v>
      </c>
      <c r="AS195" s="76"/>
      <c r="AT195" s="1"/>
      <c r="AU195" s="1"/>
      <c r="AV195" s="38"/>
      <c r="AW195" s="38"/>
      <c r="AZ195" s="1"/>
      <c r="BA195" s="1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9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9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9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9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9"/>
      <c r="GH195" s="8"/>
      <c r="GI195" s="8"/>
    </row>
    <row r="196" spans="1:191" s="2" customFormat="1" ht="17.100000000000001" customHeight="1">
      <c r="A196" s="13" t="s">
        <v>177</v>
      </c>
      <c r="B196" s="24">
        <v>693.3</v>
      </c>
      <c r="C196" s="24">
        <v>538</v>
      </c>
      <c r="D196" s="4">
        <f t="shared" si="77"/>
        <v>0.77599884609837011</v>
      </c>
      <c r="E196" s="10">
        <v>15</v>
      </c>
      <c r="F196" s="5">
        <v>1</v>
      </c>
      <c r="G196" s="5">
        <v>10</v>
      </c>
      <c r="H196" s="5"/>
      <c r="I196" s="5"/>
      <c r="J196" s="4">
        <f t="shared" si="85"/>
        <v>0.92514247401944349</v>
      </c>
      <c r="K196" s="5">
        <v>10</v>
      </c>
      <c r="L196" s="5" t="s">
        <v>394</v>
      </c>
      <c r="M196" s="5" t="s">
        <v>394</v>
      </c>
      <c r="N196" s="4" t="s">
        <v>394</v>
      </c>
      <c r="O196" s="5"/>
      <c r="P196" s="5" t="s">
        <v>394</v>
      </c>
      <c r="Q196" s="5" t="s">
        <v>394</v>
      </c>
      <c r="R196" s="5" t="s">
        <v>394</v>
      </c>
      <c r="S196" s="5"/>
      <c r="T196" s="5" t="s">
        <v>394</v>
      </c>
      <c r="U196" s="5" t="s">
        <v>394</v>
      </c>
      <c r="V196" s="5" t="s">
        <v>394</v>
      </c>
      <c r="W196" s="5"/>
      <c r="X196" s="5"/>
      <c r="Y196" s="5"/>
      <c r="Z196" s="4">
        <f t="shared" si="86"/>
        <v>1.3</v>
      </c>
      <c r="AA196" s="5">
        <v>15</v>
      </c>
      <c r="AB196" s="31">
        <f t="shared" si="78"/>
        <v>1.0078281486333998</v>
      </c>
      <c r="AC196" s="32">
        <v>1246</v>
      </c>
      <c r="AD196" s="24">
        <f t="shared" si="79"/>
        <v>339.81818181818181</v>
      </c>
      <c r="AE196" s="24">
        <f t="shared" si="84"/>
        <v>342.5</v>
      </c>
      <c r="AF196" s="24">
        <f t="shared" si="80"/>
        <v>2.681818181818187</v>
      </c>
      <c r="AG196" s="24"/>
      <c r="AH196" s="24">
        <v>133.1</v>
      </c>
      <c r="AI196" s="24">
        <v>63.2</v>
      </c>
      <c r="AJ196" s="24">
        <f t="shared" si="81"/>
        <v>146.19999999999999</v>
      </c>
      <c r="AK196" s="68"/>
      <c r="AL196" s="40"/>
      <c r="AM196" s="40"/>
      <c r="AN196" s="68"/>
      <c r="AO196" s="68"/>
      <c r="AP196" s="24">
        <f t="shared" si="82"/>
        <v>146.19999999999999</v>
      </c>
      <c r="AQ196" s="24"/>
      <c r="AR196" s="24">
        <f t="shared" si="83"/>
        <v>146.19999999999999</v>
      </c>
      <c r="AS196" s="76"/>
      <c r="AT196" s="1"/>
      <c r="AU196" s="1"/>
      <c r="AV196" s="38"/>
      <c r="AW196" s="38"/>
      <c r="AZ196" s="1"/>
      <c r="BA196" s="1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9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9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9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9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9"/>
      <c r="GH196" s="8"/>
      <c r="GI196" s="8"/>
    </row>
    <row r="197" spans="1:191" s="2" customFormat="1" ht="17.100000000000001" customHeight="1">
      <c r="A197" s="13" t="s">
        <v>178</v>
      </c>
      <c r="B197" s="24">
        <v>833.4</v>
      </c>
      <c r="C197" s="24">
        <v>310.7</v>
      </c>
      <c r="D197" s="4">
        <f t="shared" si="77"/>
        <v>0.37281017518598514</v>
      </c>
      <c r="E197" s="10">
        <v>15</v>
      </c>
      <c r="F197" s="5">
        <v>1</v>
      </c>
      <c r="G197" s="5">
        <v>10</v>
      </c>
      <c r="H197" s="5"/>
      <c r="I197" s="5"/>
      <c r="J197" s="4">
        <f t="shared" si="85"/>
        <v>0.92514247401944349</v>
      </c>
      <c r="K197" s="5">
        <v>10</v>
      </c>
      <c r="L197" s="5" t="s">
        <v>394</v>
      </c>
      <c r="M197" s="5" t="s">
        <v>394</v>
      </c>
      <c r="N197" s="4" t="s">
        <v>394</v>
      </c>
      <c r="O197" s="5"/>
      <c r="P197" s="5" t="s">
        <v>394</v>
      </c>
      <c r="Q197" s="5" t="s">
        <v>394</v>
      </c>
      <c r="R197" s="5" t="s">
        <v>394</v>
      </c>
      <c r="S197" s="5"/>
      <c r="T197" s="5" t="s">
        <v>394</v>
      </c>
      <c r="U197" s="5" t="s">
        <v>394</v>
      </c>
      <c r="V197" s="5" t="s">
        <v>394</v>
      </c>
      <c r="W197" s="5"/>
      <c r="X197" s="5"/>
      <c r="Y197" s="5"/>
      <c r="Z197" s="4">
        <f t="shared" si="86"/>
        <v>1.3</v>
      </c>
      <c r="AA197" s="5">
        <v>15</v>
      </c>
      <c r="AB197" s="31">
        <f t="shared" si="78"/>
        <v>0.88687154735968421</v>
      </c>
      <c r="AC197" s="32">
        <v>1548</v>
      </c>
      <c r="AD197" s="24">
        <f t="shared" si="79"/>
        <v>422.18181818181813</v>
      </c>
      <c r="AE197" s="24">
        <f t="shared" si="84"/>
        <v>374.4</v>
      </c>
      <c r="AF197" s="24">
        <f t="shared" si="80"/>
        <v>-47.781818181818153</v>
      </c>
      <c r="AG197" s="24"/>
      <c r="AH197" s="24">
        <v>131.6</v>
      </c>
      <c r="AI197" s="24">
        <v>73.599999999999994</v>
      </c>
      <c r="AJ197" s="24">
        <f t="shared" si="81"/>
        <v>169.2</v>
      </c>
      <c r="AK197" s="68"/>
      <c r="AL197" s="40"/>
      <c r="AM197" s="40"/>
      <c r="AN197" s="68"/>
      <c r="AO197" s="68"/>
      <c r="AP197" s="24">
        <f t="shared" si="82"/>
        <v>169.2</v>
      </c>
      <c r="AQ197" s="24"/>
      <c r="AR197" s="24">
        <f t="shared" si="83"/>
        <v>169.2</v>
      </c>
      <c r="AS197" s="76"/>
      <c r="AT197" s="1"/>
      <c r="AU197" s="1"/>
      <c r="AV197" s="38"/>
      <c r="AW197" s="3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9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9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9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9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9"/>
      <c r="GH197" s="8"/>
      <c r="GI197" s="8"/>
    </row>
    <row r="198" spans="1:191" s="2" customFormat="1" ht="17.100000000000001" customHeight="1">
      <c r="A198" s="13" t="s">
        <v>179</v>
      </c>
      <c r="B198" s="24">
        <v>656.3</v>
      </c>
      <c r="C198" s="24">
        <v>786.5</v>
      </c>
      <c r="D198" s="4">
        <f t="shared" si="77"/>
        <v>1.1983848849611458</v>
      </c>
      <c r="E198" s="10">
        <v>15</v>
      </c>
      <c r="F198" s="5">
        <v>1</v>
      </c>
      <c r="G198" s="5">
        <v>10</v>
      </c>
      <c r="H198" s="5"/>
      <c r="I198" s="5"/>
      <c r="J198" s="4">
        <f t="shared" si="85"/>
        <v>0.92514247401944349</v>
      </c>
      <c r="K198" s="5">
        <v>10</v>
      </c>
      <c r="L198" s="5" t="s">
        <v>394</v>
      </c>
      <c r="M198" s="5" t="s">
        <v>394</v>
      </c>
      <c r="N198" s="4" t="s">
        <v>394</v>
      </c>
      <c r="O198" s="5"/>
      <c r="P198" s="5" t="s">
        <v>394</v>
      </c>
      <c r="Q198" s="5" t="s">
        <v>394</v>
      </c>
      <c r="R198" s="5" t="s">
        <v>394</v>
      </c>
      <c r="S198" s="5"/>
      <c r="T198" s="5" t="s">
        <v>394</v>
      </c>
      <c r="U198" s="5" t="s">
        <v>394</v>
      </c>
      <c r="V198" s="5" t="s">
        <v>394</v>
      </c>
      <c r="W198" s="5"/>
      <c r="X198" s="5"/>
      <c r="Y198" s="5"/>
      <c r="Z198" s="4">
        <f t="shared" si="86"/>
        <v>1.3</v>
      </c>
      <c r="AA198" s="5">
        <v>15</v>
      </c>
      <c r="AB198" s="31">
        <f t="shared" si="78"/>
        <v>1.1345439602922325</v>
      </c>
      <c r="AC198" s="32">
        <v>1094</v>
      </c>
      <c r="AD198" s="24">
        <f t="shared" si="79"/>
        <v>298.36363636363637</v>
      </c>
      <c r="AE198" s="24">
        <f t="shared" si="84"/>
        <v>338.5</v>
      </c>
      <c r="AF198" s="24">
        <f t="shared" si="80"/>
        <v>40.136363636363626</v>
      </c>
      <c r="AG198" s="24"/>
      <c r="AH198" s="24">
        <v>117.4</v>
      </c>
      <c r="AI198" s="24">
        <v>90</v>
      </c>
      <c r="AJ198" s="24">
        <f t="shared" si="81"/>
        <v>131.1</v>
      </c>
      <c r="AK198" s="68"/>
      <c r="AL198" s="40"/>
      <c r="AM198" s="40"/>
      <c r="AN198" s="68"/>
      <c r="AO198" s="68"/>
      <c r="AP198" s="24">
        <f t="shared" si="82"/>
        <v>131.1</v>
      </c>
      <c r="AQ198" s="24"/>
      <c r="AR198" s="24">
        <f t="shared" si="83"/>
        <v>131.1</v>
      </c>
      <c r="AS198" s="76"/>
      <c r="AT198" s="1"/>
      <c r="AU198" s="1"/>
      <c r="AV198" s="38"/>
      <c r="AW198" s="38"/>
      <c r="AX198" s="1"/>
      <c r="AY198" s="1"/>
      <c r="AZ198" s="1"/>
      <c r="BA198" s="1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9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9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9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9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9"/>
      <c r="GH198" s="8"/>
      <c r="GI198" s="8"/>
    </row>
    <row r="199" spans="1:191" s="2" customFormat="1" ht="17.100000000000001" customHeight="1">
      <c r="A199" s="13" t="s">
        <v>180</v>
      </c>
      <c r="B199" s="24">
        <v>593</v>
      </c>
      <c r="C199" s="24">
        <v>265.89999999999998</v>
      </c>
      <c r="D199" s="4">
        <f t="shared" si="77"/>
        <v>0.44839797639123097</v>
      </c>
      <c r="E199" s="10">
        <v>15</v>
      </c>
      <c r="F199" s="5">
        <v>1</v>
      </c>
      <c r="G199" s="5">
        <v>10</v>
      </c>
      <c r="H199" s="5"/>
      <c r="I199" s="5"/>
      <c r="J199" s="4">
        <f t="shared" si="85"/>
        <v>0.92514247401944349</v>
      </c>
      <c r="K199" s="5">
        <v>10</v>
      </c>
      <c r="L199" s="5" t="s">
        <v>394</v>
      </c>
      <c r="M199" s="5" t="s">
        <v>394</v>
      </c>
      <c r="N199" s="4" t="s">
        <v>394</v>
      </c>
      <c r="O199" s="5"/>
      <c r="P199" s="5" t="s">
        <v>394</v>
      </c>
      <c r="Q199" s="5" t="s">
        <v>394</v>
      </c>
      <c r="R199" s="5" t="s">
        <v>394</v>
      </c>
      <c r="S199" s="5"/>
      <c r="T199" s="5" t="s">
        <v>394</v>
      </c>
      <c r="U199" s="5" t="s">
        <v>394</v>
      </c>
      <c r="V199" s="5" t="s">
        <v>394</v>
      </c>
      <c r="W199" s="5"/>
      <c r="X199" s="5"/>
      <c r="Y199" s="5"/>
      <c r="Z199" s="4">
        <f t="shared" si="86"/>
        <v>1.3</v>
      </c>
      <c r="AA199" s="5">
        <v>15</v>
      </c>
      <c r="AB199" s="31">
        <f t="shared" si="78"/>
        <v>0.90954788772125794</v>
      </c>
      <c r="AC199" s="32">
        <v>1797</v>
      </c>
      <c r="AD199" s="24">
        <f t="shared" si="79"/>
        <v>490.09090909090912</v>
      </c>
      <c r="AE199" s="24">
        <f t="shared" si="84"/>
        <v>445.8</v>
      </c>
      <c r="AF199" s="24">
        <f t="shared" si="80"/>
        <v>-44.290909090909111</v>
      </c>
      <c r="AG199" s="24"/>
      <c r="AH199" s="24">
        <v>114.8</v>
      </c>
      <c r="AI199" s="24">
        <v>108.3</v>
      </c>
      <c r="AJ199" s="24">
        <f t="shared" si="81"/>
        <v>222.7</v>
      </c>
      <c r="AK199" s="68"/>
      <c r="AL199" s="40"/>
      <c r="AM199" s="40"/>
      <c r="AN199" s="68"/>
      <c r="AO199" s="68"/>
      <c r="AP199" s="24">
        <f t="shared" si="82"/>
        <v>222.7</v>
      </c>
      <c r="AQ199" s="24"/>
      <c r="AR199" s="24">
        <f t="shared" si="83"/>
        <v>222.7</v>
      </c>
      <c r="AS199" s="76"/>
      <c r="AT199" s="1"/>
      <c r="AU199" s="1"/>
      <c r="AV199" s="38"/>
      <c r="AW199" s="38"/>
      <c r="AX199" s="1"/>
      <c r="AY199" s="1"/>
      <c r="AZ199" s="1"/>
      <c r="BA199" s="1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9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9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9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9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9"/>
      <c r="GH199" s="8"/>
      <c r="GI199" s="8"/>
    </row>
    <row r="200" spans="1:191" s="2" customFormat="1" ht="17.100000000000001" customHeight="1">
      <c r="A200" s="13" t="s">
        <v>181</v>
      </c>
      <c r="B200" s="24">
        <v>211.7</v>
      </c>
      <c r="C200" s="24">
        <v>237.5</v>
      </c>
      <c r="D200" s="4">
        <f t="shared" si="77"/>
        <v>1.1218705715635333</v>
      </c>
      <c r="E200" s="10">
        <v>15</v>
      </c>
      <c r="F200" s="5">
        <v>1</v>
      </c>
      <c r="G200" s="5">
        <v>10</v>
      </c>
      <c r="H200" s="5"/>
      <c r="I200" s="5"/>
      <c r="J200" s="4">
        <f t="shared" si="85"/>
        <v>0.92514247401944349</v>
      </c>
      <c r="K200" s="5">
        <v>10</v>
      </c>
      <c r="L200" s="5" t="s">
        <v>394</v>
      </c>
      <c r="M200" s="5" t="s">
        <v>394</v>
      </c>
      <c r="N200" s="4" t="s">
        <v>394</v>
      </c>
      <c r="O200" s="5"/>
      <c r="P200" s="5" t="s">
        <v>394</v>
      </c>
      <c r="Q200" s="5" t="s">
        <v>394</v>
      </c>
      <c r="R200" s="5" t="s">
        <v>394</v>
      </c>
      <c r="S200" s="5"/>
      <c r="T200" s="5" t="s">
        <v>394</v>
      </c>
      <c r="U200" s="5" t="s">
        <v>394</v>
      </c>
      <c r="V200" s="5" t="s">
        <v>394</v>
      </c>
      <c r="W200" s="5"/>
      <c r="X200" s="5"/>
      <c r="Y200" s="5"/>
      <c r="Z200" s="4">
        <f t="shared" si="86"/>
        <v>1.3</v>
      </c>
      <c r="AA200" s="5">
        <v>15</v>
      </c>
      <c r="AB200" s="31">
        <f t="shared" si="78"/>
        <v>1.1115896662729488</v>
      </c>
      <c r="AC200" s="32">
        <v>1528</v>
      </c>
      <c r="AD200" s="24">
        <f t="shared" si="79"/>
        <v>416.72727272727275</v>
      </c>
      <c r="AE200" s="24">
        <f t="shared" si="84"/>
        <v>463.2</v>
      </c>
      <c r="AF200" s="24">
        <f t="shared" si="80"/>
        <v>46.472727272727241</v>
      </c>
      <c r="AG200" s="24"/>
      <c r="AH200" s="24">
        <v>100.5</v>
      </c>
      <c r="AI200" s="24">
        <v>88.3</v>
      </c>
      <c r="AJ200" s="24">
        <f t="shared" si="81"/>
        <v>274.39999999999998</v>
      </c>
      <c r="AK200" s="68"/>
      <c r="AL200" s="40"/>
      <c r="AM200" s="40"/>
      <c r="AN200" s="68"/>
      <c r="AO200" s="68"/>
      <c r="AP200" s="24">
        <f t="shared" si="82"/>
        <v>274.39999999999998</v>
      </c>
      <c r="AQ200" s="24"/>
      <c r="AR200" s="24">
        <f t="shared" si="83"/>
        <v>274.39999999999998</v>
      </c>
      <c r="AS200" s="76"/>
      <c r="AT200" s="1"/>
      <c r="AU200" s="1"/>
      <c r="AV200" s="38"/>
      <c r="AW200" s="38"/>
      <c r="AX200" s="1"/>
      <c r="AY200" s="1"/>
      <c r="AZ200" s="1"/>
      <c r="BA200" s="1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9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9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9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9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9"/>
      <c r="GH200" s="8"/>
      <c r="GI200" s="8"/>
    </row>
    <row r="201" spans="1:191" s="2" customFormat="1" ht="17.100000000000001" customHeight="1">
      <c r="A201" s="13" t="s">
        <v>182</v>
      </c>
      <c r="B201" s="24">
        <v>135</v>
      </c>
      <c r="C201" s="24">
        <v>55</v>
      </c>
      <c r="D201" s="4">
        <f t="shared" si="77"/>
        <v>0.40740740740740738</v>
      </c>
      <c r="E201" s="10">
        <v>15</v>
      </c>
      <c r="F201" s="5">
        <v>1</v>
      </c>
      <c r="G201" s="5">
        <v>10</v>
      </c>
      <c r="H201" s="5"/>
      <c r="I201" s="5"/>
      <c r="J201" s="4">
        <f t="shared" si="85"/>
        <v>0.92514247401944349</v>
      </c>
      <c r="K201" s="5">
        <v>10</v>
      </c>
      <c r="L201" s="5" t="s">
        <v>394</v>
      </c>
      <c r="M201" s="5" t="s">
        <v>394</v>
      </c>
      <c r="N201" s="4" t="s">
        <v>394</v>
      </c>
      <c r="O201" s="5"/>
      <c r="P201" s="5" t="s">
        <v>394</v>
      </c>
      <c r="Q201" s="5" t="s">
        <v>394</v>
      </c>
      <c r="R201" s="5" t="s">
        <v>394</v>
      </c>
      <c r="S201" s="5"/>
      <c r="T201" s="5" t="s">
        <v>394</v>
      </c>
      <c r="U201" s="5" t="s">
        <v>394</v>
      </c>
      <c r="V201" s="5" t="s">
        <v>394</v>
      </c>
      <c r="W201" s="5"/>
      <c r="X201" s="5"/>
      <c r="Y201" s="5"/>
      <c r="Z201" s="4">
        <f t="shared" si="86"/>
        <v>1.3</v>
      </c>
      <c r="AA201" s="5">
        <v>15</v>
      </c>
      <c r="AB201" s="31">
        <f t="shared" si="78"/>
        <v>0.89725071702611092</v>
      </c>
      <c r="AC201" s="32">
        <v>1410</v>
      </c>
      <c r="AD201" s="24">
        <f t="shared" si="79"/>
        <v>384.54545454545456</v>
      </c>
      <c r="AE201" s="24">
        <f t="shared" si="84"/>
        <v>345</v>
      </c>
      <c r="AF201" s="24">
        <f t="shared" si="80"/>
        <v>-39.545454545454561</v>
      </c>
      <c r="AG201" s="24"/>
      <c r="AH201" s="24">
        <v>90.6</v>
      </c>
      <c r="AI201" s="24">
        <v>72.7</v>
      </c>
      <c r="AJ201" s="24">
        <f t="shared" si="81"/>
        <v>181.7</v>
      </c>
      <c r="AK201" s="68"/>
      <c r="AL201" s="40"/>
      <c r="AM201" s="40"/>
      <c r="AN201" s="68"/>
      <c r="AO201" s="68"/>
      <c r="AP201" s="24">
        <f t="shared" si="82"/>
        <v>181.7</v>
      </c>
      <c r="AQ201" s="24"/>
      <c r="AR201" s="24">
        <f t="shared" si="83"/>
        <v>181.7</v>
      </c>
      <c r="AS201" s="76"/>
      <c r="AT201" s="1"/>
      <c r="AU201" s="1"/>
      <c r="AV201" s="38"/>
      <c r="AW201" s="38"/>
      <c r="AX201" s="1"/>
      <c r="AY201" s="1"/>
      <c r="AZ201" s="1"/>
      <c r="BA201" s="1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9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9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9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9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9"/>
      <c r="GH201" s="8"/>
      <c r="GI201" s="8"/>
    </row>
    <row r="202" spans="1:191" s="2" customFormat="1" ht="17.100000000000001" customHeight="1">
      <c r="A202" s="13" t="s">
        <v>183</v>
      </c>
      <c r="B202" s="24">
        <v>404.7</v>
      </c>
      <c r="C202" s="24">
        <v>489.6</v>
      </c>
      <c r="D202" s="4">
        <f t="shared" si="77"/>
        <v>1.2009785025945143</v>
      </c>
      <c r="E202" s="10">
        <v>15</v>
      </c>
      <c r="F202" s="5">
        <v>1</v>
      </c>
      <c r="G202" s="5">
        <v>10</v>
      </c>
      <c r="H202" s="5"/>
      <c r="I202" s="5"/>
      <c r="J202" s="4">
        <f t="shared" si="85"/>
        <v>0.92514247401944349</v>
      </c>
      <c r="K202" s="5">
        <v>10</v>
      </c>
      <c r="L202" s="5" t="s">
        <v>394</v>
      </c>
      <c r="M202" s="5" t="s">
        <v>394</v>
      </c>
      <c r="N202" s="4" t="s">
        <v>394</v>
      </c>
      <c r="O202" s="5"/>
      <c r="P202" s="5" t="s">
        <v>394</v>
      </c>
      <c r="Q202" s="5" t="s">
        <v>394</v>
      </c>
      <c r="R202" s="5" t="s">
        <v>394</v>
      </c>
      <c r="S202" s="5"/>
      <c r="T202" s="5" t="s">
        <v>394</v>
      </c>
      <c r="U202" s="5" t="s">
        <v>394</v>
      </c>
      <c r="V202" s="5" t="s">
        <v>394</v>
      </c>
      <c r="W202" s="5"/>
      <c r="X202" s="5"/>
      <c r="Y202" s="5"/>
      <c r="Z202" s="4">
        <f t="shared" si="86"/>
        <v>1.3</v>
      </c>
      <c r="AA202" s="5">
        <v>15</v>
      </c>
      <c r="AB202" s="31">
        <f t="shared" si="78"/>
        <v>1.135322045582243</v>
      </c>
      <c r="AC202" s="32">
        <v>1266</v>
      </c>
      <c r="AD202" s="24">
        <f t="shared" si="79"/>
        <v>345.27272727272725</v>
      </c>
      <c r="AE202" s="24">
        <f t="shared" si="84"/>
        <v>392</v>
      </c>
      <c r="AF202" s="24">
        <f t="shared" si="80"/>
        <v>46.727272727272748</v>
      </c>
      <c r="AG202" s="24"/>
      <c r="AH202" s="24">
        <v>101.8</v>
      </c>
      <c r="AI202" s="24">
        <v>73.599999999999994</v>
      </c>
      <c r="AJ202" s="24">
        <f t="shared" si="81"/>
        <v>216.6</v>
      </c>
      <c r="AK202" s="68"/>
      <c r="AL202" s="40"/>
      <c r="AM202" s="40"/>
      <c r="AN202" s="68"/>
      <c r="AO202" s="68"/>
      <c r="AP202" s="24">
        <f t="shared" si="82"/>
        <v>216.6</v>
      </c>
      <c r="AQ202" s="24"/>
      <c r="AR202" s="24">
        <f t="shared" si="83"/>
        <v>216.6</v>
      </c>
      <c r="AS202" s="76"/>
      <c r="AT202" s="1"/>
      <c r="AU202" s="1"/>
      <c r="AV202" s="38"/>
      <c r="AW202" s="38"/>
      <c r="AX202" s="1"/>
      <c r="AY202" s="1"/>
      <c r="AZ202" s="1"/>
      <c r="BA202" s="1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9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9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9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9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9"/>
      <c r="GH202" s="8"/>
      <c r="GI202" s="8"/>
    </row>
    <row r="203" spans="1:191" s="2" customFormat="1" ht="17.100000000000001" customHeight="1">
      <c r="A203" s="13" t="s">
        <v>184</v>
      </c>
      <c r="B203" s="24">
        <v>389.8</v>
      </c>
      <c r="C203" s="24">
        <v>204.2</v>
      </c>
      <c r="D203" s="4">
        <f t="shared" si="77"/>
        <v>0.52385838891739345</v>
      </c>
      <c r="E203" s="10">
        <v>15</v>
      </c>
      <c r="F203" s="5">
        <v>1</v>
      </c>
      <c r="G203" s="5">
        <v>10</v>
      </c>
      <c r="H203" s="5"/>
      <c r="I203" s="5"/>
      <c r="J203" s="4">
        <f t="shared" si="85"/>
        <v>0.92514247401944349</v>
      </c>
      <c r="K203" s="5">
        <v>10</v>
      </c>
      <c r="L203" s="5" t="s">
        <v>394</v>
      </c>
      <c r="M203" s="5" t="s">
        <v>394</v>
      </c>
      <c r="N203" s="4" t="s">
        <v>394</v>
      </c>
      <c r="O203" s="5"/>
      <c r="P203" s="5" t="s">
        <v>394</v>
      </c>
      <c r="Q203" s="5" t="s">
        <v>394</v>
      </c>
      <c r="R203" s="5" t="s">
        <v>394</v>
      </c>
      <c r="S203" s="5"/>
      <c r="T203" s="5" t="s">
        <v>394</v>
      </c>
      <c r="U203" s="5" t="s">
        <v>394</v>
      </c>
      <c r="V203" s="5" t="s">
        <v>394</v>
      </c>
      <c r="W203" s="5"/>
      <c r="X203" s="5"/>
      <c r="Y203" s="5"/>
      <c r="Z203" s="4">
        <f t="shared" si="86"/>
        <v>1.3</v>
      </c>
      <c r="AA203" s="5">
        <v>15</v>
      </c>
      <c r="AB203" s="31">
        <f t="shared" si="78"/>
        <v>0.93218601147910674</v>
      </c>
      <c r="AC203" s="32">
        <v>1532</v>
      </c>
      <c r="AD203" s="24">
        <f t="shared" si="79"/>
        <v>417.81818181818187</v>
      </c>
      <c r="AE203" s="24">
        <f t="shared" si="84"/>
        <v>389.5</v>
      </c>
      <c r="AF203" s="24">
        <f t="shared" si="80"/>
        <v>-28.31818181818187</v>
      </c>
      <c r="AG203" s="24"/>
      <c r="AH203" s="24">
        <v>109.1</v>
      </c>
      <c r="AI203" s="24">
        <v>129.9</v>
      </c>
      <c r="AJ203" s="24">
        <f t="shared" si="81"/>
        <v>150.5</v>
      </c>
      <c r="AK203" s="68"/>
      <c r="AL203" s="40"/>
      <c r="AM203" s="40"/>
      <c r="AN203" s="68"/>
      <c r="AO203" s="68"/>
      <c r="AP203" s="24">
        <f t="shared" si="82"/>
        <v>150.5</v>
      </c>
      <c r="AQ203" s="24"/>
      <c r="AR203" s="24">
        <f t="shared" si="83"/>
        <v>150.5</v>
      </c>
      <c r="AS203" s="76"/>
      <c r="AT203" s="1"/>
      <c r="AU203" s="1"/>
      <c r="AV203" s="38"/>
      <c r="AW203" s="38"/>
      <c r="AX203" s="1"/>
      <c r="AY203" s="1"/>
      <c r="AZ203" s="1"/>
      <c r="BA203" s="1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9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9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9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9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9"/>
      <c r="GH203" s="8"/>
      <c r="GI203" s="8"/>
    </row>
    <row r="204" spans="1:191" s="2" customFormat="1" ht="17.100000000000001" customHeight="1">
      <c r="A204" s="17" t="s">
        <v>185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76"/>
      <c r="AT204" s="1"/>
      <c r="AU204" s="1"/>
      <c r="AV204" s="38"/>
      <c r="AW204" s="38"/>
      <c r="AX204" s="1"/>
      <c r="AY204" s="1"/>
      <c r="AZ204" s="1"/>
      <c r="BA204" s="1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9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9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9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9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9"/>
      <c r="GH204" s="8"/>
      <c r="GI204" s="8"/>
    </row>
    <row r="205" spans="1:191" s="2" customFormat="1" ht="17.100000000000001" customHeight="1">
      <c r="A205" s="13" t="s">
        <v>186</v>
      </c>
      <c r="B205" s="24">
        <v>1414.2</v>
      </c>
      <c r="C205" s="24">
        <v>1147.0999999999999</v>
      </c>
      <c r="D205" s="4">
        <f t="shared" si="77"/>
        <v>0.81112996747277599</v>
      </c>
      <c r="E205" s="10">
        <v>15</v>
      </c>
      <c r="F205" s="5">
        <v>1</v>
      </c>
      <c r="G205" s="5">
        <v>10</v>
      </c>
      <c r="H205" s="5"/>
      <c r="I205" s="5"/>
      <c r="J205" s="4">
        <f>J$44</f>
        <v>0.90219683655536032</v>
      </c>
      <c r="K205" s="5">
        <v>10</v>
      </c>
      <c r="L205" s="5" t="s">
        <v>394</v>
      </c>
      <c r="M205" s="5" t="s">
        <v>394</v>
      </c>
      <c r="N205" s="4" t="s">
        <v>394</v>
      </c>
      <c r="O205" s="5"/>
      <c r="P205" s="5" t="s">
        <v>394</v>
      </c>
      <c r="Q205" s="5" t="s">
        <v>394</v>
      </c>
      <c r="R205" s="5" t="s">
        <v>394</v>
      </c>
      <c r="S205" s="5"/>
      <c r="T205" s="5" t="s">
        <v>394</v>
      </c>
      <c r="U205" s="5" t="s">
        <v>394</v>
      </c>
      <c r="V205" s="5" t="s">
        <v>394</v>
      </c>
      <c r="W205" s="5"/>
      <c r="X205" s="5"/>
      <c r="Y205" s="5"/>
      <c r="Z205" s="4">
        <f>Z$44</f>
        <v>1.0346153846153847</v>
      </c>
      <c r="AA205" s="5">
        <v>15</v>
      </c>
      <c r="AB205" s="31">
        <f t="shared" si="78"/>
        <v>0.93416297293752026</v>
      </c>
      <c r="AC205" s="32">
        <v>1788</v>
      </c>
      <c r="AD205" s="24">
        <f t="shared" si="79"/>
        <v>487.63636363636363</v>
      </c>
      <c r="AE205" s="24">
        <f t="shared" ref="AE205:AE216" si="87">ROUND(AB205*AD205,1)</f>
        <v>455.5</v>
      </c>
      <c r="AF205" s="24">
        <f t="shared" si="80"/>
        <v>-32.136363636363626</v>
      </c>
      <c r="AG205" s="24"/>
      <c r="AH205" s="24">
        <v>142.69999999999999</v>
      </c>
      <c r="AI205" s="24">
        <v>133</v>
      </c>
      <c r="AJ205" s="24">
        <f t="shared" si="81"/>
        <v>179.8</v>
      </c>
      <c r="AK205" s="68"/>
      <c r="AL205" s="40"/>
      <c r="AM205" s="40"/>
      <c r="AN205" s="68"/>
      <c r="AO205" s="68"/>
      <c r="AP205" s="24">
        <f t="shared" si="82"/>
        <v>179.8</v>
      </c>
      <c r="AQ205" s="24">
        <f>MIN(AP205,81.3)</f>
        <v>81.3</v>
      </c>
      <c r="AR205" s="24">
        <f t="shared" si="83"/>
        <v>98.5</v>
      </c>
      <c r="AS205" s="76"/>
      <c r="AT205" s="1"/>
      <c r="AU205" s="1"/>
      <c r="AV205" s="38"/>
      <c r="AW205" s="38"/>
      <c r="AX205" s="1"/>
      <c r="AY205" s="1"/>
      <c r="AZ205" s="1"/>
      <c r="BA205" s="1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9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9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9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9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9"/>
      <c r="GH205" s="8"/>
      <c r="GI205" s="8"/>
    </row>
    <row r="206" spans="1:191" s="2" customFormat="1" ht="17.100000000000001" customHeight="1">
      <c r="A206" s="13" t="s">
        <v>187</v>
      </c>
      <c r="B206" s="24">
        <v>158.5</v>
      </c>
      <c r="C206" s="24">
        <v>122.1</v>
      </c>
      <c r="D206" s="4">
        <f t="shared" si="77"/>
        <v>0.77034700315457405</v>
      </c>
      <c r="E206" s="10">
        <v>15</v>
      </c>
      <c r="F206" s="5">
        <v>1</v>
      </c>
      <c r="G206" s="5">
        <v>10</v>
      </c>
      <c r="H206" s="5"/>
      <c r="I206" s="5"/>
      <c r="J206" s="4">
        <f t="shared" ref="J206:J215" si="88">J$44</f>
        <v>0.90219683655536032</v>
      </c>
      <c r="K206" s="5">
        <v>10</v>
      </c>
      <c r="L206" s="5" t="s">
        <v>394</v>
      </c>
      <c r="M206" s="5" t="s">
        <v>394</v>
      </c>
      <c r="N206" s="4" t="s">
        <v>394</v>
      </c>
      <c r="O206" s="5"/>
      <c r="P206" s="5" t="s">
        <v>394</v>
      </c>
      <c r="Q206" s="5" t="s">
        <v>394</v>
      </c>
      <c r="R206" s="5" t="s">
        <v>394</v>
      </c>
      <c r="S206" s="5"/>
      <c r="T206" s="5" t="s">
        <v>394</v>
      </c>
      <c r="U206" s="5" t="s">
        <v>394</v>
      </c>
      <c r="V206" s="5" t="s">
        <v>394</v>
      </c>
      <c r="W206" s="5"/>
      <c r="X206" s="5"/>
      <c r="Y206" s="5"/>
      <c r="Z206" s="4">
        <f t="shared" ref="Z206:Z215" si="89">Z$44</f>
        <v>1.0346153846153847</v>
      </c>
      <c r="AA206" s="5">
        <v>15</v>
      </c>
      <c r="AB206" s="31">
        <f t="shared" si="78"/>
        <v>0.92192808364205969</v>
      </c>
      <c r="AC206" s="32">
        <v>1844</v>
      </c>
      <c r="AD206" s="24">
        <f t="shared" si="79"/>
        <v>502.90909090909088</v>
      </c>
      <c r="AE206" s="24">
        <f t="shared" si="87"/>
        <v>463.6</v>
      </c>
      <c r="AF206" s="24">
        <f t="shared" si="80"/>
        <v>-39.309090909090855</v>
      </c>
      <c r="AG206" s="24"/>
      <c r="AH206" s="24">
        <v>171.2</v>
      </c>
      <c r="AI206" s="24">
        <v>112.9</v>
      </c>
      <c r="AJ206" s="24">
        <f t="shared" si="81"/>
        <v>179.5</v>
      </c>
      <c r="AK206" s="68"/>
      <c r="AL206" s="40"/>
      <c r="AM206" s="40"/>
      <c r="AN206" s="68"/>
      <c r="AO206" s="68"/>
      <c r="AP206" s="24">
        <f t="shared" si="82"/>
        <v>179.5</v>
      </c>
      <c r="AQ206" s="24">
        <f>MIN(AP206,83.8)</f>
        <v>83.8</v>
      </c>
      <c r="AR206" s="24">
        <f t="shared" si="83"/>
        <v>95.7</v>
      </c>
      <c r="AS206" s="76"/>
      <c r="AT206" s="1"/>
      <c r="AU206" s="1"/>
      <c r="AV206" s="38"/>
      <c r="AW206" s="38"/>
      <c r="AX206" s="1"/>
      <c r="AY206" s="1"/>
      <c r="AZ206" s="1"/>
      <c r="BA206" s="1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9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9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9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9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9"/>
      <c r="GH206" s="8"/>
      <c r="GI206" s="8"/>
    </row>
    <row r="207" spans="1:191" s="2" customFormat="1" ht="17.100000000000001" customHeight="1">
      <c r="A207" s="13" t="s">
        <v>188</v>
      </c>
      <c r="B207" s="24">
        <v>617.5</v>
      </c>
      <c r="C207" s="24">
        <v>669.1</v>
      </c>
      <c r="D207" s="4">
        <f t="shared" si="77"/>
        <v>1.0835627530364373</v>
      </c>
      <c r="E207" s="10">
        <v>15</v>
      </c>
      <c r="F207" s="5">
        <v>1</v>
      </c>
      <c r="G207" s="5">
        <v>10</v>
      </c>
      <c r="H207" s="5"/>
      <c r="I207" s="5"/>
      <c r="J207" s="4">
        <f t="shared" si="88"/>
        <v>0.90219683655536032</v>
      </c>
      <c r="K207" s="5">
        <v>10</v>
      </c>
      <c r="L207" s="5" t="s">
        <v>394</v>
      </c>
      <c r="M207" s="5" t="s">
        <v>394</v>
      </c>
      <c r="N207" s="4" t="s">
        <v>394</v>
      </c>
      <c r="O207" s="5"/>
      <c r="P207" s="5" t="s">
        <v>394</v>
      </c>
      <c r="Q207" s="5" t="s">
        <v>394</v>
      </c>
      <c r="R207" s="5" t="s">
        <v>394</v>
      </c>
      <c r="S207" s="5"/>
      <c r="T207" s="5" t="s">
        <v>394</v>
      </c>
      <c r="U207" s="5" t="s">
        <v>394</v>
      </c>
      <c r="V207" s="5" t="s">
        <v>394</v>
      </c>
      <c r="W207" s="5"/>
      <c r="X207" s="5"/>
      <c r="Y207" s="5"/>
      <c r="Z207" s="4">
        <f t="shared" si="89"/>
        <v>1.0346153846153847</v>
      </c>
      <c r="AA207" s="5">
        <v>15</v>
      </c>
      <c r="AB207" s="31">
        <f t="shared" si="78"/>
        <v>1.0158928086066186</v>
      </c>
      <c r="AC207" s="32">
        <v>3236</v>
      </c>
      <c r="AD207" s="24">
        <f t="shared" si="79"/>
        <v>882.5454545454545</v>
      </c>
      <c r="AE207" s="24">
        <f t="shared" si="87"/>
        <v>896.6</v>
      </c>
      <c r="AF207" s="24">
        <f t="shared" si="80"/>
        <v>14.054545454545519</v>
      </c>
      <c r="AG207" s="24"/>
      <c r="AH207" s="24">
        <v>302.2</v>
      </c>
      <c r="AI207" s="24">
        <v>242.8</v>
      </c>
      <c r="AJ207" s="24">
        <f t="shared" si="81"/>
        <v>351.6</v>
      </c>
      <c r="AK207" s="68"/>
      <c r="AL207" s="40"/>
      <c r="AM207" s="40"/>
      <c r="AN207" s="68"/>
      <c r="AO207" s="68"/>
      <c r="AP207" s="24">
        <f t="shared" si="82"/>
        <v>351.6</v>
      </c>
      <c r="AQ207" s="24">
        <f>MIN(AP207,147.1)</f>
        <v>147.1</v>
      </c>
      <c r="AR207" s="24">
        <f t="shared" si="83"/>
        <v>204.5</v>
      </c>
      <c r="AS207" s="76"/>
      <c r="AT207" s="1"/>
      <c r="AU207" s="1"/>
      <c r="AV207" s="38"/>
      <c r="AW207" s="38"/>
      <c r="AX207" s="1"/>
      <c r="AY207" s="1"/>
      <c r="AZ207" s="1"/>
      <c r="BA207" s="1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9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9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9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9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9"/>
      <c r="GH207" s="8"/>
      <c r="GI207" s="8"/>
    </row>
    <row r="208" spans="1:191" s="2" customFormat="1" ht="17.100000000000001" customHeight="1">
      <c r="A208" s="13" t="s">
        <v>189</v>
      </c>
      <c r="B208" s="24">
        <v>179.6</v>
      </c>
      <c r="C208" s="24">
        <v>541.70000000000005</v>
      </c>
      <c r="D208" s="4">
        <f t="shared" si="77"/>
        <v>1.3</v>
      </c>
      <c r="E208" s="10">
        <v>15</v>
      </c>
      <c r="F208" s="5">
        <v>1</v>
      </c>
      <c r="G208" s="5">
        <v>10</v>
      </c>
      <c r="H208" s="5"/>
      <c r="I208" s="5"/>
      <c r="J208" s="4">
        <f t="shared" si="88"/>
        <v>0.90219683655536032</v>
      </c>
      <c r="K208" s="5">
        <v>10</v>
      </c>
      <c r="L208" s="5" t="s">
        <v>394</v>
      </c>
      <c r="M208" s="5" t="s">
        <v>394</v>
      </c>
      <c r="N208" s="4" t="s">
        <v>394</v>
      </c>
      <c r="O208" s="5"/>
      <c r="P208" s="5" t="s">
        <v>394</v>
      </c>
      <c r="Q208" s="5" t="s">
        <v>394</v>
      </c>
      <c r="R208" s="5" t="s">
        <v>394</v>
      </c>
      <c r="S208" s="5"/>
      <c r="T208" s="5" t="s">
        <v>394</v>
      </c>
      <c r="U208" s="5" t="s">
        <v>394</v>
      </c>
      <c r="V208" s="5" t="s">
        <v>394</v>
      </c>
      <c r="W208" s="5"/>
      <c r="X208" s="5"/>
      <c r="Y208" s="5"/>
      <c r="Z208" s="4">
        <f t="shared" si="89"/>
        <v>1.0346153846153847</v>
      </c>
      <c r="AA208" s="5">
        <v>15</v>
      </c>
      <c r="AB208" s="31">
        <f t="shared" si="78"/>
        <v>1.0808239826956876</v>
      </c>
      <c r="AC208" s="32">
        <v>1786</v>
      </c>
      <c r="AD208" s="24">
        <f t="shared" si="79"/>
        <v>487.09090909090912</v>
      </c>
      <c r="AE208" s="24">
        <f t="shared" si="87"/>
        <v>526.5</v>
      </c>
      <c r="AF208" s="24">
        <f t="shared" si="80"/>
        <v>39.409090909090878</v>
      </c>
      <c r="AG208" s="24"/>
      <c r="AH208" s="24">
        <v>132.80000000000001</v>
      </c>
      <c r="AI208" s="24">
        <v>103.3</v>
      </c>
      <c r="AJ208" s="24">
        <f t="shared" si="81"/>
        <v>290.39999999999998</v>
      </c>
      <c r="AK208" s="68"/>
      <c r="AL208" s="40"/>
      <c r="AM208" s="40"/>
      <c r="AN208" s="68"/>
      <c r="AO208" s="68"/>
      <c r="AP208" s="24">
        <f t="shared" si="82"/>
        <v>290.39999999999998</v>
      </c>
      <c r="AQ208" s="24">
        <f>MIN(AP208,40)</f>
        <v>40</v>
      </c>
      <c r="AR208" s="24">
        <f t="shared" si="83"/>
        <v>250.4</v>
      </c>
      <c r="AS208" s="76"/>
      <c r="AT208" s="1"/>
      <c r="AU208" s="1"/>
      <c r="AV208" s="38"/>
      <c r="AW208" s="38"/>
      <c r="AX208" s="1"/>
      <c r="AY208" s="1"/>
      <c r="AZ208" s="1"/>
      <c r="BA208" s="1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9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9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9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9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9"/>
      <c r="GH208" s="8"/>
      <c r="GI208" s="8"/>
    </row>
    <row r="209" spans="1:191" s="2" customFormat="1" ht="17.100000000000001" customHeight="1">
      <c r="A209" s="13" t="s">
        <v>190</v>
      </c>
      <c r="B209" s="24">
        <v>853.8</v>
      </c>
      <c r="C209" s="24">
        <v>941.1</v>
      </c>
      <c r="D209" s="4">
        <f t="shared" si="77"/>
        <v>1.1022487702037949</v>
      </c>
      <c r="E209" s="10">
        <v>15</v>
      </c>
      <c r="F209" s="5">
        <v>1</v>
      </c>
      <c r="G209" s="5">
        <v>10</v>
      </c>
      <c r="H209" s="5"/>
      <c r="I209" s="5"/>
      <c r="J209" s="4">
        <f t="shared" si="88"/>
        <v>0.90219683655536032</v>
      </c>
      <c r="K209" s="5">
        <v>10</v>
      </c>
      <c r="L209" s="5" t="s">
        <v>394</v>
      </c>
      <c r="M209" s="5" t="s">
        <v>394</v>
      </c>
      <c r="N209" s="4" t="s">
        <v>394</v>
      </c>
      <c r="O209" s="5"/>
      <c r="P209" s="5" t="s">
        <v>394</v>
      </c>
      <c r="Q209" s="5" t="s">
        <v>394</v>
      </c>
      <c r="R209" s="5" t="s">
        <v>394</v>
      </c>
      <c r="S209" s="5"/>
      <c r="T209" s="5" t="s">
        <v>394</v>
      </c>
      <c r="U209" s="5" t="s">
        <v>394</v>
      </c>
      <c r="V209" s="5" t="s">
        <v>394</v>
      </c>
      <c r="W209" s="5"/>
      <c r="X209" s="5"/>
      <c r="Y209" s="5"/>
      <c r="Z209" s="4">
        <f t="shared" si="89"/>
        <v>1.0346153846153847</v>
      </c>
      <c r="AA209" s="5">
        <v>15</v>
      </c>
      <c r="AB209" s="31">
        <f t="shared" si="78"/>
        <v>1.021498613756826</v>
      </c>
      <c r="AC209" s="32">
        <v>1832</v>
      </c>
      <c r="AD209" s="24">
        <f t="shared" si="79"/>
        <v>499.63636363636363</v>
      </c>
      <c r="AE209" s="24">
        <f t="shared" si="87"/>
        <v>510.4</v>
      </c>
      <c r="AF209" s="24">
        <f t="shared" si="80"/>
        <v>10.763636363636351</v>
      </c>
      <c r="AG209" s="24"/>
      <c r="AH209" s="24">
        <v>154</v>
      </c>
      <c r="AI209" s="24">
        <v>187.1</v>
      </c>
      <c r="AJ209" s="24">
        <f t="shared" si="81"/>
        <v>169.3</v>
      </c>
      <c r="AK209" s="68"/>
      <c r="AL209" s="40"/>
      <c r="AM209" s="40"/>
      <c r="AN209" s="68"/>
      <c r="AO209" s="68"/>
      <c r="AP209" s="24">
        <f t="shared" si="82"/>
        <v>169.3</v>
      </c>
      <c r="AQ209" s="24">
        <f>MIN(AP209,83.3)</f>
        <v>83.3</v>
      </c>
      <c r="AR209" s="24">
        <f t="shared" si="83"/>
        <v>86</v>
      </c>
      <c r="AS209" s="76"/>
      <c r="AT209" s="1"/>
      <c r="AU209" s="1"/>
      <c r="AV209" s="38"/>
      <c r="AW209" s="38"/>
      <c r="AX209" s="1"/>
      <c r="AY209" s="1"/>
      <c r="AZ209" s="1"/>
      <c r="BA209" s="1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9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9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9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9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9"/>
      <c r="GH209" s="8"/>
      <c r="GI209" s="8"/>
    </row>
    <row r="210" spans="1:191" s="2" customFormat="1" ht="17.100000000000001" customHeight="1">
      <c r="A210" s="13" t="s">
        <v>191</v>
      </c>
      <c r="B210" s="24">
        <v>587.1</v>
      </c>
      <c r="C210" s="24">
        <v>466.1</v>
      </c>
      <c r="D210" s="4">
        <f t="shared" si="77"/>
        <v>0.79390223130642135</v>
      </c>
      <c r="E210" s="10">
        <v>15</v>
      </c>
      <c r="F210" s="5">
        <v>1</v>
      </c>
      <c r="G210" s="5">
        <v>10</v>
      </c>
      <c r="H210" s="5"/>
      <c r="I210" s="5"/>
      <c r="J210" s="4">
        <f t="shared" si="88"/>
        <v>0.90219683655536032</v>
      </c>
      <c r="K210" s="5">
        <v>10</v>
      </c>
      <c r="L210" s="5" t="s">
        <v>394</v>
      </c>
      <c r="M210" s="5" t="s">
        <v>394</v>
      </c>
      <c r="N210" s="4" t="s">
        <v>394</v>
      </c>
      <c r="O210" s="5"/>
      <c r="P210" s="5" t="s">
        <v>394</v>
      </c>
      <c r="Q210" s="5" t="s">
        <v>394</v>
      </c>
      <c r="R210" s="5" t="s">
        <v>394</v>
      </c>
      <c r="S210" s="5"/>
      <c r="T210" s="5" t="s">
        <v>394</v>
      </c>
      <c r="U210" s="5" t="s">
        <v>394</v>
      </c>
      <c r="V210" s="5" t="s">
        <v>394</v>
      </c>
      <c r="W210" s="5"/>
      <c r="X210" s="5"/>
      <c r="Y210" s="5"/>
      <c r="Z210" s="4">
        <f t="shared" si="89"/>
        <v>1.0346153846153847</v>
      </c>
      <c r="AA210" s="5">
        <v>15</v>
      </c>
      <c r="AB210" s="31">
        <f t="shared" si="78"/>
        <v>0.928994652087614</v>
      </c>
      <c r="AC210" s="32">
        <v>3980</v>
      </c>
      <c r="AD210" s="24">
        <f t="shared" si="79"/>
        <v>1085.4545454545455</v>
      </c>
      <c r="AE210" s="24">
        <f t="shared" si="87"/>
        <v>1008.4</v>
      </c>
      <c r="AF210" s="24">
        <f t="shared" si="80"/>
        <v>-77.054545454545519</v>
      </c>
      <c r="AG210" s="24"/>
      <c r="AH210" s="24">
        <v>414</v>
      </c>
      <c r="AI210" s="24">
        <v>347.1</v>
      </c>
      <c r="AJ210" s="24">
        <f t="shared" si="81"/>
        <v>247.3</v>
      </c>
      <c r="AK210" s="68"/>
      <c r="AL210" s="40"/>
      <c r="AM210" s="40"/>
      <c r="AN210" s="68"/>
      <c r="AO210" s="68"/>
      <c r="AP210" s="24">
        <f t="shared" si="82"/>
        <v>247.3</v>
      </c>
      <c r="AQ210" s="24">
        <f>MIN(AP210,180.9)</f>
        <v>180.9</v>
      </c>
      <c r="AR210" s="24">
        <f t="shared" si="83"/>
        <v>66.400000000000006</v>
      </c>
      <c r="AS210" s="76"/>
      <c r="AT210" s="1"/>
      <c r="AU210" s="1"/>
      <c r="AV210" s="38"/>
      <c r="AW210" s="38"/>
      <c r="AX210" s="1"/>
      <c r="AY210" s="1"/>
      <c r="AZ210" s="1"/>
      <c r="BA210" s="1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9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9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9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9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9"/>
      <c r="GH210" s="8"/>
      <c r="GI210" s="8"/>
    </row>
    <row r="211" spans="1:191" s="2" customFormat="1" ht="17.100000000000001" customHeight="1">
      <c r="A211" s="13" t="s">
        <v>192</v>
      </c>
      <c r="B211" s="24">
        <v>3305.1</v>
      </c>
      <c r="C211" s="24">
        <v>3027.6</v>
      </c>
      <c r="D211" s="4">
        <f t="shared" si="77"/>
        <v>0.91603884905146593</v>
      </c>
      <c r="E211" s="10">
        <v>15</v>
      </c>
      <c r="F211" s="5">
        <v>1</v>
      </c>
      <c r="G211" s="5">
        <v>10</v>
      </c>
      <c r="H211" s="5"/>
      <c r="I211" s="5"/>
      <c r="J211" s="4">
        <f t="shared" si="88"/>
        <v>0.90219683655536032</v>
      </c>
      <c r="K211" s="5">
        <v>10</v>
      </c>
      <c r="L211" s="5" t="s">
        <v>394</v>
      </c>
      <c r="M211" s="5" t="s">
        <v>394</v>
      </c>
      <c r="N211" s="4" t="s">
        <v>394</v>
      </c>
      <c r="O211" s="5"/>
      <c r="P211" s="5" t="s">
        <v>394</v>
      </c>
      <c r="Q211" s="5" t="s">
        <v>394</v>
      </c>
      <c r="R211" s="5" t="s">
        <v>394</v>
      </c>
      <c r="S211" s="5"/>
      <c r="T211" s="5" t="s">
        <v>394</v>
      </c>
      <c r="U211" s="5" t="s">
        <v>394</v>
      </c>
      <c r="V211" s="5" t="s">
        <v>394</v>
      </c>
      <c r="W211" s="5"/>
      <c r="X211" s="5"/>
      <c r="Y211" s="5"/>
      <c r="Z211" s="4">
        <f t="shared" si="89"/>
        <v>1.0346153846153847</v>
      </c>
      <c r="AA211" s="5">
        <v>15</v>
      </c>
      <c r="AB211" s="31">
        <f t="shared" si="78"/>
        <v>0.96563563741112712</v>
      </c>
      <c r="AC211" s="32">
        <v>3770</v>
      </c>
      <c r="AD211" s="24">
        <f t="shared" si="79"/>
        <v>1028.1818181818182</v>
      </c>
      <c r="AE211" s="24">
        <f t="shared" si="87"/>
        <v>992.8</v>
      </c>
      <c r="AF211" s="24">
        <f t="shared" si="80"/>
        <v>-35.381818181818289</v>
      </c>
      <c r="AG211" s="24"/>
      <c r="AH211" s="24">
        <v>341.4</v>
      </c>
      <c r="AI211" s="24">
        <v>384.3</v>
      </c>
      <c r="AJ211" s="24">
        <f t="shared" si="81"/>
        <v>267.10000000000002</v>
      </c>
      <c r="AK211" s="68"/>
      <c r="AL211" s="40"/>
      <c r="AM211" s="40"/>
      <c r="AN211" s="68"/>
      <c r="AO211" s="68"/>
      <c r="AP211" s="24">
        <f t="shared" si="82"/>
        <v>267.10000000000002</v>
      </c>
      <c r="AQ211" s="24">
        <f>MIN(AP211,171.4)</f>
        <v>171.4</v>
      </c>
      <c r="AR211" s="24">
        <f t="shared" si="83"/>
        <v>95.7</v>
      </c>
      <c r="AS211" s="76"/>
      <c r="AT211" s="1"/>
      <c r="AU211" s="1"/>
      <c r="AV211" s="38"/>
      <c r="AW211" s="38"/>
      <c r="AX211" s="1"/>
      <c r="AY211" s="1"/>
      <c r="AZ211" s="1"/>
      <c r="BA211" s="1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9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9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9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9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9"/>
      <c r="GH211" s="8"/>
      <c r="GI211" s="8"/>
    </row>
    <row r="212" spans="1:191" s="2" customFormat="1" ht="17.100000000000001" customHeight="1">
      <c r="A212" s="13" t="s">
        <v>193</v>
      </c>
      <c r="B212" s="24">
        <v>1276.8</v>
      </c>
      <c r="C212" s="24">
        <v>281.39999999999998</v>
      </c>
      <c r="D212" s="4">
        <f t="shared" si="77"/>
        <v>0.22039473684210525</v>
      </c>
      <c r="E212" s="10">
        <v>15</v>
      </c>
      <c r="F212" s="5">
        <v>1</v>
      </c>
      <c r="G212" s="5">
        <v>10</v>
      </c>
      <c r="H212" s="5"/>
      <c r="I212" s="5"/>
      <c r="J212" s="4">
        <f t="shared" si="88"/>
        <v>0.90219683655536032</v>
      </c>
      <c r="K212" s="5">
        <v>10</v>
      </c>
      <c r="L212" s="5" t="s">
        <v>394</v>
      </c>
      <c r="M212" s="5" t="s">
        <v>394</v>
      </c>
      <c r="N212" s="4" t="s">
        <v>394</v>
      </c>
      <c r="O212" s="5"/>
      <c r="P212" s="5" t="s">
        <v>394</v>
      </c>
      <c r="Q212" s="5" t="s">
        <v>394</v>
      </c>
      <c r="R212" s="5" t="s">
        <v>394</v>
      </c>
      <c r="S212" s="5"/>
      <c r="T212" s="5" t="s">
        <v>394</v>
      </c>
      <c r="U212" s="5" t="s">
        <v>394</v>
      </c>
      <c r="V212" s="5" t="s">
        <v>394</v>
      </c>
      <c r="W212" s="5"/>
      <c r="X212" s="5"/>
      <c r="Y212" s="5"/>
      <c r="Z212" s="4">
        <f t="shared" si="89"/>
        <v>1.0346153846153847</v>
      </c>
      <c r="AA212" s="5">
        <v>15</v>
      </c>
      <c r="AB212" s="31">
        <f t="shared" si="78"/>
        <v>0.75694240374831911</v>
      </c>
      <c r="AC212" s="32">
        <v>1897</v>
      </c>
      <c r="AD212" s="24">
        <f t="shared" si="79"/>
        <v>517.36363636363637</v>
      </c>
      <c r="AE212" s="24">
        <f t="shared" si="87"/>
        <v>391.6</v>
      </c>
      <c r="AF212" s="24">
        <f t="shared" si="80"/>
        <v>-125.76363636363635</v>
      </c>
      <c r="AG212" s="24"/>
      <c r="AH212" s="24">
        <v>73.8</v>
      </c>
      <c r="AI212" s="24">
        <v>110.4</v>
      </c>
      <c r="AJ212" s="24">
        <f t="shared" si="81"/>
        <v>207.4</v>
      </c>
      <c r="AK212" s="68"/>
      <c r="AL212" s="40"/>
      <c r="AM212" s="40"/>
      <c r="AN212" s="68"/>
      <c r="AO212" s="68"/>
      <c r="AP212" s="24">
        <f t="shared" si="82"/>
        <v>207.4</v>
      </c>
      <c r="AQ212" s="24"/>
      <c r="AR212" s="24">
        <f t="shared" si="83"/>
        <v>207.4</v>
      </c>
      <c r="AS212" s="76"/>
      <c r="AT212" s="1"/>
      <c r="AU212" s="1"/>
      <c r="AV212" s="38"/>
      <c r="AW212" s="38"/>
      <c r="AX212" s="1"/>
      <c r="AY212" s="1"/>
      <c r="AZ212" s="1"/>
      <c r="BA212" s="1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9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9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9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9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9"/>
      <c r="GH212" s="8"/>
      <c r="GI212" s="8"/>
    </row>
    <row r="213" spans="1:191" s="2" customFormat="1" ht="17.100000000000001" customHeight="1">
      <c r="A213" s="13" t="s">
        <v>194</v>
      </c>
      <c r="B213" s="24">
        <v>174.6</v>
      </c>
      <c r="C213" s="24">
        <v>79.400000000000006</v>
      </c>
      <c r="D213" s="4">
        <f t="shared" si="77"/>
        <v>0.45475372279495996</v>
      </c>
      <c r="E213" s="10">
        <v>15</v>
      </c>
      <c r="F213" s="5">
        <v>1</v>
      </c>
      <c r="G213" s="5">
        <v>10</v>
      </c>
      <c r="H213" s="5"/>
      <c r="I213" s="5"/>
      <c r="J213" s="4">
        <f t="shared" si="88"/>
        <v>0.90219683655536032</v>
      </c>
      <c r="K213" s="5">
        <v>10</v>
      </c>
      <c r="L213" s="5" t="s">
        <v>394</v>
      </c>
      <c r="M213" s="5" t="s">
        <v>394</v>
      </c>
      <c r="N213" s="4" t="s">
        <v>394</v>
      </c>
      <c r="O213" s="5"/>
      <c r="P213" s="5" t="s">
        <v>394</v>
      </c>
      <c r="Q213" s="5" t="s">
        <v>394</v>
      </c>
      <c r="R213" s="5" t="s">
        <v>394</v>
      </c>
      <c r="S213" s="5"/>
      <c r="T213" s="5" t="s">
        <v>394</v>
      </c>
      <c r="U213" s="5" t="s">
        <v>394</v>
      </c>
      <c r="V213" s="5" t="s">
        <v>394</v>
      </c>
      <c r="W213" s="5"/>
      <c r="X213" s="5"/>
      <c r="Y213" s="5"/>
      <c r="Z213" s="4">
        <f t="shared" si="89"/>
        <v>1.0346153846153847</v>
      </c>
      <c r="AA213" s="5">
        <v>15</v>
      </c>
      <c r="AB213" s="31">
        <f t="shared" si="78"/>
        <v>0.8272500995341755</v>
      </c>
      <c r="AC213" s="32">
        <v>1764</v>
      </c>
      <c r="AD213" s="24">
        <f t="shared" si="79"/>
        <v>481.09090909090912</v>
      </c>
      <c r="AE213" s="24">
        <f t="shared" si="87"/>
        <v>398</v>
      </c>
      <c r="AF213" s="24">
        <f t="shared" si="80"/>
        <v>-83.090909090909122</v>
      </c>
      <c r="AG213" s="24"/>
      <c r="AH213" s="24">
        <v>150.4</v>
      </c>
      <c r="AI213" s="24">
        <v>106.3</v>
      </c>
      <c r="AJ213" s="24">
        <f t="shared" si="81"/>
        <v>141.30000000000001</v>
      </c>
      <c r="AK213" s="68"/>
      <c r="AL213" s="40"/>
      <c r="AM213" s="40"/>
      <c r="AN213" s="68"/>
      <c r="AO213" s="68"/>
      <c r="AP213" s="24">
        <f t="shared" si="82"/>
        <v>141.30000000000001</v>
      </c>
      <c r="AQ213" s="24">
        <f>MIN(AP213,80.2)</f>
        <v>80.2</v>
      </c>
      <c r="AR213" s="24">
        <f t="shared" si="83"/>
        <v>61.1</v>
      </c>
      <c r="AS213" s="76"/>
      <c r="AT213" s="1"/>
      <c r="AU213" s="1"/>
      <c r="AV213" s="38"/>
      <c r="AW213" s="38"/>
      <c r="AX213" s="1"/>
      <c r="AY213" s="1"/>
      <c r="AZ213" s="1"/>
      <c r="BA213" s="1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9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9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9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9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9"/>
      <c r="GH213" s="8"/>
      <c r="GI213" s="8"/>
    </row>
    <row r="214" spans="1:191" s="2" customFormat="1" ht="17.100000000000001" customHeight="1">
      <c r="A214" s="13" t="s">
        <v>195</v>
      </c>
      <c r="B214" s="24">
        <v>819.5</v>
      </c>
      <c r="C214" s="24">
        <v>841</v>
      </c>
      <c r="D214" s="4">
        <f t="shared" si="77"/>
        <v>1.0262355094569859</v>
      </c>
      <c r="E214" s="10">
        <v>15</v>
      </c>
      <c r="F214" s="5">
        <v>1</v>
      </c>
      <c r="G214" s="5">
        <v>10</v>
      </c>
      <c r="H214" s="5"/>
      <c r="I214" s="5"/>
      <c r="J214" s="4">
        <f t="shared" si="88"/>
        <v>0.90219683655536032</v>
      </c>
      <c r="K214" s="5">
        <v>10</v>
      </c>
      <c r="L214" s="5" t="s">
        <v>394</v>
      </c>
      <c r="M214" s="5" t="s">
        <v>394</v>
      </c>
      <c r="N214" s="4" t="s">
        <v>394</v>
      </c>
      <c r="O214" s="5"/>
      <c r="P214" s="5" t="s">
        <v>394</v>
      </c>
      <c r="Q214" s="5" t="s">
        <v>394</v>
      </c>
      <c r="R214" s="5" t="s">
        <v>394</v>
      </c>
      <c r="S214" s="5"/>
      <c r="T214" s="5" t="s">
        <v>394</v>
      </c>
      <c r="U214" s="5" t="s">
        <v>394</v>
      </c>
      <c r="V214" s="5" t="s">
        <v>394</v>
      </c>
      <c r="W214" s="5"/>
      <c r="X214" s="5"/>
      <c r="Y214" s="5"/>
      <c r="Z214" s="4">
        <f t="shared" si="89"/>
        <v>1.0346153846153847</v>
      </c>
      <c r="AA214" s="5">
        <v>15</v>
      </c>
      <c r="AB214" s="31">
        <f t="shared" si="78"/>
        <v>0.99869463553278337</v>
      </c>
      <c r="AC214" s="32">
        <v>3383</v>
      </c>
      <c r="AD214" s="24">
        <f t="shared" si="79"/>
        <v>922.63636363636374</v>
      </c>
      <c r="AE214" s="24">
        <f t="shared" si="87"/>
        <v>921.4</v>
      </c>
      <c r="AF214" s="24">
        <f t="shared" si="80"/>
        <v>-1.2363636363637625</v>
      </c>
      <c r="AG214" s="24"/>
      <c r="AH214" s="24">
        <v>244</v>
      </c>
      <c r="AI214" s="24">
        <v>362.9</v>
      </c>
      <c r="AJ214" s="24">
        <f t="shared" si="81"/>
        <v>314.5</v>
      </c>
      <c r="AK214" s="68"/>
      <c r="AL214" s="40"/>
      <c r="AM214" s="40"/>
      <c r="AN214" s="68"/>
      <c r="AO214" s="68"/>
      <c r="AP214" s="24">
        <f t="shared" si="82"/>
        <v>314.5</v>
      </c>
      <c r="AQ214" s="24">
        <f>MIN(AP214,108.6)</f>
        <v>108.6</v>
      </c>
      <c r="AR214" s="24">
        <f t="shared" si="83"/>
        <v>205.9</v>
      </c>
      <c r="AS214" s="76"/>
      <c r="AT214" s="1"/>
      <c r="AU214" s="1"/>
      <c r="AV214" s="38"/>
      <c r="AW214" s="38"/>
      <c r="AX214" s="1"/>
      <c r="AY214" s="1"/>
      <c r="AZ214" s="1"/>
      <c r="BA214" s="1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9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9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9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9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9"/>
      <c r="GH214" s="8"/>
      <c r="GI214" s="8"/>
    </row>
    <row r="215" spans="1:191" s="2" customFormat="1" ht="17.100000000000001" customHeight="1">
      <c r="A215" s="13" t="s">
        <v>196</v>
      </c>
      <c r="B215" s="24">
        <v>75.599999999999994</v>
      </c>
      <c r="C215" s="24">
        <v>41.8</v>
      </c>
      <c r="D215" s="4">
        <f t="shared" si="77"/>
        <v>0.55291005291005291</v>
      </c>
      <c r="E215" s="10">
        <v>15</v>
      </c>
      <c r="F215" s="5">
        <v>1</v>
      </c>
      <c r="G215" s="5">
        <v>10</v>
      </c>
      <c r="H215" s="5"/>
      <c r="I215" s="5"/>
      <c r="J215" s="4">
        <f t="shared" si="88"/>
        <v>0.90219683655536032</v>
      </c>
      <c r="K215" s="5">
        <v>10</v>
      </c>
      <c r="L215" s="5" t="s">
        <v>394</v>
      </c>
      <c r="M215" s="5" t="s">
        <v>394</v>
      </c>
      <c r="N215" s="4" t="s">
        <v>394</v>
      </c>
      <c r="O215" s="5"/>
      <c r="P215" s="5" t="s">
        <v>394</v>
      </c>
      <c r="Q215" s="5" t="s">
        <v>394</v>
      </c>
      <c r="R215" s="5" t="s">
        <v>394</v>
      </c>
      <c r="S215" s="5"/>
      <c r="T215" s="5" t="s">
        <v>394</v>
      </c>
      <c r="U215" s="5" t="s">
        <v>394</v>
      </c>
      <c r="V215" s="5" t="s">
        <v>394</v>
      </c>
      <c r="W215" s="5"/>
      <c r="X215" s="5"/>
      <c r="Y215" s="5"/>
      <c r="Z215" s="4">
        <f t="shared" si="89"/>
        <v>1.0346153846153847</v>
      </c>
      <c r="AA215" s="5">
        <v>15</v>
      </c>
      <c r="AB215" s="31">
        <f t="shared" si="78"/>
        <v>0.85669699856870318</v>
      </c>
      <c r="AC215" s="32">
        <v>1908</v>
      </c>
      <c r="AD215" s="24">
        <f t="shared" si="79"/>
        <v>520.36363636363637</v>
      </c>
      <c r="AE215" s="24">
        <f t="shared" si="87"/>
        <v>445.8</v>
      </c>
      <c r="AF215" s="24">
        <f t="shared" si="80"/>
        <v>-74.563636363636363</v>
      </c>
      <c r="AG215" s="24"/>
      <c r="AH215" s="24">
        <v>204.1</v>
      </c>
      <c r="AI215" s="24">
        <v>100.6</v>
      </c>
      <c r="AJ215" s="24">
        <f t="shared" si="81"/>
        <v>141.1</v>
      </c>
      <c r="AK215" s="68"/>
      <c r="AL215" s="40"/>
      <c r="AM215" s="40"/>
      <c r="AN215" s="68"/>
      <c r="AO215" s="68"/>
      <c r="AP215" s="24">
        <f t="shared" si="82"/>
        <v>141.1</v>
      </c>
      <c r="AQ215" s="24"/>
      <c r="AR215" s="24">
        <f t="shared" si="83"/>
        <v>141.1</v>
      </c>
      <c r="AS215" s="76"/>
      <c r="AT215" s="1"/>
      <c r="AU215" s="1"/>
      <c r="AV215" s="38"/>
      <c r="AW215" s="38"/>
      <c r="AX215" s="1"/>
      <c r="AY215" s="1"/>
      <c r="AZ215" s="1"/>
      <c r="BA215" s="1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9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9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9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9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9"/>
      <c r="GH215" s="8"/>
      <c r="GI215" s="8"/>
    </row>
    <row r="216" spans="1:191" s="2" customFormat="1" ht="17.100000000000001" customHeight="1">
      <c r="A216" s="13" t="s">
        <v>197</v>
      </c>
      <c r="B216" s="24">
        <v>226.1</v>
      </c>
      <c r="C216" s="24">
        <v>896.4</v>
      </c>
      <c r="D216" s="4">
        <f t="shared" si="77"/>
        <v>1.3</v>
      </c>
      <c r="E216" s="10">
        <v>15</v>
      </c>
      <c r="F216" s="5">
        <v>1</v>
      </c>
      <c r="G216" s="5">
        <v>10</v>
      </c>
      <c r="H216" s="5"/>
      <c r="I216" s="5"/>
      <c r="J216" s="4">
        <f>J$44</f>
        <v>0.90219683655536032</v>
      </c>
      <c r="K216" s="5">
        <v>10</v>
      </c>
      <c r="L216" s="5" t="s">
        <v>394</v>
      </c>
      <c r="M216" s="5" t="s">
        <v>394</v>
      </c>
      <c r="N216" s="4" t="s">
        <v>394</v>
      </c>
      <c r="O216" s="5"/>
      <c r="P216" s="5" t="s">
        <v>394</v>
      </c>
      <c r="Q216" s="5" t="s">
        <v>394</v>
      </c>
      <c r="R216" s="5" t="s">
        <v>394</v>
      </c>
      <c r="S216" s="5"/>
      <c r="T216" s="5" t="s">
        <v>394</v>
      </c>
      <c r="U216" s="5" t="s">
        <v>394</v>
      </c>
      <c r="V216" s="5" t="s">
        <v>394</v>
      </c>
      <c r="W216" s="5"/>
      <c r="X216" s="5"/>
      <c r="Y216" s="5"/>
      <c r="Z216" s="4">
        <f>Z$44</f>
        <v>1.0346153846153847</v>
      </c>
      <c r="AA216" s="5">
        <v>15</v>
      </c>
      <c r="AB216" s="31">
        <f t="shared" si="78"/>
        <v>1.0808239826956876</v>
      </c>
      <c r="AC216" s="32">
        <v>1295</v>
      </c>
      <c r="AD216" s="24">
        <f t="shared" si="79"/>
        <v>353.18181818181819</v>
      </c>
      <c r="AE216" s="24">
        <f t="shared" si="87"/>
        <v>381.7</v>
      </c>
      <c r="AF216" s="24">
        <f t="shared" si="80"/>
        <v>28.518181818181802</v>
      </c>
      <c r="AG216" s="24"/>
      <c r="AH216" s="24">
        <v>138.9</v>
      </c>
      <c r="AI216" s="24">
        <v>138.9</v>
      </c>
      <c r="AJ216" s="24">
        <f t="shared" si="81"/>
        <v>103.9</v>
      </c>
      <c r="AK216" s="68"/>
      <c r="AL216" s="40"/>
      <c r="AM216" s="40"/>
      <c r="AN216" s="68"/>
      <c r="AO216" s="68"/>
      <c r="AP216" s="24">
        <f t="shared" si="82"/>
        <v>103.9</v>
      </c>
      <c r="AQ216" s="24">
        <f>MIN(AP216,5)</f>
        <v>5</v>
      </c>
      <c r="AR216" s="24">
        <f t="shared" si="83"/>
        <v>98.9</v>
      </c>
      <c r="AS216" s="76"/>
      <c r="AT216" s="1"/>
      <c r="AU216" s="1"/>
      <c r="AV216" s="38"/>
      <c r="AW216" s="38"/>
      <c r="AX216" s="1"/>
      <c r="AY216" s="1"/>
      <c r="AZ216" s="1"/>
      <c r="BA216" s="1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9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9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9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9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9"/>
      <c r="GH216" s="8"/>
      <c r="GI216" s="8"/>
    </row>
    <row r="217" spans="1:191" s="2" customFormat="1" ht="17.100000000000001" customHeight="1">
      <c r="A217" s="17" t="s">
        <v>198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76"/>
      <c r="AT217" s="1"/>
      <c r="AU217" s="1"/>
      <c r="AV217" s="38"/>
      <c r="AW217" s="38"/>
      <c r="AX217" s="1"/>
      <c r="AY217" s="1"/>
      <c r="AZ217" s="1"/>
      <c r="BA217" s="1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9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9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9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9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9"/>
      <c r="GH217" s="8"/>
      <c r="GI217" s="8"/>
    </row>
    <row r="218" spans="1:191" s="2" customFormat="1" ht="16.7" customHeight="1">
      <c r="A218" s="33" t="s">
        <v>199</v>
      </c>
      <c r="B218" s="24">
        <v>3236.7</v>
      </c>
      <c r="C218" s="24">
        <v>213.4</v>
      </c>
      <c r="D218" s="4">
        <f t="shared" si="77"/>
        <v>6.5931349831618635E-2</v>
      </c>
      <c r="E218" s="10">
        <v>15</v>
      </c>
      <c r="F218" s="5">
        <v>1</v>
      </c>
      <c r="G218" s="5">
        <v>10</v>
      </c>
      <c r="H218" s="5"/>
      <c r="I218" s="5"/>
      <c r="J218" s="4">
        <f>J$45</f>
        <v>1.0084615384615385</v>
      </c>
      <c r="K218" s="5">
        <v>10</v>
      </c>
      <c r="L218" s="5" t="s">
        <v>394</v>
      </c>
      <c r="M218" s="5" t="s">
        <v>394</v>
      </c>
      <c r="N218" s="4" t="s">
        <v>394</v>
      </c>
      <c r="O218" s="5"/>
      <c r="P218" s="5" t="s">
        <v>394</v>
      </c>
      <c r="Q218" s="5" t="s">
        <v>394</v>
      </c>
      <c r="R218" s="5" t="s">
        <v>394</v>
      </c>
      <c r="S218" s="5"/>
      <c r="T218" s="5" t="s">
        <v>394</v>
      </c>
      <c r="U218" s="5" t="s">
        <v>394</v>
      </c>
      <c r="V218" s="5" t="s">
        <v>394</v>
      </c>
      <c r="W218" s="5"/>
      <c r="X218" s="5"/>
      <c r="Y218" s="5"/>
      <c r="Z218" s="4">
        <f>Z$45</f>
        <v>0.97567954220314734</v>
      </c>
      <c r="AA218" s="5">
        <v>15</v>
      </c>
      <c r="AB218" s="31">
        <f t="shared" si="78"/>
        <v>0.71417557530273756</v>
      </c>
      <c r="AC218" s="32">
        <v>330</v>
      </c>
      <c r="AD218" s="24">
        <f t="shared" si="79"/>
        <v>90</v>
      </c>
      <c r="AE218" s="24">
        <f t="shared" ref="AE218:AE230" si="90">ROUND(AB218*AD218,1)</f>
        <v>64.3</v>
      </c>
      <c r="AF218" s="24">
        <f t="shared" si="80"/>
        <v>-25.700000000000003</v>
      </c>
      <c r="AG218" s="24"/>
      <c r="AH218" s="24">
        <v>13.6</v>
      </c>
      <c r="AI218" s="24">
        <v>14.9</v>
      </c>
      <c r="AJ218" s="24">
        <f t="shared" si="81"/>
        <v>35.799999999999997</v>
      </c>
      <c r="AK218" s="68"/>
      <c r="AL218" s="40"/>
      <c r="AM218" s="40"/>
      <c r="AN218" s="68"/>
      <c r="AO218" s="68"/>
      <c r="AP218" s="24">
        <f t="shared" si="82"/>
        <v>35.799999999999997</v>
      </c>
      <c r="AQ218" s="24"/>
      <c r="AR218" s="24">
        <f t="shared" si="83"/>
        <v>35.799999999999997</v>
      </c>
      <c r="AS218" s="76"/>
      <c r="AT218" s="1"/>
      <c r="AU218" s="1"/>
      <c r="AV218" s="38"/>
      <c r="AW218" s="38"/>
      <c r="BA218" s="1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9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9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9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9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9"/>
      <c r="GH218" s="8"/>
      <c r="GI218" s="8"/>
    </row>
    <row r="219" spans="1:191" s="2" customFormat="1" ht="17.100000000000001" customHeight="1">
      <c r="A219" s="33" t="s">
        <v>200</v>
      </c>
      <c r="B219" s="24">
        <v>606.5</v>
      </c>
      <c r="C219" s="24">
        <v>601.20000000000005</v>
      </c>
      <c r="D219" s="4">
        <f t="shared" si="77"/>
        <v>0.99126133553173956</v>
      </c>
      <c r="E219" s="10">
        <v>15</v>
      </c>
      <c r="F219" s="5">
        <v>1</v>
      </c>
      <c r="G219" s="5">
        <v>10</v>
      </c>
      <c r="H219" s="5"/>
      <c r="I219" s="5"/>
      <c r="J219" s="4">
        <f t="shared" ref="J219:J230" si="91">J$45</f>
        <v>1.0084615384615385</v>
      </c>
      <c r="K219" s="5">
        <v>10</v>
      </c>
      <c r="L219" s="5" t="s">
        <v>394</v>
      </c>
      <c r="M219" s="5" t="s">
        <v>394</v>
      </c>
      <c r="N219" s="4" t="s">
        <v>394</v>
      </c>
      <c r="O219" s="5"/>
      <c r="P219" s="5" t="s">
        <v>394</v>
      </c>
      <c r="Q219" s="5" t="s">
        <v>394</v>
      </c>
      <c r="R219" s="5" t="s">
        <v>394</v>
      </c>
      <c r="S219" s="5"/>
      <c r="T219" s="5" t="s">
        <v>394</v>
      </c>
      <c r="U219" s="5" t="s">
        <v>394</v>
      </c>
      <c r="V219" s="5" t="s">
        <v>394</v>
      </c>
      <c r="W219" s="5"/>
      <c r="X219" s="5"/>
      <c r="Y219" s="5"/>
      <c r="Z219" s="4">
        <f t="shared" ref="Z219:Z230" si="92">Z$45</f>
        <v>0.97567954220314734</v>
      </c>
      <c r="AA219" s="5">
        <v>15</v>
      </c>
      <c r="AB219" s="31">
        <f t="shared" si="78"/>
        <v>0.99177457101277389</v>
      </c>
      <c r="AC219" s="32">
        <v>2112</v>
      </c>
      <c r="AD219" s="24">
        <f t="shared" si="79"/>
        <v>576</v>
      </c>
      <c r="AE219" s="24">
        <f t="shared" si="90"/>
        <v>571.29999999999995</v>
      </c>
      <c r="AF219" s="24">
        <f t="shared" si="80"/>
        <v>-4.7000000000000455</v>
      </c>
      <c r="AG219" s="24"/>
      <c r="AH219" s="24">
        <v>154.19999999999999</v>
      </c>
      <c r="AI219" s="24">
        <v>226.6</v>
      </c>
      <c r="AJ219" s="24">
        <f t="shared" si="81"/>
        <v>190.5</v>
      </c>
      <c r="AK219" s="68"/>
      <c r="AL219" s="40"/>
      <c r="AM219" s="40"/>
      <c r="AN219" s="68"/>
      <c r="AO219" s="68"/>
      <c r="AP219" s="24">
        <f t="shared" si="82"/>
        <v>190.5</v>
      </c>
      <c r="AQ219" s="24"/>
      <c r="AR219" s="24">
        <f t="shared" si="83"/>
        <v>190.5</v>
      </c>
      <c r="AS219" s="76"/>
      <c r="AT219" s="1"/>
      <c r="AU219" s="1"/>
      <c r="AV219" s="38"/>
      <c r="AW219" s="38"/>
      <c r="BA219" s="1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9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9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9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9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9"/>
      <c r="GH219" s="8"/>
      <c r="GI219" s="8"/>
    </row>
    <row r="220" spans="1:191" s="2" customFormat="1" ht="17.100000000000001" customHeight="1">
      <c r="A220" s="33" t="s">
        <v>201</v>
      </c>
      <c r="B220" s="24">
        <v>5690.6</v>
      </c>
      <c r="C220" s="24">
        <v>6497.5</v>
      </c>
      <c r="D220" s="4">
        <f t="shared" si="77"/>
        <v>1.1417952412750851</v>
      </c>
      <c r="E220" s="10">
        <v>15</v>
      </c>
      <c r="F220" s="5">
        <v>1</v>
      </c>
      <c r="G220" s="5">
        <v>10</v>
      </c>
      <c r="H220" s="5"/>
      <c r="I220" s="5"/>
      <c r="J220" s="4">
        <f t="shared" si="91"/>
        <v>1.0084615384615385</v>
      </c>
      <c r="K220" s="5">
        <v>10</v>
      </c>
      <c r="L220" s="5" t="s">
        <v>394</v>
      </c>
      <c r="M220" s="5" t="s">
        <v>394</v>
      </c>
      <c r="N220" s="4" t="s">
        <v>394</v>
      </c>
      <c r="O220" s="5"/>
      <c r="P220" s="5" t="s">
        <v>394</v>
      </c>
      <c r="Q220" s="5" t="s">
        <v>394</v>
      </c>
      <c r="R220" s="5" t="s">
        <v>394</v>
      </c>
      <c r="S220" s="5"/>
      <c r="T220" s="5" t="s">
        <v>394</v>
      </c>
      <c r="U220" s="5" t="s">
        <v>394</v>
      </c>
      <c r="V220" s="5" t="s">
        <v>394</v>
      </c>
      <c r="W220" s="5"/>
      <c r="X220" s="5"/>
      <c r="Y220" s="5"/>
      <c r="Z220" s="4">
        <f t="shared" si="92"/>
        <v>0.97567954220314734</v>
      </c>
      <c r="AA220" s="5">
        <v>15</v>
      </c>
      <c r="AB220" s="31">
        <f t="shared" si="78"/>
        <v>1.0369347427357776</v>
      </c>
      <c r="AC220" s="32">
        <v>22</v>
      </c>
      <c r="AD220" s="24">
        <f t="shared" si="79"/>
        <v>6</v>
      </c>
      <c r="AE220" s="24">
        <f t="shared" si="90"/>
        <v>6.2</v>
      </c>
      <c r="AF220" s="24">
        <f t="shared" si="80"/>
        <v>0.20000000000000018</v>
      </c>
      <c r="AG220" s="24"/>
      <c r="AH220" s="24">
        <v>2.2000000000000002</v>
      </c>
      <c r="AI220" s="24">
        <v>2.1</v>
      </c>
      <c r="AJ220" s="24">
        <f t="shared" si="81"/>
        <v>1.9</v>
      </c>
      <c r="AK220" s="68"/>
      <c r="AL220" s="40"/>
      <c r="AM220" s="40"/>
      <c r="AN220" s="68"/>
      <c r="AO220" s="68"/>
      <c r="AP220" s="24">
        <f t="shared" si="82"/>
        <v>1.9</v>
      </c>
      <c r="AQ220" s="24"/>
      <c r="AR220" s="24">
        <f t="shared" si="83"/>
        <v>1.9</v>
      </c>
      <c r="AS220" s="76"/>
      <c r="AT220" s="1"/>
      <c r="AU220" s="1"/>
      <c r="AV220" s="38"/>
      <c r="AW220" s="38"/>
      <c r="BA220" s="1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9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9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9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9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9"/>
      <c r="GH220" s="8"/>
      <c r="GI220" s="8"/>
    </row>
    <row r="221" spans="1:191" s="2" customFormat="1" ht="17.100000000000001" customHeight="1">
      <c r="A221" s="33" t="s">
        <v>202</v>
      </c>
      <c r="B221" s="24">
        <v>845.2</v>
      </c>
      <c r="C221" s="24">
        <v>522.9</v>
      </c>
      <c r="D221" s="4">
        <f t="shared" si="77"/>
        <v>0.61867013724562225</v>
      </c>
      <c r="E221" s="10">
        <v>15</v>
      </c>
      <c r="F221" s="5">
        <v>1</v>
      </c>
      <c r="G221" s="5">
        <v>10</v>
      </c>
      <c r="H221" s="5"/>
      <c r="I221" s="5"/>
      <c r="J221" s="4">
        <f t="shared" si="91"/>
        <v>1.0084615384615385</v>
      </c>
      <c r="K221" s="5">
        <v>10</v>
      </c>
      <c r="L221" s="5" t="s">
        <v>394</v>
      </c>
      <c r="M221" s="5" t="s">
        <v>394</v>
      </c>
      <c r="N221" s="4" t="s">
        <v>394</v>
      </c>
      <c r="O221" s="5"/>
      <c r="P221" s="5" t="s">
        <v>394</v>
      </c>
      <c r="Q221" s="5" t="s">
        <v>394</v>
      </c>
      <c r="R221" s="5" t="s">
        <v>394</v>
      </c>
      <c r="S221" s="5"/>
      <c r="T221" s="5" t="s">
        <v>394</v>
      </c>
      <c r="U221" s="5" t="s">
        <v>394</v>
      </c>
      <c r="V221" s="5" t="s">
        <v>394</v>
      </c>
      <c r="W221" s="5"/>
      <c r="X221" s="5"/>
      <c r="Y221" s="5"/>
      <c r="Z221" s="4">
        <f t="shared" si="92"/>
        <v>0.97567954220314734</v>
      </c>
      <c r="AA221" s="5">
        <v>15</v>
      </c>
      <c r="AB221" s="31">
        <f t="shared" si="78"/>
        <v>0.87999721152693866</v>
      </c>
      <c r="AC221" s="32">
        <v>1429</v>
      </c>
      <c r="AD221" s="24">
        <f t="shared" si="79"/>
        <v>389.72727272727275</v>
      </c>
      <c r="AE221" s="24">
        <f t="shared" si="90"/>
        <v>343</v>
      </c>
      <c r="AF221" s="24">
        <f t="shared" si="80"/>
        <v>-46.727272727272748</v>
      </c>
      <c r="AG221" s="24"/>
      <c r="AH221" s="24">
        <v>95.4</v>
      </c>
      <c r="AI221" s="24">
        <v>112.4</v>
      </c>
      <c r="AJ221" s="24">
        <f t="shared" si="81"/>
        <v>135.19999999999999</v>
      </c>
      <c r="AK221" s="68"/>
      <c r="AL221" s="40"/>
      <c r="AM221" s="40"/>
      <c r="AN221" s="68"/>
      <c r="AO221" s="68"/>
      <c r="AP221" s="24">
        <f t="shared" si="82"/>
        <v>135.19999999999999</v>
      </c>
      <c r="AQ221" s="24"/>
      <c r="AR221" s="24">
        <f t="shared" si="83"/>
        <v>135.19999999999999</v>
      </c>
      <c r="AS221" s="76"/>
      <c r="AT221" s="1"/>
      <c r="AU221" s="1"/>
      <c r="AV221" s="38"/>
      <c r="AW221" s="38"/>
      <c r="BA221" s="1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9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9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9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9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9"/>
      <c r="GH221" s="8"/>
      <c r="GI221" s="8"/>
    </row>
    <row r="222" spans="1:191" s="2" customFormat="1" ht="17.100000000000001" customHeight="1">
      <c r="A222" s="33" t="s">
        <v>203</v>
      </c>
      <c r="B222" s="24">
        <v>17192.7</v>
      </c>
      <c r="C222" s="24">
        <v>10855.4</v>
      </c>
      <c r="D222" s="4">
        <f t="shared" si="77"/>
        <v>0.63139588313644734</v>
      </c>
      <c r="E222" s="10">
        <v>15</v>
      </c>
      <c r="F222" s="5">
        <v>1</v>
      </c>
      <c r="G222" s="5">
        <v>10</v>
      </c>
      <c r="H222" s="5"/>
      <c r="I222" s="5"/>
      <c r="J222" s="4">
        <f t="shared" si="91"/>
        <v>1.0084615384615385</v>
      </c>
      <c r="K222" s="5">
        <v>10</v>
      </c>
      <c r="L222" s="5" t="s">
        <v>394</v>
      </c>
      <c r="M222" s="5" t="s">
        <v>394</v>
      </c>
      <c r="N222" s="4" t="s">
        <v>394</v>
      </c>
      <c r="O222" s="5"/>
      <c r="P222" s="5" t="s">
        <v>394</v>
      </c>
      <c r="Q222" s="5" t="s">
        <v>394</v>
      </c>
      <c r="R222" s="5" t="s">
        <v>394</v>
      </c>
      <c r="S222" s="5"/>
      <c r="T222" s="5" t="s">
        <v>394</v>
      </c>
      <c r="U222" s="5" t="s">
        <v>394</v>
      </c>
      <c r="V222" s="5" t="s">
        <v>394</v>
      </c>
      <c r="W222" s="5"/>
      <c r="X222" s="5"/>
      <c r="Y222" s="5"/>
      <c r="Z222" s="4">
        <f t="shared" si="92"/>
        <v>0.97567954220314734</v>
      </c>
      <c r="AA222" s="5">
        <v>15</v>
      </c>
      <c r="AB222" s="31">
        <f t="shared" si="78"/>
        <v>0.88381493529418609</v>
      </c>
      <c r="AC222" s="32">
        <v>3133</v>
      </c>
      <c r="AD222" s="24">
        <f t="shared" si="79"/>
        <v>854.4545454545455</v>
      </c>
      <c r="AE222" s="24">
        <f t="shared" si="90"/>
        <v>755.2</v>
      </c>
      <c r="AF222" s="24">
        <f t="shared" si="80"/>
        <v>-99.25454545454545</v>
      </c>
      <c r="AG222" s="24"/>
      <c r="AH222" s="24">
        <v>188.3</v>
      </c>
      <c r="AI222" s="24">
        <v>244.5</v>
      </c>
      <c r="AJ222" s="24">
        <f t="shared" si="81"/>
        <v>322.39999999999998</v>
      </c>
      <c r="AK222" s="68"/>
      <c r="AL222" s="40"/>
      <c r="AM222" s="40"/>
      <c r="AN222" s="68"/>
      <c r="AO222" s="68"/>
      <c r="AP222" s="24">
        <f t="shared" si="82"/>
        <v>322.39999999999998</v>
      </c>
      <c r="AQ222" s="24"/>
      <c r="AR222" s="24">
        <f t="shared" si="83"/>
        <v>322.39999999999998</v>
      </c>
      <c r="AS222" s="76"/>
      <c r="AT222" s="1"/>
      <c r="AU222" s="1"/>
      <c r="AV222" s="38"/>
      <c r="AW222" s="38"/>
      <c r="BA222" s="1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9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9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9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9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9"/>
      <c r="GH222" s="8"/>
      <c r="GI222" s="8"/>
    </row>
    <row r="223" spans="1:191" s="2" customFormat="1" ht="17.100000000000001" customHeight="1">
      <c r="A223" s="33" t="s">
        <v>204</v>
      </c>
      <c r="B223" s="24">
        <v>2308</v>
      </c>
      <c r="C223" s="24">
        <v>1742</v>
      </c>
      <c r="D223" s="4">
        <f t="shared" si="77"/>
        <v>0.75476603119584051</v>
      </c>
      <c r="E223" s="10">
        <v>15</v>
      </c>
      <c r="F223" s="5">
        <v>1</v>
      </c>
      <c r="G223" s="5">
        <v>10</v>
      </c>
      <c r="H223" s="5"/>
      <c r="I223" s="5"/>
      <c r="J223" s="4">
        <f t="shared" si="91"/>
        <v>1.0084615384615385</v>
      </c>
      <c r="K223" s="5">
        <v>10</v>
      </c>
      <c r="L223" s="5" t="s">
        <v>394</v>
      </c>
      <c r="M223" s="5" t="s">
        <v>394</v>
      </c>
      <c r="N223" s="4" t="s">
        <v>394</v>
      </c>
      <c r="O223" s="5"/>
      <c r="P223" s="5" t="s">
        <v>394</v>
      </c>
      <c r="Q223" s="5" t="s">
        <v>394</v>
      </c>
      <c r="R223" s="5" t="s">
        <v>394</v>
      </c>
      <c r="S223" s="5"/>
      <c r="T223" s="5" t="s">
        <v>394</v>
      </c>
      <c r="U223" s="5" t="s">
        <v>394</v>
      </c>
      <c r="V223" s="5" t="s">
        <v>394</v>
      </c>
      <c r="W223" s="5"/>
      <c r="X223" s="5"/>
      <c r="Y223" s="5"/>
      <c r="Z223" s="4">
        <f t="shared" si="92"/>
        <v>0.97567954220314734</v>
      </c>
      <c r="AA223" s="5">
        <v>15</v>
      </c>
      <c r="AB223" s="31">
        <f t="shared" si="78"/>
        <v>0.92082597971200419</v>
      </c>
      <c r="AC223" s="32">
        <v>2244</v>
      </c>
      <c r="AD223" s="24">
        <f t="shared" si="79"/>
        <v>612</v>
      </c>
      <c r="AE223" s="24">
        <f t="shared" si="90"/>
        <v>563.5</v>
      </c>
      <c r="AF223" s="24">
        <f t="shared" si="80"/>
        <v>-48.5</v>
      </c>
      <c r="AG223" s="24"/>
      <c r="AH223" s="24">
        <v>160.6</v>
      </c>
      <c r="AI223" s="24">
        <v>178.1</v>
      </c>
      <c r="AJ223" s="24">
        <f t="shared" si="81"/>
        <v>224.8</v>
      </c>
      <c r="AK223" s="68"/>
      <c r="AL223" s="40"/>
      <c r="AM223" s="40"/>
      <c r="AN223" s="68"/>
      <c r="AO223" s="68"/>
      <c r="AP223" s="24">
        <f t="shared" si="82"/>
        <v>224.8</v>
      </c>
      <c r="AQ223" s="24"/>
      <c r="AR223" s="24">
        <f t="shared" si="83"/>
        <v>224.8</v>
      </c>
      <c r="AS223" s="76"/>
      <c r="AT223" s="1"/>
      <c r="AU223" s="1"/>
      <c r="AV223" s="38"/>
      <c r="AW223" s="38"/>
      <c r="BA223" s="1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9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9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9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9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9"/>
      <c r="GH223" s="8"/>
      <c r="GI223" s="8"/>
    </row>
    <row r="224" spans="1:191" s="2" customFormat="1" ht="17.100000000000001" customHeight="1">
      <c r="A224" s="33" t="s">
        <v>205</v>
      </c>
      <c r="B224" s="24">
        <v>9343.2000000000007</v>
      </c>
      <c r="C224" s="24">
        <v>7189.2</v>
      </c>
      <c r="D224" s="4">
        <f t="shared" si="77"/>
        <v>0.76945800154122779</v>
      </c>
      <c r="E224" s="10">
        <v>15</v>
      </c>
      <c r="F224" s="5">
        <v>1</v>
      </c>
      <c r="G224" s="5">
        <v>10</v>
      </c>
      <c r="H224" s="5"/>
      <c r="I224" s="5"/>
      <c r="J224" s="4">
        <f t="shared" si="91"/>
        <v>1.0084615384615385</v>
      </c>
      <c r="K224" s="5">
        <v>10</v>
      </c>
      <c r="L224" s="5" t="s">
        <v>394</v>
      </c>
      <c r="M224" s="5" t="s">
        <v>394</v>
      </c>
      <c r="N224" s="4" t="s">
        <v>394</v>
      </c>
      <c r="O224" s="5"/>
      <c r="P224" s="5" t="s">
        <v>394</v>
      </c>
      <c r="Q224" s="5" t="s">
        <v>394</v>
      </c>
      <c r="R224" s="5" t="s">
        <v>394</v>
      </c>
      <c r="S224" s="5"/>
      <c r="T224" s="5" t="s">
        <v>394</v>
      </c>
      <c r="U224" s="5" t="s">
        <v>394</v>
      </c>
      <c r="V224" s="5" t="s">
        <v>394</v>
      </c>
      <c r="W224" s="5"/>
      <c r="X224" s="5"/>
      <c r="Y224" s="5"/>
      <c r="Z224" s="4">
        <f t="shared" si="92"/>
        <v>0.97567954220314734</v>
      </c>
      <c r="AA224" s="5">
        <v>15</v>
      </c>
      <c r="AB224" s="31">
        <f t="shared" si="78"/>
        <v>0.9252335708156203</v>
      </c>
      <c r="AC224" s="32">
        <v>64</v>
      </c>
      <c r="AD224" s="24">
        <f t="shared" si="79"/>
        <v>17.454545454545453</v>
      </c>
      <c r="AE224" s="24">
        <f t="shared" si="90"/>
        <v>16.100000000000001</v>
      </c>
      <c r="AF224" s="24">
        <f t="shared" si="80"/>
        <v>-1.3545454545454518</v>
      </c>
      <c r="AG224" s="24"/>
      <c r="AH224" s="24">
        <v>5.3</v>
      </c>
      <c r="AI224" s="24">
        <v>4.9000000000000004</v>
      </c>
      <c r="AJ224" s="24">
        <f t="shared" si="81"/>
        <v>5.9</v>
      </c>
      <c r="AK224" s="40"/>
      <c r="AL224" s="40"/>
      <c r="AM224" s="40"/>
      <c r="AN224" s="68"/>
      <c r="AO224" s="68"/>
      <c r="AP224" s="24">
        <f t="shared" si="82"/>
        <v>5.9</v>
      </c>
      <c r="AQ224" s="24"/>
      <c r="AR224" s="24">
        <f t="shared" si="83"/>
        <v>5.9</v>
      </c>
      <c r="AS224" s="76"/>
      <c r="AT224" s="1"/>
      <c r="AU224" s="1"/>
      <c r="AV224" s="38"/>
      <c r="AW224" s="38"/>
      <c r="BA224" s="1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9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9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9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9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9"/>
      <c r="GH224" s="8"/>
      <c r="GI224" s="8"/>
    </row>
    <row r="225" spans="1:191" s="2" customFormat="1" ht="17.100000000000001" customHeight="1">
      <c r="A225" s="33" t="s">
        <v>206</v>
      </c>
      <c r="B225" s="24">
        <v>1612.8</v>
      </c>
      <c r="C225" s="24">
        <v>977.5</v>
      </c>
      <c r="D225" s="4">
        <f t="shared" si="77"/>
        <v>0.60608878968253965</v>
      </c>
      <c r="E225" s="10">
        <v>15</v>
      </c>
      <c r="F225" s="5">
        <v>1</v>
      </c>
      <c r="G225" s="5">
        <v>10</v>
      </c>
      <c r="H225" s="5"/>
      <c r="I225" s="5"/>
      <c r="J225" s="4">
        <f t="shared" si="91"/>
        <v>1.0084615384615385</v>
      </c>
      <c r="K225" s="5">
        <v>10</v>
      </c>
      <c r="L225" s="5" t="s">
        <v>394</v>
      </c>
      <c r="M225" s="5" t="s">
        <v>394</v>
      </c>
      <c r="N225" s="4" t="s">
        <v>394</v>
      </c>
      <c r="O225" s="5"/>
      <c r="P225" s="5" t="s">
        <v>394</v>
      </c>
      <c r="Q225" s="5" t="s">
        <v>394</v>
      </c>
      <c r="R225" s="5" t="s">
        <v>394</v>
      </c>
      <c r="S225" s="5"/>
      <c r="T225" s="5" t="s">
        <v>394</v>
      </c>
      <c r="U225" s="5" t="s">
        <v>394</v>
      </c>
      <c r="V225" s="5" t="s">
        <v>394</v>
      </c>
      <c r="W225" s="5"/>
      <c r="X225" s="5"/>
      <c r="Y225" s="5"/>
      <c r="Z225" s="4">
        <f t="shared" si="92"/>
        <v>0.97567954220314734</v>
      </c>
      <c r="AA225" s="5">
        <v>15</v>
      </c>
      <c r="AB225" s="31">
        <f t="shared" si="78"/>
        <v>0.87622280725801371</v>
      </c>
      <c r="AC225" s="32">
        <v>2386</v>
      </c>
      <c r="AD225" s="24">
        <f t="shared" si="79"/>
        <v>650.72727272727275</v>
      </c>
      <c r="AE225" s="24">
        <f t="shared" si="90"/>
        <v>570.20000000000005</v>
      </c>
      <c r="AF225" s="24">
        <f t="shared" si="80"/>
        <v>-80.527272727272702</v>
      </c>
      <c r="AG225" s="24"/>
      <c r="AH225" s="24">
        <v>159.69999999999999</v>
      </c>
      <c r="AI225" s="24">
        <v>136.4</v>
      </c>
      <c r="AJ225" s="24">
        <f t="shared" si="81"/>
        <v>274.10000000000002</v>
      </c>
      <c r="AK225" s="68"/>
      <c r="AL225" s="40"/>
      <c r="AM225" s="40"/>
      <c r="AN225" s="68"/>
      <c r="AO225" s="68"/>
      <c r="AP225" s="24">
        <f t="shared" si="82"/>
        <v>274.10000000000002</v>
      </c>
      <c r="AQ225" s="24"/>
      <c r="AR225" s="24">
        <f t="shared" si="83"/>
        <v>274.10000000000002</v>
      </c>
      <c r="AS225" s="76"/>
      <c r="AT225" s="1"/>
      <c r="AU225" s="1"/>
      <c r="AV225" s="38"/>
      <c r="AW225" s="38"/>
      <c r="BA225" s="1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9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9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9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9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9"/>
      <c r="GH225" s="8"/>
      <c r="GI225" s="8"/>
    </row>
    <row r="226" spans="1:191" s="2" customFormat="1" ht="17.100000000000001" customHeight="1">
      <c r="A226" s="33" t="s">
        <v>207</v>
      </c>
      <c r="B226" s="24">
        <v>5580.5</v>
      </c>
      <c r="C226" s="24">
        <v>5805</v>
      </c>
      <c r="D226" s="4">
        <f t="shared" si="77"/>
        <v>1.0402293701281247</v>
      </c>
      <c r="E226" s="10">
        <v>15</v>
      </c>
      <c r="F226" s="5">
        <v>1</v>
      </c>
      <c r="G226" s="5">
        <v>10</v>
      </c>
      <c r="H226" s="5"/>
      <c r="I226" s="5"/>
      <c r="J226" s="4">
        <f t="shared" si="91"/>
        <v>1.0084615384615385</v>
      </c>
      <c r="K226" s="5">
        <v>10</v>
      </c>
      <c r="L226" s="5" t="s">
        <v>394</v>
      </c>
      <c r="M226" s="5" t="s">
        <v>394</v>
      </c>
      <c r="N226" s="4" t="s">
        <v>394</v>
      </c>
      <c r="O226" s="5"/>
      <c r="P226" s="5" t="s">
        <v>394</v>
      </c>
      <c r="Q226" s="5" t="s">
        <v>394</v>
      </c>
      <c r="R226" s="5" t="s">
        <v>394</v>
      </c>
      <c r="S226" s="5"/>
      <c r="T226" s="5" t="s">
        <v>394</v>
      </c>
      <c r="U226" s="5" t="s">
        <v>394</v>
      </c>
      <c r="V226" s="5" t="s">
        <v>394</v>
      </c>
      <c r="W226" s="5"/>
      <c r="X226" s="5"/>
      <c r="Y226" s="5"/>
      <c r="Z226" s="4">
        <f t="shared" si="92"/>
        <v>0.97567954220314734</v>
      </c>
      <c r="AA226" s="5">
        <v>15</v>
      </c>
      <c r="AB226" s="31">
        <f t="shared" si="78"/>
        <v>1.0064649813916893</v>
      </c>
      <c r="AC226" s="32">
        <v>238</v>
      </c>
      <c r="AD226" s="24">
        <f t="shared" si="79"/>
        <v>64.909090909090907</v>
      </c>
      <c r="AE226" s="24">
        <f t="shared" si="90"/>
        <v>65.3</v>
      </c>
      <c r="AF226" s="24">
        <f t="shared" si="80"/>
        <v>0.39090909090909065</v>
      </c>
      <c r="AG226" s="24"/>
      <c r="AH226" s="24">
        <v>23.3</v>
      </c>
      <c r="AI226" s="24">
        <v>24.5</v>
      </c>
      <c r="AJ226" s="24">
        <f t="shared" si="81"/>
        <v>17.5</v>
      </c>
      <c r="AK226" s="40"/>
      <c r="AL226" s="40"/>
      <c r="AM226" s="40"/>
      <c r="AN226" s="68"/>
      <c r="AO226" s="68"/>
      <c r="AP226" s="24">
        <f t="shared" si="82"/>
        <v>17.5</v>
      </c>
      <c r="AQ226" s="24"/>
      <c r="AR226" s="24">
        <f t="shared" si="83"/>
        <v>17.5</v>
      </c>
      <c r="AS226" s="76"/>
      <c r="AT226" s="1"/>
      <c r="AU226" s="1"/>
      <c r="AV226" s="38"/>
      <c r="AW226" s="38"/>
      <c r="BA226" s="1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9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9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9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9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9"/>
      <c r="GH226" s="8"/>
      <c r="GI226" s="8"/>
    </row>
    <row r="227" spans="1:191" s="2" customFormat="1" ht="17.100000000000001" customHeight="1">
      <c r="A227" s="33" t="s">
        <v>208</v>
      </c>
      <c r="B227" s="24">
        <v>511.6</v>
      </c>
      <c r="C227" s="24">
        <v>165.9</v>
      </c>
      <c r="D227" s="4">
        <f t="shared" si="77"/>
        <v>0.32427677873338545</v>
      </c>
      <c r="E227" s="10">
        <v>15</v>
      </c>
      <c r="F227" s="5">
        <v>1</v>
      </c>
      <c r="G227" s="5">
        <v>10</v>
      </c>
      <c r="H227" s="5"/>
      <c r="I227" s="5"/>
      <c r="J227" s="4">
        <f t="shared" si="91"/>
        <v>1.0084615384615385</v>
      </c>
      <c r="K227" s="5">
        <v>10</v>
      </c>
      <c r="L227" s="5" t="s">
        <v>394</v>
      </c>
      <c r="M227" s="5" t="s">
        <v>394</v>
      </c>
      <c r="N227" s="4" t="s">
        <v>394</v>
      </c>
      <c r="O227" s="5"/>
      <c r="P227" s="5" t="s">
        <v>394</v>
      </c>
      <c r="Q227" s="5" t="s">
        <v>394</v>
      </c>
      <c r="R227" s="5" t="s">
        <v>394</v>
      </c>
      <c r="S227" s="5"/>
      <c r="T227" s="5" t="s">
        <v>394</v>
      </c>
      <c r="U227" s="5" t="s">
        <v>394</v>
      </c>
      <c r="V227" s="5" t="s">
        <v>394</v>
      </c>
      <c r="W227" s="5"/>
      <c r="X227" s="5"/>
      <c r="Y227" s="5"/>
      <c r="Z227" s="4">
        <f t="shared" si="92"/>
        <v>0.97567954220314734</v>
      </c>
      <c r="AA227" s="5">
        <v>15</v>
      </c>
      <c r="AB227" s="31">
        <f t="shared" si="78"/>
        <v>0.79167920397326752</v>
      </c>
      <c r="AC227" s="32">
        <v>1064</v>
      </c>
      <c r="AD227" s="24">
        <f t="shared" si="79"/>
        <v>290.18181818181819</v>
      </c>
      <c r="AE227" s="24">
        <f t="shared" si="90"/>
        <v>229.7</v>
      </c>
      <c r="AF227" s="24">
        <f t="shared" si="80"/>
        <v>-60.481818181818198</v>
      </c>
      <c r="AG227" s="24"/>
      <c r="AH227" s="24">
        <v>57.2</v>
      </c>
      <c r="AI227" s="24">
        <v>58.5</v>
      </c>
      <c r="AJ227" s="24">
        <f t="shared" si="81"/>
        <v>114</v>
      </c>
      <c r="AK227" s="68"/>
      <c r="AL227" s="40"/>
      <c r="AM227" s="40"/>
      <c r="AN227" s="68"/>
      <c r="AO227" s="68"/>
      <c r="AP227" s="24">
        <f t="shared" si="82"/>
        <v>114</v>
      </c>
      <c r="AQ227" s="24"/>
      <c r="AR227" s="24">
        <f t="shared" si="83"/>
        <v>114</v>
      </c>
      <c r="AS227" s="76"/>
      <c r="AT227" s="1"/>
      <c r="AU227" s="1"/>
      <c r="AV227" s="38"/>
      <c r="AW227" s="38"/>
      <c r="BA227" s="1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9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9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9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9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9"/>
      <c r="GH227" s="8"/>
      <c r="GI227" s="8"/>
    </row>
    <row r="228" spans="1:191" s="2" customFormat="1" ht="17.100000000000001" customHeight="1">
      <c r="A228" s="33" t="s">
        <v>209</v>
      </c>
      <c r="B228" s="24">
        <v>890.4</v>
      </c>
      <c r="C228" s="24">
        <v>194.4</v>
      </c>
      <c r="D228" s="4">
        <f t="shared" si="77"/>
        <v>0.21832884097035041</v>
      </c>
      <c r="E228" s="10">
        <v>15</v>
      </c>
      <c r="F228" s="5">
        <v>1</v>
      </c>
      <c r="G228" s="5">
        <v>10</v>
      </c>
      <c r="H228" s="5"/>
      <c r="I228" s="5"/>
      <c r="J228" s="4">
        <f t="shared" si="91"/>
        <v>1.0084615384615385</v>
      </c>
      <c r="K228" s="5">
        <v>10</v>
      </c>
      <c r="L228" s="5" t="s">
        <v>394</v>
      </c>
      <c r="M228" s="5" t="s">
        <v>394</v>
      </c>
      <c r="N228" s="4" t="s">
        <v>394</v>
      </c>
      <c r="O228" s="5"/>
      <c r="P228" s="5" t="s">
        <v>394</v>
      </c>
      <c r="Q228" s="5" t="s">
        <v>394</v>
      </c>
      <c r="R228" s="5" t="s">
        <v>394</v>
      </c>
      <c r="S228" s="5"/>
      <c r="T228" s="5" t="s">
        <v>394</v>
      </c>
      <c r="U228" s="5" t="s">
        <v>394</v>
      </c>
      <c r="V228" s="5" t="s">
        <v>394</v>
      </c>
      <c r="W228" s="5"/>
      <c r="X228" s="5"/>
      <c r="Y228" s="5"/>
      <c r="Z228" s="4">
        <f t="shared" si="92"/>
        <v>0.97567954220314734</v>
      </c>
      <c r="AA228" s="5">
        <v>15</v>
      </c>
      <c r="AB228" s="31">
        <f t="shared" si="78"/>
        <v>0.75989482264435704</v>
      </c>
      <c r="AC228" s="32">
        <v>2434</v>
      </c>
      <c r="AD228" s="24">
        <f t="shared" si="79"/>
        <v>663.81818181818187</v>
      </c>
      <c r="AE228" s="24">
        <f t="shared" si="90"/>
        <v>504.4</v>
      </c>
      <c r="AF228" s="24">
        <f t="shared" si="80"/>
        <v>-159.41818181818189</v>
      </c>
      <c r="AG228" s="24"/>
      <c r="AH228" s="24">
        <v>98.4</v>
      </c>
      <c r="AI228" s="24">
        <v>198.6</v>
      </c>
      <c r="AJ228" s="24">
        <f t="shared" si="81"/>
        <v>207.4</v>
      </c>
      <c r="AK228" s="68"/>
      <c r="AL228" s="40"/>
      <c r="AM228" s="40"/>
      <c r="AN228" s="68"/>
      <c r="AO228" s="68"/>
      <c r="AP228" s="24">
        <f t="shared" si="82"/>
        <v>207.4</v>
      </c>
      <c r="AQ228" s="24"/>
      <c r="AR228" s="24">
        <f t="shared" si="83"/>
        <v>207.4</v>
      </c>
      <c r="AS228" s="76"/>
      <c r="AT228" s="1"/>
      <c r="AU228" s="1"/>
      <c r="AV228" s="38"/>
      <c r="AW228" s="38"/>
      <c r="BA228" s="1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9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9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9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9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9"/>
      <c r="GH228" s="8"/>
      <c r="GI228" s="8"/>
    </row>
    <row r="229" spans="1:191" s="2" customFormat="1" ht="17.100000000000001" customHeight="1">
      <c r="A229" s="33" t="s">
        <v>210</v>
      </c>
      <c r="B229" s="24">
        <v>4168.2</v>
      </c>
      <c r="C229" s="24">
        <v>1531.1</v>
      </c>
      <c r="D229" s="4">
        <f t="shared" si="77"/>
        <v>0.36732882299313852</v>
      </c>
      <c r="E229" s="10">
        <v>15</v>
      </c>
      <c r="F229" s="5">
        <v>1</v>
      </c>
      <c r="G229" s="5">
        <v>10</v>
      </c>
      <c r="H229" s="5"/>
      <c r="I229" s="5"/>
      <c r="J229" s="4">
        <f t="shared" si="91"/>
        <v>1.0084615384615385</v>
      </c>
      <c r="K229" s="5">
        <v>10</v>
      </c>
      <c r="L229" s="5" t="s">
        <v>394</v>
      </c>
      <c r="M229" s="5" t="s">
        <v>394</v>
      </c>
      <c r="N229" s="4" t="s">
        <v>394</v>
      </c>
      <c r="O229" s="5"/>
      <c r="P229" s="5" t="s">
        <v>394</v>
      </c>
      <c r="Q229" s="5" t="s">
        <v>394</v>
      </c>
      <c r="R229" s="5" t="s">
        <v>394</v>
      </c>
      <c r="S229" s="5"/>
      <c r="T229" s="5" t="s">
        <v>394</v>
      </c>
      <c r="U229" s="5" t="s">
        <v>394</v>
      </c>
      <c r="V229" s="5" t="s">
        <v>394</v>
      </c>
      <c r="W229" s="5"/>
      <c r="X229" s="5"/>
      <c r="Y229" s="5"/>
      <c r="Z229" s="4">
        <f t="shared" si="92"/>
        <v>0.97567954220314734</v>
      </c>
      <c r="AA229" s="5">
        <v>15</v>
      </c>
      <c r="AB229" s="31">
        <f t="shared" si="78"/>
        <v>0.80459481725119342</v>
      </c>
      <c r="AC229" s="32">
        <v>493</v>
      </c>
      <c r="AD229" s="24">
        <f t="shared" si="79"/>
        <v>134.45454545454547</v>
      </c>
      <c r="AE229" s="24">
        <f t="shared" si="90"/>
        <v>108.2</v>
      </c>
      <c r="AF229" s="24">
        <f t="shared" si="80"/>
        <v>-26.254545454545465</v>
      </c>
      <c r="AG229" s="24"/>
      <c r="AH229" s="24">
        <v>34.6</v>
      </c>
      <c r="AI229" s="24">
        <v>21</v>
      </c>
      <c r="AJ229" s="24">
        <f t="shared" si="81"/>
        <v>52.6</v>
      </c>
      <c r="AK229" s="68"/>
      <c r="AL229" s="40"/>
      <c r="AM229" s="40"/>
      <c r="AN229" s="68"/>
      <c r="AO229" s="68"/>
      <c r="AP229" s="24">
        <f t="shared" si="82"/>
        <v>52.6</v>
      </c>
      <c r="AQ229" s="24">
        <f>MIN(AP229,0.1)</f>
        <v>0.1</v>
      </c>
      <c r="AR229" s="24">
        <f t="shared" si="83"/>
        <v>52.5</v>
      </c>
      <c r="AS229" s="76"/>
      <c r="AT229" s="1"/>
      <c r="AU229" s="1"/>
      <c r="AV229" s="38"/>
      <c r="AW229" s="38"/>
      <c r="BA229" s="1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9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9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9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9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9"/>
      <c r="GH229" s="8"/>
      <c r="GI229" s="8"/>
    </row>
    <row r="230" spans="1:191" s="2" customFormat="1" ht="17.100000000000001" customHeight="1">
      <c r="A230" s="33" t="s">
        <v>211</v>
      </c>
      <c r="B230" s="24">
        <v>232.9</v>
      </c>
      <c r="C230" s="24">
        <v>256.89999999999998</v>
      </c>
      <c r="D230" s="4">
        <f t="shared" si="77"/>
        <v>1.1030485186775438</v>
      </c>
      <c r="E230" s="10">
        <v>15</v>
      </c>
      <c r="F230" s="5">
        <v>1</v>
      </c>
      <c r="G230" s="5">
        <v>10</v>
      </c>
      <c r="H230" s="5"/>
      <c r="I230" s="5"/>
      <c r="J230" s="4">
        <f t="shared" si="91"/>
        <v>1.0084615384615385</v>
      </c>
      <c r="K230" s="5">
        <v>10</v>
      </c>
      <c r="L230" s="5" t="s">
        <v>394</v>
      </c>
      <c r="M230" s="5" t="s">
        <v>394</v>
      </c>
      <c r="N230" s="4" t="s">
        <v>394</v>
      </c>
      <c r="O230" s="5"/>
      <c r="P230" s="5" t="s">
        <v>394</v>
      </c>
      <c r="Q230" s="5" t="s">
        <v>394</v>
      </c>
      <c r="R230" s="5" t="s">
        <v>394</v>
      </c>
      <c r="S230" s="5"/>
      <c r="T230" s="5" t="s">
        <v>394</v>
      </c>
      <c r="U230" s="5" t="s">
        <v>394</v>
      </c>
      <c r="V230" s="5" t="s">
        <v>394</v>
      </c>
      <c r="W230" s="5"/>
      <c r="X230" s="5"/>
      <c r="Y230" s="5"/>
      <c r="Z230" s="4">
        <f t="shared" si="92"/>
        <v>0.97567954220314734</v>
      </c>
      <c r="AA230" s="5">
        <v>15</v>
      </c>
      <c r="AB230" s="31">
        <f t="shared" si="78"/>
        <v>1.0253107259565151</v>
      </c>
      <c r="AC230" s="32">
        <v>1127</v>
      </c>
      <c r="AD230" s="24">
        <f t="shared" si="79"/>
        <v>307.36363636363637</v>
      </c>
      <c r="AE230" s="24">
        <f t="shared" si="90"/>
        <v>315.10000000000002</v>
      </c>
      <c r="AF230" s="24">
        <f t="shared" si="80"/>
        <v>7.7363636363636488</v>
      </c>
      <c r="AG230" s="24"/>
      <c r="AH230" s="24">
        <v>74.8</v>
      </c>
      <c r="AI230" s="24">
        <v>63.9</v>
      </c>
      <c r="AJ230" s="24">
        <f t="shared" si="81"/>
        <v>176.4</v>
      </c>
      <c r="AK230" s="68"/>
      <c r="AL230" s="40"/>
      <c r="AM230" s="40"/>
      <c r="AN230" s="68"/>
      <c r="AO230" s="68"/>
      <c r="AP230" s="24">
        <f t="shared" si="82"/>
        <v>176.4</v>
      </c>
      <c r="AQ230" s="24"/>
      <c r="AR230" s="24">
        <f t="shared" si="83"/>
        <v>176.4</v>
      </c>
      <c r="AS230" s="76"/>
      <c r="AT230" s="1"/>
      <c r="AU230" s="1"/>
      <c r="AV230" s="38"/>
      <c r="AW230" s="38"/>
      <c r="AX230" s="1"/>
      <c r="AY230" s="1"/>
      <c r="AZ230" s="1"/>
      <c r="BA230" s="1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9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9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9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9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9"/>
      <c r="GH230" s="8"/>
      <c r="GI230" s="8"/>
    </row>
    <row r="231" spans="1:191" s="2" customFormat="1" ht="17.100000000000001" customHeight="1">
      <c r="A231" s="17" t="s">
        <v>212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76"/>
      <c r="AT231" s="1"/>
      <c r="AU231" s="1"/>
      <c r="AV231" s="38"/>
      <c r="AW231" s="38"/>
      <c r="AX231" s="1"/>
      <c r="AY231" s="1"/>
      <c r="AZ231" s="1"/>
      <c r="BA231" s="1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9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9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9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9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9"/>
      <c r="GH231" s="8"/>
      <c r="GI231" s="8"/>
    </row>
    <row r="232" spans="1:191" s="2" customFormat="1" ht="17.100000000000001" customHeight="1">
      <c r="A232" s="13" t="s">
        <v>213</v>
      </c>
      <c r="B232" s="24">
        <v>719.6</v>
      </c>
      <c r="C232" s="24">
        <v>497.6</v>
      </c>
      <c r="D232" s="4">
        <f t="shared" si="77"/>
        <v>0.69149527515286269</v>
      </c>
      <c r="E232" s="10">
        <v>15</v>
      </c>
      <c r="F232" s="5">
        <v>1</v>
      </c>
      <c r="G232" s="5">
        <v>10</v>
      </c>
      <c r="H232" s="5"/>
      <c r="I232" s="5"/>
      <c r="J232" s="4">
        <f>J$46</f>
        <v>1.0023177955189286</v>
      </c>
      <c r="K232" s="5">
        <v>10</v>
      </c>
      <c r="L232" s="5" t="s">
        <v>394</v>
      </c>
      <c r="M232" s="5" t="s">
        <v>394</v>
      </c>
      <c r="N232" s="4" t="s">
        <v>394</v>
      </c>
      <c r="O232" s="5"/>
      <c r="P232" s="5" t="s">
        <v>394</v>
      </c>
      <c r="Q232" s="5" t="s">
        <v>394</v>
      </c>
      <c r="R232" s="5" t="s">
        <v>394</v>
      </c>
      <c r="S232" s="5"/>
      <c r="T232" s="5" t="s">
        <v>394</v>
      </c>
      <c r="U232" s="5" t="s">
        <v>394</v>
      </c>
      <c r="V232" s="5" t="s">
        <v>394</v>
      </c>
      <c r="W232" s="5"/>
      <c r="X232" s="5"/>
      <c r="Y232" s="5"/>
      <c r="Z232" s="4">
        <f>Z$46</f>
        <v>1.2066485998193315</v>
      </c>
      <c r="AA232" s="5">
        <v>15</v>
      </c>
      <c r="AB232" s="31">
        <f t="shared" si="78"/>
        <v>0.969906721595444</v>
      </c>
      <c r="AC232" s="32">
        <v>1460</v>
      </c>
      <c r="AD232" s="24">
        <f t="shared" si="79"/>
        <v>398.18181818181813</v>
      </c>
      <c r="AE232" s="24">
        <f t="shared" ref="AE232:AE240" si="93">ROUND(AB232*AD232,1)</f>
        <v>386.2</v>
      </c>
      <c r="AF232" s="24">
        <f t="shared" si="80"/>
        <v>-11.981818181818142</v>
      </c>
      <c r="AG232" s="24"/>
      <c r="AH232" s="24">
        <v>93.9</v>
      </c>
      <c r="AI232" s="24">
        <v>151.5</v>
      </c>
      <c r="AJ232" s="24">
        <f t="shared" si="81"/>
        <v>140.80000000000001</v>
      </c>
      <c r="AK232" s="68"/>
      <c r="AL232" s="40"/>
      <c r="AM232" s="40"/>
      <c r="AN232" s="68"/>
      <c r="AO232" s="68"/>
      <c r="AP232" s="24">
        <f t="shared" si="82"/>
        <v>140.80000000000001</v>
      </c>
      <c r="AQ232" s="24"/>
      <c r="AR232" s="24">
        <f t="shared" si="83"/>
        <v>140.80000000000001</v>
      </c>
      <c r="AS232" s="76"/>
      <c r="AT232" s="1"/>
      <c r="AU232" s="1"/>
      <c r="AV232" s="38"/>
      <c r="AW232" s="38"/>
      <c r="AX232" s="1"/>
      <c r="AY232" s="1"/>
      <c r="AZ232" s="1"/>
      <c r="BA232" s="1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9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9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9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9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9"/>
      <c r="GH232" s="8"/>
      <c r="GI232" s="8"/>
    </row>
    <row r="233" spans="1:191" s="2" customFormat="1" ht="17.100000000000001" customHeight="1">
      <c r="A233" s="13" t="s">
        <v>142</v>
      </c>
      <c r="B233" s="24">
        <v>359.4</v>
      </c>
      <c r="C233" s="24">
        <v>272.10000000000002</v>
      </c>
      <c r="D233" s="4">
        <f t="shared" si="77"/>
        <v>0.75709515859766285</v>
      </c>
      <c r="E233" s="10">
        <v>15</v>
      </c>
      <c r="F233" s="5">
        <v>1</v>
      </c>
      <c r="G233" s="5">
        <v>10</v>
      </c>
      <c r="H233" s="5"/>
      <c r="I233" s="5"/>
      <c r="J233" s="4">
        <f t="shared" ref="J233:J240" si="94">J$46</f>
        <v>1.0023177955189286</v>
      </c>
      <c r="K233" s="5">
        <v>10</v>
      </c>
      <c r="L233" s="5" t="s">
        <v>394</v>
      </c>
      <c r="M233" s="5" t="s">
        <v>394</v>
      </c>
      <c r="N233" s="4" t="s">
        <v>394</v>
      </c>
      <c r="O233" s="5"/>
      <c r="P233" s="5" t="s">
        <v>394</v>
      </c>
      <c r="Q233" s="5" t="s">
        <v>394</v>
      </c>
      <c r="R233" s="5" t="s">
        <v>394</v>
      </c>
      <c r="S233" s="5"/>
      <c r="T233" s="5" t="s">
        <v>394</v>
      </c>
      <c r="U233" s="5" t="s">
        <v>394</v>
      </c>
      <c r="V233" s="5" t="s">
        <v>394</v>
      </c>
      <c r="W233" s="5"/>
      <c r="X233" s="5"/>
      <c r="Y233" s="5"/>
      <c r="Z233" s="4">
        <f t="shared" ref="Z233:Z240" si="95">Z$46</f>
        <v>1.2066485998193315</v>
      </c>
      <c r="AA233" s="5">
        <v>15</v>
      </c>
      <c r="AB233" s="31">
        <f t="shared" si="78"/>
        <v>0.98958668662888416</v>
      </c>
      <c r="AC233" s="32">
        <v>1087</v>
      </c>
      <c r="AD233" s="24">
        <f t="shared" si="79"/>
        <v>296.45454545454544</v>
      </c>
      <c r="AE233" s="24">
        <f t="shared" si="93"/>
        <v>293.39999999999998</v>
      </c>
      <c r="AF233" s="24">
        <f t="shared" si="80"/>
        <v>-3.0545454545454618</v>
      </c>
      <c r="AG233" s="24"/>
      <c r="AH233" s="24">
        <v>60.2</v>
      </c>
      <c r="AI233" s="24">
        <v>87.5</v>
      </c>
      <c r="AJ233" s="24">
        <f t="shared" si="81"/>
        <v>145.69999999999999</v>
      </c>
      <c r="AK233" s="68"/>
      <c r="AL233" s="40"/>
      <c r="AM233" s="40"/>
      <c r="AN233" s="68"/>
      <c r="AO233" s="68"/>
      <c r="AP233" s="24">
        <f t="shared" si="82"/>
        <v>145.69999999999999</v>
      </c>
      <c r="AQ233" s="24"/>
      <c r="AR233" s="24">
        <f t="shared" si="83"/>
        <v>145.69999999999999</v>
      </c>
      <c r="AS233" s="76"/>
      <c r="AT233" s="1"/>
      <c r="AU233" s="1"/>
      <c r="AV233" s="38"/>
      <c r="AW233" s="38"/>
      <c r="BA233" s="1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9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9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9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9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9"/>
      <c r="GH233" s="8"/>
      <c r="GI233" s="8"/>
    </row>
    <row r="234" spans="1:191" s="2" customFormat="1" ht="17.100000000000001" customHeight="1">
      <c r="A234" s="13" t="s">
        <v>214</v>
      </c>
      <c r="B234" s="24">
        <v>584</v>
      </c>
      <c r="C234" s="24">
        <v>516.29999999999995</v>
      </c>
      <c r="D234" s="4">
        <f t="shared" si="77"/>
        <v>0.88407534246575337</v>
      </c>
      <c r="E234" s="10">
        <v>15</v>
      </c>
      <c r="F234" s="5">
        <v>1</v>
      </c>
      <c r="G234" s="5">
        <v>10</v>
      </c>
      <c r="H234" s="5"/>
      <c r="I234" s="5"/>
      <c r="J234" s="4">
        <f t="shared" si="94"/>
        <v>1.0023177955189286</v>
      </c>
      <c r="K234" s="5">
        <v>10</v>
      </c>
      <c r="L234" s="5" t="s">
        <v>394</v>
      </c>
      <c r="M234" s="5" t="s">
        <v>394</v>
      </c>
      <c r="N234" s="4" t="s">
        <v>394</v>
      </c>
      <c r="O234" s="5"/>
      <c r="P234" s="5" t="s">
        <v>394</v>
      </c>
      <c r="Q234" s="5" t="s">
        <v>394</v>
      </c>
      <c r="R234" s="5" t="s">
        <v>394</v>
      </c>
      <c r="S234" s="5"/>
      <c r="T234" s="5" t="s">
        <v>394</v>
      </c>
      <c r="U234" s="5" t="s">
        <v>394</v>
      </c>
      <c r="V234" s="5" t="s">
        <v>394</v>
      </c>
      <c r="W234" s="5"/>
      <c r="X234" s="5"/>
      <c r="Y234" s="5"/>
      <c r="Z234" s="4">
        <f t="shared" si="95"/>
        <v>1.2066485998193315</v>
      </c>
      <c r="AA234" s="5">
        <v>15</v>
      </c>
      <c r="AB234" s="31">
        <f t="shared" si="78"/>
        <v>1.0276807417893112</v>
      </c>
      <c r="AC234" s="32">
        <v>1496</v>
      </c>
      <c r="AD234" s="24">
        <f t="shared" si="79"/>
        <v>408</v>
      </c>
      <c r="AE234" s="24">
        <f t="shared" si="93"/>
        <v>419.3</v>
      </c>
      <c r="AF234" s="24">
        <f t="shared" si="80"/>
        <v>11.300000000000011</v>
      </c>
      <c r="AG234" s="24"/>
      <c r="AH234" s="24">
        <v>73.599999999999994</v>
      </c>
      <c r="AI234" s="24">
        <v>155.30000000000001</v>
      </c>
      <c r="AJ234" s="24">
        <f t="shared" si="81"/>
        <v>190.4</v>
      </c>
      <c r="AK234" s="68"/>
      <c r="AL234" s="40"/>
      <c r="AM234" s="40"/>
      <c r="AN234" s="68"/>
      <c r="AO234" s="68"/>
      <c r="AP234" s="24">
        <f t="shared" si="82"/>
        <v>190.4</v>
      </c>
      <c r="AQ234" s="24"/>
      <c r="AR234" s="24">
        <f t="shared" si="83"/>
        <v>190.4</v>
      </c>
      <c r="AS234" s="76"/>
      <c r="AT234" s="1"/>
      <c r="AU234" s="1"/>
      <c r="AV234" s="38"/>
      <c r="AW234" s="38"/>
      <c r="AX234" s="1"/>
      <c r="AY234" s="1"/>
      <c r="AZ234" s="1"/>
      <c r="BA234" s="1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9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9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9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9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9"/>
      <c r="GH234" s="8"/>
      <c r="GI234" s="8"/>
    </row>
    <row r="235" spans="1:191" s="2" customFormat="1" ht="17.100000000000001" customHeight="1">
      <c r="A235" s="13" t="s">
        <v>215</v>
      </c>
      <c r="B235" s="24">
        <v>464.8</v>
      </c>
      <c r="C235" s="24">
        <v>537.5</v>
      </c>
      <c r="D235" s="4">
        <f t="shared" si="77"/>
        <v>1.1564113597246126</v>
      </c>
      <c r="E235" s="10">
        <v>15</v>
      </c>
      <c r="F235" s="5">
        <v>1</v>
      </c>
      <c r="G235" s="5">
        <v>10</v>
      </c>
      <c r="H235" s="5"/>
      <c r="I235" s="5"/>
      <c r="J235" s="4">
        <f t="shared" si="94"/>
        <v>1.0023177955189286</v>
      </c>
      <c r="K235" s="5">
        <v>10</v>
      </c>
      <c r="L235" s="5" t="s">
        <v>394</v>
      </c>
      <c r="M235" s="5" t="s">
        <v>394</v>
      </c>
      <c r="N235" s="4" t="s">
        <v>394</v>
      </c>
      <c r="O235" s="5"/>
      <c r="P235" s="5" t="s">
        <v>394</v>
      </c>
      <c r="Q235" s="5" t="s">
        <v>394</v>
      </c>
      <c r="R235" s="5" t="s">
        <v>394</v>
      </c>
      <c r="S235" s="5"/>
      <c r="T235" s="5" t="s">
        <v>394</v>
      </c>
      <c r="U235" s="5" t="s">
        <v>394</v>
      </c>
      <c r="V235" s="5" t="s">
        <v>394</v>
      </c>
      <c r="W235" s="5"/>
      <c r="X235" s="5"/>
      <c r="Y235" s="5"/>
      <c r="Z235" s="4">
        <f t="shared" si="95"/>
        <v>1.2066485998193315</v>
      </c>
      <c r="AA235" s="5">
        <v>15</v>
      </c>
      <c r="AB235" s="31">
        <f t="shared" si="78"/>
        <v>1.109381546966969</v>
      </c>
      <c r="AC235" s="32">
        <v>1313</v>
      </c>
      <c r="AD235" s="24">
        <f t="shared" si="79"/>
        <v>358.09090909090907</v>
      </c>
      <c r="AE235" s="24">
        <f t="shared" si="93"/>
        <v>397.3</v>
      </c>
      <c r="AF235" s="24">
        <f t="shared" si="80"/>
        <v>39.209090909090946</v>
      </c>
      <c r="AG235" s="24"/>
      <c r="AH235" s="24">
        <v>140.80000000000001</v>
      </c>
      <c r="AI235" s="24">
        <v>98.5</v>
      </c>
      <c r="AJ235" s="24">
        <f t="shared" si="81"/>
        <v>158</v>
      </c>
      <c r="AK235" s="68"/>
      <c r="AL235" s="40"/>
      <c r="AM235" s="40"/>
      <c r="AN235" s="68"/>
      <c r="AO235" s="68"/>
      <c r="AP235" s="24">
        <f t="shared" si="82"/>
        <v>158</v>
      </c>
      <c r="AQ235" s="24"/>
      <c r="AR235" s="24">
        <f t="shared" si="83"/>
        <v>158</v>
      </c>
      <c r="AS235" s="76"/>
      <c r="AT235" s="1"/>
      <c r="AU235" s="1"/>
      <c r="AV235" s="38"/>
      <c r="AW235" s="38"/>
      <c r="AX235" s="1"/>
      <c r="AY235" s="1"/>
      <c r="AZ235" s="1"/>
      <c r="BA235" s="1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9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9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9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9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9"/>
      <c r="GH235" s="8"/>
      <c r="GI235" s="8"/>
    </row>
    <row r="236" spans="1:191" s="2" customFormat="1" ht="17.100000000000001" customHeight="1">
      <c r="A236" s="33" t="s">
        <v>216</v>
      </c>
      <c r="B236" s="24">
        <v>545.70000000000005</v>
      </c>
      <c r="C236" s="24">
        <v>521.79999999999995</v>
      </c>
      <c r="D236" s="4">
        <f t="shared" si="77"/>
        <v>0.95620304196444916</v>
      </c>
      <c r="E236" s="10">
        <v>15</v>
      </c>
      <c r="F236" s="5">
        <v>1</v>
      </c>
      <c r="G236" s="5">
        <v>10</v>
      </c>
      <c r="H236" s="5"/>
      <c r="I236" s="5"/>
      <c r="J236" s="4">
        <f t="shared" si="94"/>
        <v>1.0023177955189286</v>
      </c>
      <c r="K236" s="5">
        <v>10</v>
      </c>
      <c r="L236" s="5" t="s">
        <v>394</v>
      </c>
      <c r="M236" s="5" t="s">
        <v>394</v>
      </c>
      <c r="N236" s="4" t="s">
        <v>394</v>
      </c>
      <c r="O236" s="5"/>
      <c r="P236" s="5" t="s">
        <v>394</v>
      </c>
      <c r="Q236" s="5" t="s">
        <v>394</v>
      </c>
      <c r="R236" s="5" t="s">
        <v>394</v>
      </c>
      <c r="S236" s="5"/>
      <c r="T236" s="5" t="s">
        <v>394</v>
      </c>
      <c r="U236" s="5" t="s">
        <v>394</v>
      </c>
      <c r="V236" s="5" t="s">
        <v>394</v>
      </c>
      <c r="W236" s="5"/>
      <c r="X236" s="5"/>
      <c r="Y236" s="5"/>
      <c r="Z236" s="4">
        <f t="shared" si="95"/>
        <v>1.2066485998193315</v>
      </c>
      <c r="AA236" s="5">
        <v>15</v>
      </c>
      <c r="AB236" s="31">
        <f t="shared" si="78"/>
        <v>1.0493190516389199</v>
      </c>
      <c r="AC236" s="32">
        <v>587</v>
      </c>
      <c r="AD236" s="24">
        <f t="shared" si="79"/>
        <v>160.09090909090909</v>
      </c>
      <c r="AE236" s="24">
        <f t="shared" si="93"/>
        <v>168</v>
      </c>
      <c r="AF236" s="24">
        <f t="shared" si="80"/>
        <v>7.9090909090909065</v>
      </c>
      <c r="AG236" s="24"/>
      <c r="AH236" s="24">
        <v>62.1</v>
      </c>
      <c r="AI236" s="24">
        <v>44.5</v>
      </c>
      <c r="AJ236" s="24">
        <f t="shared" si="81"/>
        <v>61.4</v>
      </c>
      <c r="AK236" s="68"/>
      <c r="AL236" s="40"/>
      <c r="AM236" s="40"/>
      <c r="AN236" s="68"/>
      <c r="AO236" s="68"/>
      <c r="AP236" s="24">
        <f t="shared" si="82"/>
        <v>61.4</v>
      </c>
      <c r="AQ236" s="24"/>
      <c r="AR236" s="24">
        <f t="shared" si="83"/>
        <v>61.4</v>
      </c>
      <c r="AS236" s="76"/>
      <c r="AT236" s="1"/>
      <c r="AU236" s="1"/>
      <c r="AV236" s="38"/>
      <c r="AW236" s="38"/>
      <c r="AX236" s="1"/>
      <c r="AY236" s="1"/>
      <c r="AZ236" s="1"/>
      <c r="BA236" s="1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9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9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9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9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9"/>
      <c r="GH236" s="8"/>
      <c r="GI236" s="8"/>
    </row>
    <row r="237" spans="1:191" s="2" customFormat="1" ht="17.100000000000001" customHeight="1">
      <c r="A237" s="13" t="s">
        <v>217</v>
      </c>
      <c r="B237" s="24">
        <v>11270.8</v>
      </c>
      <c r="C237" s="24">
        <v>10509.7</v>
      </c>
      <c r="D237" s="4">
        <f t="shared" si="77"/>
        <v>0.93247151932427175</v>
      </c>
      <c r="E237" s="10">
        <v>15</v>
      </c>
      <c r="F237" s="5">
        <v>1</v>
      </c>
      <c r="G237" s="5">
        <v>10</v>
      </c>
      <c r="H237" s="5"/>
      <c r="I237" s="5"/>
      <c r="J237" s="4">
        <f t="shared" si="94"/>
        <v>1.0023177955189286</v>
      </c>
      <c r="K237" s="5">
        <v>10</v>
      </c>
      <c r="L237" s="5" t="s">
        <v>394</v>
      </c>
      <c r="M237" s="5" t="s">
        <v>394</v>
      </c>
      <c r="N237" s="4" t="s">
        <v>394</v>
      </c>
      <c r="O237" s="5"/>
      <c r="P237" s="5" t="s">
        <v>394</v>
      </c>
      <c r="Q237" s="5" t="s">
        <v>394</v>
      </c>
      <c r="R237" s="5" t="s">
        <v>394</v>
      </c>
      <c r="S237" s="5"/>
      <c r="T237" s="5" t="s">
        <v>394</v>
      </c>
      <c r="U237" s="5" t="s">
        <v>394</v>
      </c>
      <c r="V237" s="5" t="s">
        <v>394</v>
      </c>
      <c r="W237" s="5"/>
      <c r="X237" s="5"/>
      <c r="Y237" s="5"/>
      <c r="Z237" s="4">
        <f t="shared" si="95"/>
        <v>1.2066485998193315</v>
      </c>
      <c r="AA237" s="5">
        <v>15</v>
      </c>
      <c r="AB237" s="31">
        <f t="shared" si="78"/>
        <v>1.0421995948468668</v>
      </c>
      <c r="AC237" s="32">
        <v>518</v>
      </c>
      <c r="AD237" s="24">
        <f t="shared" si="79"/>
        <v>141.27272727272728</v>
      </c>
      <c r="AE237" s="24">
        <f t="shared" si="93"/>
        <v>147.19999999999999</v>
      </c>
      <c r="AF237" s="24">
        <f t="shared" si="80"/>
        <v>5.9272727272727082</v>
      </c>
      <c r="AG237" s="24"/>
      <c r="AH237" s="24">
        <v>32.200000000000003</v>
      </c>
      <c r="AI237" s="24">
        <v>37.799999999999997</v>
      </c>
      <c r="AJ237" s="24">
        <f t="shared" si="81"/>
        <v>77.2</v>
      </c>
      <c r="AK237" s="68"/>
      <c r="AL237" s="40"/>
      <c r="AM237" s="40"/>
      <c r="AN237" s="68"/>
      <c r="AO237" s="68"/>
      <c r="AP237" s="24">
        <f t="shared" si="82"/>
        <v>77.2</v>
      </c>
      <c r="AQ237" s="24"/>
      <c r="AR237" s="24">
        <f t="shared" si="83"/>
        <v>77.2</v>
      </c>
      <c r="AS237" s="76"/>
      <c r="AT237" s="1"/>
      <c r="AU237" s="1"/>
      <c r="AV237" s="38"/>
      <c r="AW237" s="38"/>
      <c r="AX237" s="1"/>
      <c r="AY237" s="1"/>
      <c r="AZ237" s="1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9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9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9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9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9"/>
      <c r="GH237" s="8"/>
      <c r="GI237" s="8"/>
    </row>
    <row r="238" spans="1:191" s="2" customFormat="1" ht="17.100000000000001" customHeight="1">
      <c r="A238" s="13" t="s">
        <v>218</v>
      </c>
      <c r="B238" s="24">
        <v>265.39999999999998</v>
      </c>
      <c r="C238" s="24">
        <v>396.3</v>
      </c>
      <c r="D238" s="4">
        <f t="shared" si="77"/>
        <v>1.2293217784476262</v>
      </c>
      <c r="E238" s="10">
        <v>15</v>
      </c>
      <c r="F238" s="5">
        <v>1</v>
      </c>
      <c r="G238" s="5">
        <v>10</v>
      </c>
      <c r="H238" s="5"/>
      <c r="I238" s="5"/>
      <c r="J238" s="4">
        <f t="shared" si="94"/>
        <v>1.0023177955189286</v>
      </c>
      <c r="K238" s="5">
        <v>10</v>
      </c>
      <c r="L238" s="5" t="s">
        <v>394</v>
      </c>
      <c r="M238" s="5" t="s">
        <v>394</v>
      </c>
      <c r="N238" s="4" t="s">
        <v>394</v>
      </c>
      <c r="O238" s="5"/>
      <c r="P238" s="5" t="s">
        <v>394</v>
      </c>
      <c r="Q238" s="5" t="s">
        <v>394</v>
      </c>
      <c r="R238" s="5" t="s">
        <v>394</v>
      </c>
      <c r="S238" s="5"/>
      <c r="T238" s="5" t="s">
        <v>394</v>
      </c>
      <c r="U238" s="5" t="s">
        <v>394</v>
      </c>
      <c r="V238" s="5" t="s">
        <v>394</v>
      </c>
      <c r="W238" s="5"/>
      <c r="X238" s="5"/>
      <c r="Y238" s="5"/>
      <c r="Z238" s="4">
        <f t="shared" si="95"/>
        <v>1.2066485998193315</v>
      </c>
      <c r="AA238" s="5">
        <v>15</v>
      </c>
      <c r="AB238" s="31">
        <f t="shared" si="78"/>
        <v>1.131254672583873</v>
      </c>
      <c r="AC238" s="32">
        <v>2094</v>
      </c>
      <c r="AD238" s="24">
        <f t="shared" si="79"/>
        <v>571.09090909090912</v>
      </c>
      <c r="AE238" s="24">
        <f t="shared" si="93"/>
        <v>646</v>
      </c>
      <c r="AF238" s="24">
        <f t="shared" si="80"/>
        <v>74.909090909090878</v>
      </c>
      <c r="AG238" s="24"/>
      <c r="AH238" s="24">
        <v>216.4</v>
      </c>
      <c r="AI238" s="24">
        <v>209.4</v>
      </c>
      <c r="AJ238" s="24">
        <f t="shared" si="81"/>
        <v>220.2</v>
      </c>
      <c r="AK238" s="68"/>
      <c r="AL238" s="40"/>
      <c r="AM238" s="40"/>
      <c r="AN238" s="68"/>
      <c r="AO238" s="68"/>
      <c r="AP238" s="24">
        <f t="shared" si="82"/>
        <v>220.2</v>
      </c>
      <c r="AQ238" s="24"/>
      <c r="AR238" s="24">
        <f t="shared" si="83"/>
        <v>220.2</v>
      </c>
      <c r="AS238" s="76"/>
      <c r="AT238" s="1"/>
      <c r="AU238" s="1"/>
      <c r="AV238" s="38"/>
      <c r="AW238" s="38"/>
      <c r="AX238" s="1"/>
      <c r="AY238" s="1"/>
      <c r="AZ238" s="1"/>
      <c r="BA238" s="1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9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9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9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9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9"/>
      <c r="GH238" s="8"/>
      <c r="GI238" s="8"/>
    </row>
    <row r="239" spans="1:191" s="2" customFormat="1" ht="17.100000000000001" customHeight="1">
      <c r="A239" s="13" t="s">
        <v>219</v>
      </c>
      <c r="B239" s="24">
        <v>1884.1</v>
      </c>
      <c r="C239" s="24">
        <v>1854.1</v>
      </c>
      <c r="D239" s="4">
        <f t="shared" si="77"/>
        <v>0.98407727827610003</v>
      </c>
      <c r="E239" s="10">
        <v>15</v>
      </c>
      <c r="F239" s="5">
        <v>1</v>
      </c>
      <c r="G239" s="5">
        <v>10</v>
      </c>
      <c r="H239" s="5"/>
      <c r="I239" s="5"/>
      <c r="J239" s="4">
        <f t="shared" si="94"/>
        <v>1.0023177955189286</v>
      </c>
      <c r="K239" s="5">
        <v>10</v>
      </c>
      <c r="L239" s="5" t="s">
        <v>394</v>
      </c>
      <c r="M239" s="5" t="s">
        <v>394</v>
      </c>
      <c r="N239" s="4" t="s">
        <v>394</v>
      </c>
      <c r="O239" s="5"/>
      <c r="P239" s="5" t="s">
        <v>394</v>
      </c>
      <c r="Q239" s="5" t="s">
        <v>394</v>
      </c>
      <c r="R239" s="5" t="s">
        <v>394</v>
      </c>
      <c r="S239" s="5"/>
      <c r="T239" s="5" t="s">
        <v>394</v>
      </c>
      <c r="U239" s="5" t="s">
        <v>394</v>
      </c>
      <c r="V239" s="5" t="s">
        <v>394</v>
      </c>
      <c r="W239" s="5"/>
      <c r="X239" s="5"/>
      <c r="Y239" s="5"/>
      <c r="Z239" s="4">
        <f t="shared" si="95"/>
        <v>1.2066485998193315</v>
      </c>
      <c r="AA239" s="5">
        <v>15</v>
      </c>
      <c r="AB239" s="31">
        <f t="shared" si="78"/>
        <v>1.0576813225324151</v>
      </c>
      <c r="AC239" s="32">
        <v>1466</v>
      </c>
      <c r="AD239" s="24">
        <f t="shared" si="79"/>
        <v>399.81818181818187</v>
      </c>
      <c r="AE239" s="24">
        <f t="shared" si="93"/>
        <v>422.9</v>
      </c>
      <c r="AF239" s="24">
        <f t="shared" si="80"/>
        <v>23.081818181818107</v>
      </c>
      <c r="AG239" s="24"/>
      <c r="AH239" s="24">
        <v>131.69999999999999</v>
      </c>
      <c r="AI239" s="24">
        <v>141.80000000000001</v>
      </c>
      <c r="AJ239" s="24">
        <f t="shared" si="81"/>
        <v>149.4</v>
      </c>
      <c r="AK239" s="40"/>
      <c r="AL239" s="40"/>
      <c r="AM239" s="40"/>
      <c r="AN239" s="68"/>
      <c r="AO239" s="68"/>
      <c r="AP239" s="24">
        <f t="shared" si="82"/>
        <v>149.4</v>
      </c>
      <c r="AQ239" s="24"/>
      <c r="AR239" s="24">
        <f t="shared" si="83"/>
        <v>149.4</v>
      </c>
      <c r="AS239" s="76"/>
      <c r="AT239" s="1"/>
      <c r="AU239" s="1"/>
      <c r="AV239" s="38"/>
      <c r="AW239" s="38"/>
      <c r="AX239" s="1"/>
      <c r="AY239" s="1"/>
      <c r="AZ239" s="1"/>
      <c r="BA239" s="1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9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9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9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9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9"/>
      <c r="GH239" s="8"/>
      <c r="GI239" s="8"/>
    </row>
    <row r="240" spans="1:191" s="2" customFormat="1" ht="17.100000000000001" customHeight="1">
      <c r="A240" s="13" t="s">
        <v>220</v>
      </c>
      <c r="B240" s="24">
        <v>2762.3</v>
      </c>
      <c r="C240" s="24">
        <v>2610.4</v>
      </c>
      <c r="D240" s="4">
        <f t="shared" si="77"/>
        <v>0.94500959345472968</v>
      </c>
      <c r="E240" s="10">
        <v>15</v>
      </c>
      <c r="F240" s="5">
        <v>1</v>
      </c>
      <c r="G240" s="5">
        <v>10</v>
      </c>
      <c r="H240" s="5"/>
      <c r="I240" s="5"/>
      <c r="J240" s="4">
        <f t="shared" si="94"/>
        <v>1.0023177955189286</v>
      </c>
      <c r="K240" s="5">
        <v>10</v>
      </c>
      <c r="L240" s="5" t="s">
        <v>394</v>
      </c>
      <c r="M240" s="5" t="s">
        <v>394</v>
      </c>
      <c r="N240" s="4" t="s">
        <v>394</v>
      </c>
      <c r="O240" s="5"/>
      <c r="P240" s="5" t="s">
        <v>394</v>
      </c>
      <c r="Q240" s="5" t="s">
        <v>394</v>
      </c>
      <c r="R240" s="5" t="s">
        <v>394</v>
      </c>
      <c r="S240" s="5"/>
      <c r="T240" s="5" t="s">
        <v>394</v>
      </c>
      <c r="U240" s="5" t="s">
        <v>394</v>
      </c>
      <c r="V240" s="5" t="s">
        <v>394</v>
      </c>
      <c r="W240" s="5"/>
      <c r="X240" s="5"/>
      <c r="Y240" s="5"/>
      <c r="Z240" s="4">
        <f t="shared" si="95"/>
        <v>1.2066485998193315</v>
      </c>
      <c r="AA240" s="5">
        <v>15</v>
      </c>
      <c r="AB240" s="31">
        <f t="shared" si="78"/>
        <v>1.0459610170860041</v>
      </c>
      <c r="AC240" s="32">
        <v>1924</v>
      </c>
      <c r="AD240" s="24">
        <f t="shared" si="79"/>
        <v>524.72727272727275</v>
      </c>
      <c r="AE240" s="24">
        <f t="shared" si="93"/>
        <v>548.79999999999995</v>
      </c>
      <c r="AF240" s="24">
        <f t="shared" si="80"/>
        <v>24.072727272727207</v>
      </c>
      <c r="AG240" s="24"/>
      <c r="AH240" s="24">
        <v>129.30000000000001</v>
      </c>
      <c r="AI240" s="24">
        <v>157.5</v>
      </c>
      <c r="AJ240" s="24">
        <f t="shared" si="81"/>
        <v>262</v>
      </c>
      <c r="AK240" s="68"/>
      <c r="AL240" s="40"/>
      <c r="AM240" s="40"/>
      <c r="AN240" s="68"/>
      <c r="AO240" s="68"/>
      <c r="AP240" s="24">
        <f t="shared" si="82"/>
        <v>262</v>
      </c>
      <c r="AQ240" s="24"/>
      <c r="AR240" s="24">
        <f t="shared" si="83"/>
        <v>262</v>
      </c>
      <c r="AS240" s="76"/>
      <c r="AT240" s="1"/>
      <c r="AU240" s="1"/>
      <c r="AV240" s="38"/>
      <c r="AW240" s="38"/>
      <c r="AX240" s="1"/>
      <c r="AY240" s="1"/>
      <c r="AZ240" s="1"/>
      <c r="BA240" s="1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9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9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9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9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9"/>
      <c r="GH240" s="8"/>
      <c r="GI240" s="8"/>
    </row>
    <row r="241" spans="1:191" s="2" customFormat="1" ht="17.100000000000001" customHeight="1">
      <c r="A241" s="17" t="s">
        <v>221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76"/>
      <c r="AT241" s="1"/>
      <c r="AU241" s="1"/>
      <c r="AV241" s="38"/>
      <c r="AW241" s="38"/>
      <c r="AX241" s="1"/>
      <c r="AY241" s="1"/>
      <c r="AZ241" s="1"/>
      <c r="BA241" s="1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9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9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9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9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9"/>
      <c r="GH241" s="8"/>
      <c r="GI241" s="8"/>
    </row>
    <row r="242" spans="1:191" s="2" customFormat="1" ht="16.5" customHeight="1">
      <c r="A242" s="13" t="s">
        <v>222</v>
      </c>
      <c r="B242" s="24">
        <v>266.8</v>
      </c>
      <c r="C242" s="24">
        <v>256.3</v>
      </c>
      <c r="D242" s="4">
        <f t="shared" si="77"/>
        <v>0.96064467766116945</v>
      </c>
      <c r="E242" s="10">
        <v>15</v>
      </c>
      <c r="F242" s="5">
        <v>1</v>
      </c>
      <c r="G242" s="5">
        <v>10</v>
      </c>
      <c r="H242" s="5"/>
      <c r="I242" s="5"/>
      <c r="J242" s="4">
        <f>J$47</f>
        <v>0.89844444444444449</v>
      </c>
      <c r="K242" s="5">
        <v>10</v>
      </c>
      <c r="L242" s="5" t="s">
        <v>394</v>
      </c>
      <c r="M242" s="5" t="s">
        <v>394</v>
      </c>
      <c r="N242" s="4" t="s">
        <v>394</v>
      </c>
      <c r="O242" s="5"/>
      <c r="P242" s="5" t="s">
        <v>394</v>
      </c>
      <c r="Q242" s="5" t="s">
        <v>394</v>
      </c>
      <c r="R242" s="5" t="s">
        <v>394</v>
      </c>
      <c r="S242" s="5"/>
      <c r="T242" s="5" t="s">
        <v>394</v>
      </c>
      <c r="U242" s="5" t="s">
        <v>394</v>
      </c>
      <c r="V242" s="5" t="s">
        <v>394</v>
      </c>
      <c r="W242" s="5"/>
      <c r="X242" s="5"/>
      <c r="Y242" s="5"/>
      <c r="Z242" s="4">
        <f>Z$47</f>
        <v>0.72222222222222221</v>
      </c>
      <c r="AA242" s="5">
        <v>15</v>
      </c>
      <c r="AB242" s="31">
        <f t="shared" si="78"/>
        <v>0.88454895885390661</v>
      </c>
      <c r="AC242" s="32">
        <v>2197</v>
      </c>
      <c r="AD242" s="24">
        <f t="shared" si="79"/>
        <v>599.18181818181813</v>
      </c>
      <c r="AE242" s="24">
        <f t="shared" ref="AE242:AE249" si="96">ROUND(AB242*AD242,1)</f>
        <v>530</v>
      </c>
      <c r="AF242" s="24">
        <f t="shared" si="80"/>
        <v>-69.18181818181813</v>
      </c>
      <c r="AG242" s="24"/>
      <c r="AH242" s="24">
        <v>170.6</v>
      </c>
      <c r="AI242" s="24">
        <v>211.5</v>
      </c>
      <c r="AJ242" s="24">
        <f t="shared" si="81"/>
        <v>147.9</v>
      </c>
      <c r="AK242" s="40"/>
      <c r="AL242" s="40"/>
      <c r="AM242" s="40"/>
      <c r="AN242" s="68"/>
      <c r="AO242" s="68"/>
      <c r="AP242" s="24">
        <f t="shared" si="82"/>
        <v>147.9</v>
      </c>
      <c r="AQ242" s="24">
        <f>MIN(AP242,99.9)</f>
        <v>99.9</v>
      </c>
      <c r="AR242" s="24">
        <f t="shared" si="83"/>
        <v>48</v>
      </c>
      <c r="AS242" s="76"/>
      <c r="AT242" s="1"/>
      <c r="AU242" s="1"/>
      <c r="AV242" s="38"/>
      <c r="AW242" s="38"/>
      <c r="AY242" s="1"/>
      <c r="AZ242" s="1"/>
      <c r="BA242" s="1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9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9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9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9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9"/>
      <c r="GH242" s="8"/>
      <c r="GI242" s="8"/>
    </row>
    <row r="243" spans="1:191" s="2" customFormat="1" ht="17.100000000000001" customHeight="1">
      <c r="A243" s="13" t="s">
        <v>223</v>
      </c>
      <c r="B243" s="24">
        <v>485.4</v>
      </c>
      <c r="C243" s="24">
        <v>518</v>
      </c>
      <c r="D243" s="4">
        <f t="shared" si="77"/>
        <v>1.0671611042439226</v>
      </c>
      <c r="E243" s="10">
        <v>15</v>
      </c>
      <c r="F243" s="5">
        <v>1</v>
      </c>
      <c r="G243" s="5">
        <v>10</v>
      </c>
      <c r="H243" s="5"/>
      <c r="I243" s="5"/>
      <c r="J243" s="4">
        <f t="shared" ref="J243:J249" si="97">J$47</f>
        <v>0.89844444444444449</v>
      </c>
      <c r="K243" s="5">
        <v>10</v>
      </c>
      <c r="L243" s="5" t="s">
        <v>394</v>
      </c>
      <c r="M243" s="5" t="s">
        <v>394</v>
      </c>
      <c r="N243" s="4" t="s">
        <v>394</v>
      </c>
      <c r="O243" s="5"/>
      <c r="P243" s="5" t="s">
        <v>394</v>
      </c>
      <c r="Q243" s="5" t="s">
        <v>394</v>
      </c>
      <c r="R243" s="5" t="s">
        <v>394</v>
      </c>
      <c r="S243" s="5"/>
      <c r="T243" s="5" t="s">
        <v>394</v>
      </c>
      <c r="U243" s="5" t="s">
        <v>394</v>
      </c>
      <c r="V243" s="5" t="s">
        <v>394</v>
      </c>
      <c r="W243" s="5"/>
      <c r="X243" s="5"/>
      <c r="Y243" s="5"/>
      <c r="Z243" s="4">
        <f t="shared" ref="Z243:Z249" si="98">Z$47</f>
        <v>0.72222222222222221</v>
      </c>
      <c r="AA243" s="5">
        <v>15</v>
      </c>
      <c r="AB243" s="31">
        <f t="shared" si="78"/>
        <v>0.91650388682873241</v>
      </c>
      <c r="AC243" s="32">
        <v>1441</v>
      </c>
      <c r="AD243" s="24">
        <f t="shared" si="79"/>
        <v>393</v>
      </c>
      <c r="AE243" s="24">
        <f t="shared" si="96"/>
        <v>360.2</v>
      </c>
      <c r="AF243" s="24">
        <f t="shared" si="80"/>
        <v>-32.800000000000011</v>
      </c>
      <c r="AG243" s="24"/>
      <c r="AH243" s="24">
        <v>154.6</v>
      </c>
      <c r="AI243" s="24">
        <v>154.6</v>
      </c>
      <c r="AJ243" s="24">
        <f t="shared" si="81"/>
        <v>51</v>
      </c>
      <c r="AK243" s="40"/>
      <c r="AL243" s="40"/>
      <c r="AM243" s="40"/>
      <c r="AN243" s="68"/>
      <c r="AO243" s="68"/>
      <c r="AP243" s="24">
        <f t="shared" si="82"/>
        <v>51</v>
      </c>
      <c r="AQ243" s="24">
        <f>MIN(AP243,65.5)</f>
        <v>51</v>
      </c>
      <c r="AR243" s="24">
        <f t="shared" si="83"/>
        <v>0</v>
      </c>
      <c r="AS243" s="76"/>
      <c r="AT243" s="1"/>
      <c r="AU243" s="1"/>
      <c r="AV243" s="38"/>
      <c r="AW243" s="38"/>
      <c r="AX243" s="1"/>
      <c r="AY243" s="1"/>
      <c r="AZ243" s="1"/>
      <c r="BA243" s="1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9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9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9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9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9"/>
      <c r="GH243" s="8"/>
      <c r="GI243" s="8"/>
    </row>
    <row r="244" spans="1:191" s="2" customFormat="1" ht="17.100000000000001" customHeight="1">
      <c r="A244" s="13" t="s">
        <v>224</v>
      </c>
      <c r="B244" s="24">
        <v>1697.8</v>
      </c>
      <c r="C244" s="24">
        <v>719.4</v>
      </c>
      <c r="D244" s="4">
        <f t="shared" si="77"/>
        <v>0.42372482035575448</v>
      </c>
      <c r="E244" s="10">
        <v>15</v>
      </c>
      <c r="F244" s="5">
        <v>1</v>
      </c>
      <c r="G244" s="5">
        <v>10</v>
      </c>
      <c r="H244" s="5"/>
      <c r="I244" s="5"/>
      <c r="J244" s="4">
        <f t="shared" si="97"/>
        <v>0.89844444444444449</v>
      </c>
      <c r="K244" s="5">
        <v>10</v>
      </c>
      <c r="L244" s="5" t="s">
        <v>394</v>
      </c>
      <c r="M244" s="5" t="s">
        <v>394</v>
      </c>
      <c r="N244" s="4" t="s">
        <v>394</v>
      </c>
      <c r="O244" s="5"/>
      <c r="P244" s="5" t="s">
        <v>394</v>
      </c>
      <c r="Q244" s="5" t="s">
        <v>394</v>
      </c>
      <c r="R244" s="5" t="s">
        <v>394</v>
      </c>
      <c r="S244" s="5"/>
      <c r="T244" s="5" t="s">
        <v>394</v>
      </c>
      <c r="U244" s="5" t="s">
        <v>394</v>
      </c>
      <c r="V244" s="5" t="s">
        <v>394</v>
      </c>
      <c r="W244" s="5"/>
      <c r="X244" s="5"/>
      <c r="Y244" s="5"/>
      <c r="Z244" s="4">
        <f t="shared" si="98"/>
        <v>0.72222222222222221</v>
      </c>
      <c r="AA244" s="5">
        <v>15</v>
      </c>
      <c r="AB244" s="31">
        <f t="shared" si="78"/>
        <v>0.7234730016622819</v>
      </c>
      <c r="AC244" s="32">
        <v>2617</v>
      </c>
      <c r="AD244" s="24">
        <f t="shared" si="79"/>
        <v>713.72727272727275</v>
      </c>
      <c r="AE244" s="24">
        <f t="shared" si="96"/>
        <v>516.4</v>
      </c>
      <c r="AF244" s="24">
        <f t="shared" si="80"/>
        <v>-197.32727272727277</v>
      </c>
      <c r="AG244" s="24"/>
      <c r="AH244" s="24">
        <v>146.19999999999999</v>
      </c>
      <c r="AI244" s="24">
        <v>193</v>
      </c>
      <c r="AJ244" s="24">
        <f t="shared" si="81"/>
        <v>177.2</v>
      </c>
      <c r="AK244" s="40"/>
      <c r="AL244" s="40"/>
      <c r="AM244" s="40"/>
      <c r="AN244" s="68"/>
      <c r="AO244" s="68"/>
      <c r="AP244" s="24">
        <f t="shared" si="82"/>
        <v>177.2</v>
      </c>
      <c r="AQ244" s="24">
        <f>MIN(AP244,119)</f>
        <v>119</v>
      </c>
      <c r="AR244" s="24">
        <f t="shared" si="83"/>
        <v>58.2</v>
      </c>
      <c r="AS244" s="76"/>
      <c r="AT244" s="1"/>
      <c r="AU244" s="1"/>
      <c r="AV244" s="38"/>
      <c r="AW244" s="38"/>
      <c r="AX244" s="1"/>
      <c r="AY244" s="1"/>
      <c r="AZ244" s="1"/>
      <c r="BA244" s="1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9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9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9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9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9"/>
      <c r="GH244" s="8"/>
      <c r="GI244" s="8"/>
    </row>
    <row r="245" spans="1:191" s="2" customFormat="1" ht="17.100000000000001" customHeight="1">
      <c r="A245" s="13" t="s">
        <v>225</v>
      </c>
      <c r="B245" s="24">
        <v>1498.2</v>
      </c>
      <c r="C245" s="24">
        <v>3015.4</v>
      </c>
      <c r="D245" s="4">
        <f t="shared" si="77"/>
        <v>1.2812681884928581</v>
      </c>
      <c r="E245" s="10">
        <v>15</v>
      </c>
      <c r="F245" s="5">
        <v>1</v>
      </c>
      <c r="G245" s="5">
        <v>10</v>
      </c>
      <c r="H245" s="5"/>
      <c r="I245" s="5"/>
      <c r="J245" s="4">
        <f t="shared" si="97"/>
        <v>0.89844444444444449</v>
      </c>
      <c r="K245" s="5">
        <v>10</v>
      </c>
      <c r="L245" s="5" t="s">
        <v>394</v>
      </c>
      <c r="M245" s="5" t="s">
        <v>394</v>
      </c>
      <c r="N245" s="4" t="s">
        <v>394</v>
      </c>
      <c r="O245" s="5"/>
      <c r="P245" s="5" t="s">
        <v>394</v>
      </c>
      <c r="Q245" s="5" t="s">
        <v>394</v>
      </c>
      <c r="R245" s="5" t="s">
        <v>394</v>
      </c>
      <c r="S245" s="5"/>
      <c r="T245" s="5" t="s">
        <v>394</v>
      </c>
      <c r="U245" s="5" t="s">
        <v>394</v>
      </c>
      <c r="V245" s="5" t="s">
        <v>394</v>
      </c>
      <c r="W245" s="5"/>
      <c r="X245" s="5"/>
      <c r="Y245" s="5"/>
      <c r="Z245" s="4">
        <f t="shared" si="98"/>
        <v>0.72222222222222221</v>
      </c>
      <c r="AA245" s="5">
        <v>15</v>
      </c>
      <c r="AB245" s="31">
        <f t="shared" si="78"/>
        <v>0.98073601210341299</v>
      </c>
      <c r="AC245" s="32">
        <v>1369</v>
      </c>
      <c r="AD245" s="24">
        <f t="shared" si="79"/>
        <v>373.36363636363637</v>
      </c>
      <c r="AE245" s="24">
        <f t="shared" si="96"/>
        <v>366.2</v>
      </c>
      <c r="AF245" s="24">
        <f t="shared" si="80"/>
        <v>-7.1636363636363853</v>
      </c>
      <c r="AG245" s="24"/>
      <c r="AH245" s="24">
        <v>67.5</v>
      </c>
      <c r="AI245" s="24">
        <v>146.9</v>
      </c>
      <c r="AJ245" s="24">
        <f t="shared" si="81"/>
        <v>151.80000000000001</v>
      </c>
      <c r="AK245" s="40"/>
      <c r="AL245" s="40"/>
      <c r="AM245" s="40"/>
      <c r="AN245" s="68"/>
      <c r="AO245" s="68"/>
      <c r="AP245" s="24">
        <f t="shared" si="82"/>
        <v>151.80000000000001</v>
      </c>
      <c r="AQ245" s="24"/>
      <c r="AR245" s="24">
        <f t="shared" si="83"/>
        <v>151.80000000000001</v>
      </c>
      <c r="AS245" s="76"/>
      <c r="AT245" s="1"/>
      <c r="AU245" s="1"/>
      <c r="AV245" s="38"/>
      <c r="AW245" s="38"/>
      <c r="BA245" s="1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9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9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9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9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9"/>
      <c r="GH245" s="8"/>
      <c r="GI245" s="8"/>
    </row>
    <row r="246" spans="1:191" s="2" customFormat="1" ht="17.100000000000001" customHeight="1">
      <c r="A246" s="13" t="s">
        <v>226</v>
      </c>
      <c r="B246" s="24">
        <v>110</v>
      </c>
      <c r="C246" s="24">
        <v>191.1</v>
      </c>
      <c r="D246" s="4">
        <f t="shared" si="77"/>
        <v>1.2537272727272728</v>
      </c>
      <c r="E246" s="10">
        <v>15</v>
      </c>
      <c r="F246" s="5">
        <v>1</v>
      </c>
      <c r="G246" s="5">
        <v>10</v>
      </c>
      <c r="H246" s="5"/>
      <c r="I246" s="5"/>
      <c r="J246" s="4">
        <f t="shared" si="97"/>
        <v>0.89844444444444449</v>
      </c>
      <c r="K246" s="5">
        <v>10</v>
      </c>
      <c r="L246" s="5" t="s">
        <v>394</v>
      </c>
      <c r="M246" s="5" t="s">
        <v>394</v>
      </c>
      <c r="N246" s="4" t="s">
        <v>394</v>
      </c>
      <c r="O246" s="5"/>
      <c r="P246" s="5" t="s">
        <v>394</v>
      </c>
      <c r="Q246" s="5" t="s">
        <v>394</v>
      </c>
      <c r="R246" s="5" t="s">
        <v>394</v>
      </c>
      <c r="S246" s="5"/>
      <c r="T246" s="5" t="s">
        <v>394</v>
      </c>
      <c r="U246" s="5" t="s">
        <v>394</v>
      </c>
      <c r="V246" s="5" t="s">
        <v>394</v>
      </c>
      <c r="W246" s="5"/>
      <c r="X246" s="5"/>
      <c r="Y246" s="5"/>
      <c r="Z246" s="4">
        <f t="shared" si="98"/>
        <v>0.72222222222222221</v>
      </c>
      <c r="AA246" s="5">
        <v>15</v>
      </c>
      <c r="AB246" s="31">
        <f t="shared" si="78"/>
        <v>0.97247373737373755</v>
      </c>
      <c r="AC246" s="32">
        <v>1339</v>
      </c>
      <c r="AD246" s="24">
        <f t="shared" si="79"/>
        <v>365.18181818181819</v>
      </c>
      <c r="AE246" s="24">
        <f t="shared" si="96"/>
        <v>355.1</v>
      </c>
      <c r="AF246" s="24">
        <f t="shared" si="80"/>
        <v>-10.081818181818164</v>
      </c>
      <c r="AG246" s="24"/>
      <c r="AH246" s="24">
        <v>103.5</v>
      </c>
      <c r="AI246" s="24">
        <v>143.6</v>
      </c>
      <c r="AJ246" s="24">
        <f t="shared" si="81"/>
        <v>108</v>
      </c>
      <c r="AK246" s="40"/>
      <c r="AL246" s="40"/>
      <c r="AM246" s="40"/>
      <c r="AN246" s="68"/>
      <c r="AO246" s="68"/>
      <c r="AP246" s="24">
        <f t="shared" si="82"/>
        <v>108</v>
      </c>
      <c r="AQ246" s="24">
        <f>MIN(AP246,60.9)</f>
        <v>60.9</v>
      </c>
      <c r="AR246" s="24">
        <f t="shared" si="83"/>
        <v>47.1</v>
      </c>
      <c r="AS246" s="76"/>
      <c r="AT246" s="1"/>
      <c r="AU246" s="1"/>
      <c r="AV246" s="38"/>
      <c r="AW246" s="38"/>
      <c r="BA246" s="1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9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9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9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9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9"/>
      <c r="GH246" s="8"/>
      <c r="GI246" s="8"/>
    </row>
    <row r="247" spans="1:191" s="2" customFormat="1" ht="17.100000000000001" customHeight="1">
      <c r="A247" s="13" t="s">
        <v>227</v>
      </c>
      <c r="B247" s="24">
        <v>735.8</v>
      </c>
      <c r="C247" s="24">
        <v>1027.0999999999999</v>
      </c>
      <c r="D247" s="4">
        <f t="shared" si="77"/>
        <v>1.2195895623810817</v>
      </c>
      <c r="E247" s="10">
        <v>15</v>
      </c>
      <c r="F247" s="5">
        <v>1</v>
      </c>
      <c r="G247" s="5">
        <v>10</v>
      </c>
      <c r="H247" s="5"/>
      <c r="I247" s="5"/>
      <c r="J247" s="4">
        <f t="shared" si="97"/>
        <v>0.89844444444444449</v>
      </c>
      <c r="K247" s="5">
        <v>10</v>
      </c>
      <c r="L247" s="5" t="s">
        <v>394</v>
      </c>
      <c r="M247" s="5" t="s">
        <v>394</v>
      </c>
      <c r="N247" s="4" t="s">
        <v>394</v>
      </c>
      <c r="O247" s="5"/>
      <c r="P247" s="5" t="s">
        <v>394</v>
      </c>
      <c r="Q247" s="5" t="s">
        <v>394</v>
      </c>
      <c r="R247" s="5" t="s">
        <v>394</v>
      </c>
      <c r="S247" s="5"/>
      <c r="T247" s="5" t="s">
        <v>394</v>
      </c>
      <c r="U247" s="5" t="s">
        <v>394</v>
      </c>
      <c r="V247" s="5" t="s">
        <v>394</v>
      </c>
      <c r="W247" s="5"/>
      <c r="X247" s="5"/>
      <c r="Y247" s="5"/>
      <c r="Z247" s="4">
        <f t="shared" si="98"/>
        <v>0.72222222222222221</v>
      </c>
      <c r="AA247" s="5">
        <v>15</v>
      </c>
      <c r="AB247" s="31">
        <f t="shared" si="78"/>
        <v>0.9622324242698802</v>
      </c>
      <c r="AC247" s="32">
        <v>2442</v>
      </c>
      <c r="AD247" s="24">
        <f t="shared" si="79"/>
        <v>666</v>
      </c>
      <c r="AE247" s="24">
        <f t="shared" si="96"/>
        <v>640.79999999999995</v>
      </c>
      <c r="AF247" s="24">
        <f t="shared" si="80"/>
        <v>-25.200000000000045</v>
      </c>
      <c r="AG247" s="24"/>
      <c r="AH247" s="24">
        <v>207.7</v>
      </c>
      <c r="AI247" s="24">
        <v>118.6</v>
      </c>
      <c r="AJ247" s="24">
        <f t="shared" si="81"/>
        <v>314.5</v>
      </c>
      <c r="AK247" s="68"/>
      <c r="AL247" s="40"/>
      <c r="AM247" s="40"/>
      <c r="AN247" s="68"/>
      <c r="AO247" s="68"/>
      <c r="AP247" s="24">
        <f t="shared" si="82"/>
        <v>314.5</v>
      </c>
      <c r="AQ247" s="24">
        <f>MIN(AP247,90.1)</f>
        <v>90.1</v>
      </c>
      <c r="AR247" s="24">
        <f t="shared" si="83"/>
        <v>224.4</v>
      </c>
      <c r="AS247" s="76"/>
      <c r="AT247" s="1"/>
      <c r="AU247" s="1"/>
      <c r="AV247" s="38"/>
      <c r="AW247" s="38"/>
      <c r="BA247" s="1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9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9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9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9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9"/>
      <c r="GH247" s="8"/>
      <c r="GI247" s="8"/>
    </row>
    <row r="248" spans="1:191" s="2" customFormat="1" ht="17.100000000000001" customHeight="1">
      <c r="A248" s="13" t="s">
        <v>228</v>
      </c>
      <c r="B248" s="24">
        <v>385.2</v>
      </c>
      <c r="C248" s="24">
        <v>391.5</v>
      </c>
      <c r="D248" s="4">
        <f t="shared" si="77"/>
        <v>1.016355140186916</v>
      </c>
      <c r="E248" s="10">
        <v>15</v>
      </c>
      <c r="F248" s="5">
        <v>1</v>
      </c>
      <c r="G248" s="5">
        <v>10</v>
      </c>
      <c r="H248" s="5"/>
      <c r="I248" s="5"/>
      <c r="J248" s="4">
        <f t="shared" si="97"/>
        <v>0.89844444444444449</v>
      </c>
      <c r="K248" s="5">
        <v>10</v>
      </c>
      <c r="L248" s="5" t="s">
        <v>394</v>
      </c>
      <c r="M248" s="5" t="s">
        <v>394</v>
      </c>
      <c r="N248" s="4" t="s">
        <v>394</v>
      </c>
      <c r="O248" s="5"/>
      <c r="P248" s="5" t="s">
        <v>394</v>
      </c>
      <c r="Q248" s="5" t="s">
        <v>394</v>
      </c>
      <c r="R248" s="5" t="s">
        <v>394</v>
      </c>
      <c r="S248" s="5"/>
      <c r="T248" s="5" t="s">
        <v>394</v>
      </c>
      <c r="U248" s="5" t="s">
        <v>394</v>
      </c>
      <c r="V248" s="5" t="s">
        <v>394</v>
      </c>
      <c r="W248" s="5"/>
      <c r="X248" s="5"/>
      <c r="Y248" s="5"/>
      <c r="Z248" s="4">
        <f t="shared" si="98"/>
        <v>0.72222222222222221</v>
      </c>
      <c r="AA248" s="5">
        <v>15</v>
      </c>
      <c r="AB248" s="31">
        <f t="shared" si="78"/>
        <v>0.90126209761163056</v>
      </c>
      <c r="AC248" s="32">
        <v>4585</v>
      </c>
      <c r="AD248" s="24">
        <f t="shared" si="79"/>
        <v>1250.4545454545455</v>
      </c>
      <c r="AE248" s="24">
        <f t="shared" si="96"/>
        <v>1127</v>
      </c>
      <c r="AF248" s="24">
        <f t="shared" si="80"/>
        <v>-123.4545454545455</v>
      </c>
      <c r="AG248" s="24"/>
      <c r="AH248" s="24">
        <v>376.1</v>
      </c>
      <c r="AI248" s="24">
        <v>450.2</v>
      </c>
      <c r="AJ248" s="24">
        <f t="shared" si="81"/>
        <v>300.7</v>
      </c>
      <c r="AK248" s="40"/>
      <c r="AL248" s="40"/>
      <c r="AM248" s="40"/>
      <c r="AN248" s="68"/>
      <c r="AO248" s="68"/>
      <c r="AP248" s="24">
        <f t="shared" si="82"/>
        <v>300.7</v>
      </c>
      <c r="AQ248" s="24">
        <f>MIN(AP248,208.4)</f>
        <v>208.4</v>
      </c>
      <c r="AR248" s="24">
        <f t="shared" si="83"/>
        <v>92.3</v>
      </c>
      <c r="AS248" s="76"/>
      <c r="AT248" s="1"/>
      <c r="AU248" s="1"/>
      <c r="AV248" s="38"/>
      <c r="AW248" s="38"/>
      <c r="BA248" s="1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9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9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9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9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9"/>
      <c r="GH248" s="8"/>
      <c r="GI248" s="8"/>
    </row>
    <row r="249" spans="1:191" s="2" customFormat="1" ht="17.100000000000001" customHeight="1">
      <c r="A249" s="13" t="s">
        <v>229</v>
      </c>
      <c r="B249" s="24">
        <v>4765</v>
      </c>
      <c r="C249" s="24">
        <v>6859</v>
      </c>
      <c r="D249" s="4">
        <f t="shared" si="77"/>
        <v>1.2239454354669466</v>
      </c>
      <c r="E249" s="10">
        <v>15</v>
      </c>
      <c r="F249" s="5">
        <v>1</v>
      </c>
      <c r="G249" s="5">
        <v>10</v>
      </c>
      <c r="H249" s="5"/>
      <c r="I249" s="5"/>
      <c r="J249" s="4">
        <f t="shared" si="97"/>
        <v>0.89844444444444449</v>
      </c>
      <c r="K249" s="5">
        <v>10</v>
      </c>
      <c r="L249" s="5" t="s">
        <v>394</v>
      </c>
      <c r="M249" s="5" t="s">
        <v>394</v>
      </c>
      <c r="N249" s="4" t="s">
        <v>394</v>
      </c>
      <c r="O249" s="5"/>
      <c r="P249" s="5" t="s">
        <v>394</v>
      </c>
      <c r="Q249" s="5" t="s">
        <v>394</v>
      </c>
      <c r="R249" s="5" t="s">
        <v>394</v>
      </c>
      <c r="S249" s="5"/>
      <c r="T249" s="5" t="s">
        <v>394</v>
      </c>
      <c r="U249" s="5" t="s">
        <v>394</v>
      </c>
      <c r="V249" s="5" t="s">
        <v>394</v>
      </c>
      <c r="W249" s="5"/>
      <c r="X249" s="5"/>
      <c r="Y249" s="5"/>
      <c r="Z249" s="4">
        <f t="shared" si="98"/>
        <v>0.72222222222222221</v>
      </c>
      <c r="AA249" s="5">
        <v>15</v>
      </c>
      <c r="AB249" s="31">
        <f t="shared" si="78"/>
        <v>0.96353918619563972</v>
      </c>
      <c r="AC249" s="32">
        <v>756</v>
      </c>
      <c r="AD249" s="24">
        <f t="shared" si="79"/>
        <v>206.18181818181819</v>
      </c>
      <c r="AE249" s="24">
        <f t="shared" si="96"/>
        <v>198.7</v>
      </c>
      <c r="AF249" s="24">
        <f t="shared" si="80"/>
        <v>-7.4818181818181984</v>
      </c>
      <c r="AG249" s="24"/>
      <c r="AH249" s="24">
        <v>73.400000000000006</v>
      </c>
      <c r="AI249" s="24">
        <v>77.8</v>
      </c>
      <c r="AJ249" s="24">
        <f t="shared" si="81"/>
        <v>47.5</v>
      </c>
      <c r="AK249" s="40"/>
      <c r="AL249" s="40"/>
      <c r="AM249" s="40"/>
      <c r="AN249" s="68"/>
      <c r="AO249" s="68"/>
      <c r="AP249" s="24">
        <f t="shared" si="82"/>
        <v>47.5</v>
      </c>
      <c r="AQ249" s="24">
        <f>MIN(AP249,34.4)</f>
        <v>34.4</v>
      </c>
      <c r="AR249" s="24">
        <f t="shared" si="83"/>
        <v>13.1</v>
      </c>
      <c r="AS249" s="76"/>
      <c r="AT249" s="1"/>
      <c r="AU249" s="1"/>
      <c r="AV249" s="38"/>
      <c r="AW249" s="38"/>
      <c r="BA249" s="1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9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9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9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9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9"/>
      <c r="GH249" s="8"/>
      <c r="GI249" s="8"/>
    </row>
    <row r="250" spans="1:191" s="2" customFormat="1" ht="17.100000000000001" customHeight="1">
      <c r="A250" s="17" t="s">
        <v>230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76"/>
      <c r="AT250" s="1"/>
      <c r="AU250" s="1"/>
      <c r="AV250" s="38"/>
      <c r="AW250" s="38"/>
      <c r="AX250" s="1"/>
      <c r="AY250" s="1"/>
      <c r="AZ250" s="1"/>
      <c r="BA250" s="1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9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9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9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9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9"/>
      <c r="GH250" s="8"/>
      <c r="GI250" s="8"/>
    </row>
    <row r="251" spans="1:191" s="2" customFormat="1" ht="17.100000000000001" customHeight="1">
      <c r="A251" s="13" t="s">
        <v>231</v>
      </c>
      <c r="B251" s="24">
        <v>212.6</v>
      </c>
      <c r="C251" s="24">
        <v>359.5</v>
      </c>
      <c r="D251" s="4">
        <f t="shared" ref="D251:D314" si="99">IF(E251=0,0,IF(B251=0,1,IF(C251&lt;0,0,IF(C251/B251&gt;1.2,IF((C251/B251-1.2)*0.1+1.2&gt;1.3,1.3,(C251/B251-1.2)*0.1+1.2),C251/B251))))</f>
        <v>1.2490968955785513</v>
      </c>
      <c r="E251" s="10">
        <v>15</v>
      </c>
      <c r="F251" s="5">
        <v>1</v>
      </c>
      <c r="G251" s="5">
        <v>10</v>
      </c>
      <c r="H251" s="5"/>
      <c r="I251" s="5"/>
      <c r="J251" s="4">
        <f>J$48</f>
        <v>0.92623723487824028</v>
      </c>
      <c r="K251" s="5">
        <v>10</v>
      </c>
      <c r="L251" s="5" t="s">
        <v>394</v>
      </c>
      <c r="M251" s="5" t="s">
        <v>394</v>
      </c>
      <c r="N251" s="4" t="s">
        <v>394</v>
      </c>
      <c r="O251" s="5"/>
      <c r="P251" s="5" t="s">
        <v>394</v>
      </c>
      <c r="Q251" s="5" t="s">
        <v>394</v>
      </c>
      <c r="R251" s="5" t="s">
        <v>394</v>
      </c>
      <c r="S251" s="5"/>
      <c r="T251" s="5" t="s">
        <v>394</v>
      </c>
      <c r="U251" s="5" t="s">
        <v>394</v>
      </c>
      <c r="V251" s="5" t="s">
        <v>394</v>
      </c>
      <c r="W251" s="5"/>
      <c r="X251" s="5"/>
      <c r="Y251" s="5"/>
      <c r="Z251" s="4">
        <f>Z$48</f>
        <v>1.0857142857142856</v>
      </c>
      <c r="AA251" s="5">
        <v>15</v>
      </c>
      <c r="AB251" s="31">
        <f t="shared" ref="AB251:AB314" si="100">(D251*E251+F251*G251+J251*K251+Z251*AA251)/(E251+G251+K251+AA251)</f>
        <v>1.0856908013634992</v>
      </c>
      <c r="AC251" s="32">
        <v>2375</v>
      </c>
      <c r="AD251" s="24">
        <f t="shared" ref="AD251:AD314" si="101">AC251/11*3</f>
        <v>647.72727272727275</v>
      </c>
      <c r="AE251" s="24">
        <f t="shared" ref="AE251:AE265" si="102">ROUND(AB251*AD251,1)</f>
        <v>703.2</v>
      </c>
      <c r="AF251" s="24">
        <f t="shared" ref="AF251:AF314" si="103">AE251-AD251</f>
        <v>55.472727272727298</v>
      </c>
      <c r="AG251" s="24"/>
      <c r="AH251" s="24">
        <v>254.8</v>
      </c>
      <c r="AI251" s="24">
        <v>172.2</v>
      </c>
      <c r="AJ251" s="24">
        <f t="shared" ref="AJ251:AJ314" si="104">ROUND(AE251-SUM(AG251:AI251),1)</f>
        <v>276.2</v>
      </c>
      <c r="AK251" s="68"/>
      <c r="AL251" s="40"/>
      <c r="AM251" s="40"/>
      <c r="AN251" s="68"/>
      <c r="AO251" s="68"/>
      <c r="AP251" s="24">
        <f t="shared" ref="AP251:AP314" si="105">IF(OR(AJ251&lt;0,AK251="+",AL251="+",AM251="+",AN251="+",AO251="+"),0,AJ251)</f>
        <v>276.2</v>
      </c>
      <c r="AQ251" s="24"/>
      <c r="AR251" s="24">
        <f t="shared" ref="AR251:AR314" si="106">ROUND(AP251-AQ251,1)</f>
        <v>276.2</v>
      </c>
      <c r="AS251" s="76"/>
      <c r="AT251" s="1"/>
      <c r="AU251" s="1"/>
      <c r="AV251" s="38"/>
      <c r="AW251" s="38"/>
      <c r="AX251" s="1"/>
      <c r="AY251" s="1"/>
      <c r="AZ251" s="1"/>
      <c r="BA251" s="1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9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9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9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9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9"/>
      <c r="GH251" s="8"/>
      <c r="GI251" s="8"/>
    </row>
    <row r="252" spans="1:191" s="2" customFormat="1" ht="17.100000000000001" customHeight="1">
      <c r="A252" s="13" t="s">
        <v>232</v>
      </c>
      <c r="B252" s="24">
        <v>511</v>
      </c>
      <c r="C252" s="24">
        <v>489.1</v>
      </c>
      <c r="D252" s="4">
        <f t="shared" si="99"/>
        <v>0.95714285714285718</v>
      </c>
      <c r="E252" s="10">
        <v>15</v>
      </c>
      <c r="F252" s="5">
        <v>1</v>
      </c>
      <c r="G252" s="5">
        <v>10</v>
      </c>
      <c r="H252" s="5"/>
      <c r="I252" s="5"/>
      <c r="J252" s="4">
        <f t="shared" ref="J252:J265" si="107">J$48</f>
        <v>0.92623723487824028</v>
      </c>
      <c r="K252" s="5">
        <v>10</v>
      </c>
      <c r="L252" s="5" t="s">
        <v>394</v>
      </c>
      <c r="M252" s="5" t="s">
        <v>394</v>
      </c>
      <c r="N252" s="4" t="s">
        <v>394</v>
      </c>
      <c r="O252" s="5"/>
      <c r="P252" s="5" t="s">
        <v>394</v>
      </c>
      <c r="Q252" s="5" t="s">
        <v>394</v>
      </c>
      <c r="R252" s="5" t="s">
        <v>394</v>
      </c>
      <c r="S252" s="5"/>
      <c r="T252" s="5" t="s">
        <v>394</v>
      </c>
      <c r="U252" s="5" t="s">
        <v>394</v>
      </c>
      <c r="V252" s="5" t="s">
        <v>394</v>
      </c>
      <c r="W252" s="5"/>
      <c r="X252" s="5"/>
      <c r="Y252" s="5"/>
      <c r="Z252" s="4">
        <f t="shared" ref="Z252:Z265" si="108">Z$48</f>
        <v>1.0857142857142856</v>
      </c>
      <c r="AA252" s="5">
        <v>15</v>
      </c>
      <c r="AB252" s="31">
        <f t="shared" si="100"/>
        <v>0.99810458983279093</v>
      </c>
      <c r="AC252" s="32">
        <v>2595</v>
      </c>
      <c r="AD252" s="24">
        <f t="shared" si="101"/>
        <v>707.72727272727275</v>
      </c>
      <c r="AE252" s="24">
        <f t="shared" si="102"/>
        <v>706.4</v>
      </c>
      <c r="AF252" s="24">
        <f t="shared" si="103"/>
        <v>-1.3272727272727707</v>
      </c>
      <c r="AG252" s="24"/>
      <c r="AH252" s="24">
        <v>258.8</v>
      </c>
      <c r="AI252" s="24">
        <v>181</v>
      </c>
      <c r="AJ252" s="24">
        <f t="shared" si="104"/>
        <v>266.60000000000002</v>
      </c>
      <c r="AK252" s="68"/>
      <c r="AL252" s="40"/>
      <c r="AM252" s="40"/>
      <c r="AN252" s="68"/>
      <c r="AO252" s="68"/>
      <c r="AP252" s="24">
        <f t="shared" si="105"/>
        <v>266.60000000000002</v>
      </c>
      <c r="AQ252" s="24"/>
      <c r="AR252" s="24">
        <f t="shared" si="106"/>
        <v>266.60000000000002</v>
      </c>
      <c r="AS252" s="76"/>
      <c r="AT252" s="1"/>
      <c r="AU252" s="1"/>
      <c r="AV252" s="38"/>
      <c r="AW252" s="38"/>
      <c r="AX252" s="1"/>
      <c r="AY252" s="1"/>
      <c r="AZ252" s="1"/>
      <c r="BA252" s="1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9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9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9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9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9"/>
      <c r="GH252" s="8"/>
      <c r="GI252" s="8"/>
    </row>
    <row r="253" spans="1:191" s="2" customFormat="1" ht="17.100000000000001" customHeight="1">
      <c r="A253" s="13" t="s">
        <v>233</v>
      </c>
      <c r="B253" s="24">
        <v>427.8</v>
      </c>
      <c r="C253" s="24">
        <v>346.9</v>
      </c>
      <c r="D253" s="4">
        <f t="shared" si="99"/>
        <v>0.81089294062646089</v>
      </c>
      <c r="E253" s="10">
        <v>15</v>
      </c>
      <c r="F253" s="5">
        <v>1</v>
      </c>
      <c r="G253" s="5">
        <v>10</v>
      </c>
      <c r="H253" s="5"/>
      <c r="I253" s="5"/>
      <c r="J253" s="4">
        <f t="shared" si="107"/>
        <v>0.92623723487824028</v>
      </c>
      <c r="K253" s="5">
        <v>10</v>
      </c>
      <c r="L253" s="5" t="s">
        <v>394</v>
      </c>
      <c r="M253" s="5" t="s">
        <v>394</v>
      </c>
      <c r="N253" s="4" t="s">
        <v>394</v>
      </c>
      <c r="O253" s="5"/>
      <c r="P253" s="5" t="s">
        <v>394</v>
      </c>
      <c r="Q253" s="5" t="s">
        <v>394</v>
      </c>
      <c r="R253" s="5" t="s">
        <v>394</v>
      </c>
      <c r="S253" s="5"/>
      <c r="T253" s="5" t="s">
        <v>394</v>
      </c>
      <c r="U253" s="5" t="s">
        <v>394</v>
      </c>
      <c r="V253" s="5" t="s">
        <v>394</v>
      </c>
      <c r="W253" s="5"/>
      <c r="X253" s="5"/>
      <c r="Y253" s="5"/>
      <c r="Z253" s="4">
        <f t="shared" si="108"/>
        <v>1.0857142857142856</v>
      </c>
      <c r="AA253" s="5">
        <v>15</v>
      </c>
      <c r="AB253" s="31">
        <f t="shared" si="100"/>
        <v>0.95422961487787206</v>
      </c>
      <c r="AC253" s="32">
        <v>1989</v>
      </c>
      <c r="AD253" s="24">
        <f t="shared" si="101"/>
        <v>542.4545454545455</v>
      </c>
      <c r="AE253" s="24">
        <f t="shared" si="102"/>
        <v>517.6</v>
      </c>
      <c r="AF253" s="24">
        <f t="shared" si="103"/>
        <v>-24.854545454545473</v>
      </c>
      <c r="AG253" s="24"/>
      <c r="AH253" s="24">
        <v>203</v>
      </c>
      <c r="AI253" s="24">
        <v>127</v>
      </c>
      <c r="AJ253" s="24">
        <f t="shared" si="104"/>
        <v>187.6</v>
      </c>
      <c r="AK253" s="68"/>
      <c r="AL253" s="40"/>
      <c r="AM253" s="40"/>
      <c r="AN253" s="68"/>
      <c r="AO253" s="68"/>
      <c r="AP253" s="24">
        <f t="shared" si="105"/>
        <v>187.6</v>
      </c>
      <c r="AQ253" s="24"/>
      <c r="AR253" s="24">
        <f t="shared" si="106"/>
        <v>187.6</v>
      </c>
      <c r="AS253" s="76"/>
      <c r="AT253" s="1"/>
      <c r="AU253" s="1"/>
      <c r="AV253" s="38"/>
      <c r="AW253" s="38"/>
      <c r="AX253" s="1"/>
      <c r="AY253" s="1"/>
      <c r="AZ253" s="1"/>
      <c r="BA253" s="1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9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9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9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9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9"/>
      <c r="GH253" s="8"/>
      <c r="GI253" s="8"/>
    </row>
    <row r="254" spans="1:191" s="2" customFormat="1" ht="17.100000000000001" customHeight="1">
      <c r="A254" s="13" t="s">
        <v>234</v>
      </c>
      <c r="B254" s="24">
        <v>342.8</v>
      </c>
      <c r="C254" s="24">
        <v>299.89999999999998</v>
      </c>
      <c r="D254" s="4">
        <f t="shared" si="99"/>
        <v>0.87485414235705938</v>
      </c>
      <c r="E254" s="10">
        <v>15</v>
      </c>
      <c r="F254" s="5">
        <v>1</v>
      </c>
      <c r="G254" s="5">
        <v>10</v>
      </c>
      <c r="H254" s="5"/>
      <c r="I254" s="5"/>
      <c r="J254" s="4">
        <f t="shared" si="107"/>
        <v>0.92623723487824028</v>
      </c>
      <c r="K254" s="5">
        <v>10</v>
      </c>
      <c r="L254" s="5" t="s">
        <v>394</v>
      </c>
      <c r="M254" s="5" t="s">
        <v>394</v>
      </c>
      <c r="N254" s="4" t="s">
        <v>394</v>
      </c>
      <c r="O254" s="5"/>
      <c r="P254" s="5" t="s">
        <v>394</v>
      </c>
      <c r="Q254" s="5" t="s">
        <v>394</v>
      </c>
      <c r="R254" s="5" t="s">
        <v>394</v>
      </c>
      <c r="S254" s="5"/>
      <c r="T254" s="5" t="s">
        <v>394</v>
      </c>
      <c r="U254" s="5" t="s">
        <v>394</v>
      </c>
      <c r="V254" s="5" t="s">
        <v>394</v>
      </c>
      <c r="W254" s="5"/>
      <c r="X254" s="5"/>
      <c r="Y254" s="5"/>
      <c r="Z254" s="4">
        <f t="shared" si="108"/>
        <v>1.0857142857142856</v>
      </c>
      <c r="AA254" s="5">
        <v>15</v>
      </c>
      <c r="AB254" s="31">
        <f t="shared" si="100"/>
        <v>0.97341797539705155</v>
      </c>
      <c r="AC254" s="32">
        <v>2582</v>
      </c>
      <c r="AD254" s="24">
        <f t="shared" si="101"/>
        <v>704.18181818181813</v>
      </c>
      <c r="AE254" s="24">
        <f t="shared" si="102"/>
        <v>685.5</v>
      </c>
      <c r="AF254" s="24">
        <f t="shared" si="103"/>
        <v>-18.68181818181813</v>
      </c>
      <c r="AG254" s="24"/>
      <c r="AH254" s="24">
        <v>276.5</v>
      </c>
      <c r="AI254" s="24">
        <v>237.1</v>
      </c>
      <c r="AJ254" s="24">
        <f t="shared" si="104"/>
        <v>171.9</v>
      </c>
      <c r="AK254" s="68"/>
      <c r="AL254" s="40"/>
      <c r="AM254" s="40"/>
      <c r="AN254" s="68"/>
      <c r="AO254" s="68"/>
      <c r="AP254" s="24">
        <f t="shared" si="105"/>
        <v>171.9</v>
      </c>
      <c r="AQ254" s="24"/>
      <c r="AR254" s="24">
        <f t="shared" si="106"/>
        <v>171.9</v>
      </c>
      <c r="AS254" s="76"/>
      <c r="AT254" s="1"/>
      <c r="AU254" s="1"/>
      <c r="AV254" s="38"/>
      <c r="AW254" s="38"/>
      <c r="AX254" s="1"/>
      <c r="AY254" s="1"/>
      <c r="AZ254" s="1"/>
      <c r="BA254" s="1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9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9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9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9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9"/>
      <c r="GH254" s="8"/>
      <c r="GI254" s="8"/>
    </row>
    <row r="255" spans="1:191" s="2" customFormat="1" ht="17.100000000000001" customHeight="1">
      <c r="A255" s="13" t="s">
        <v>235</v>
      </c>
      <c r="B255" s="24">
        <v>107</v>
      </c>
      <c r="C255" s="24">
        <v>508.8</v>
      </c>
      <c r="D255" s="4">
        <f t="shared" si="99"/>
        <v>1.3</v>
      </c>
      <c r="E255" s="10">
        <v>15</v>
      </c>
      <c r="F255" s="5">
        <v>1</v>
      </c>
      <c r="G255" s="5">
        <v>10</v>
      </c>
      <c r="H255" s="5"/>
      <c r="I255" s="5"/>
      <c r="J255" s="4">
        <f t="shared" si="107"/>
        <v>0.92623723487824028</v>
      </c>
      <c r="K255" s="5">
        <v>10</v>
      </c>
      <c r="L255" s="5" t="s">
        <v>394</v>
      </c>
      <c r="M255" s="5" t="s">
        <v>394</v>
      </c>
      <c r="N255" s="4" t="s">
        <v>394</v>
      </c>
      <c r="O255" s="5"/>
      <c r="P255" s="5" t="s">
        <v>394</v>
      </c>
      <c r="Q255" s="5" t="s">
        <v>394</v>
      </c>
      <c r="R255" s="5" t="s">
        <v>394</v>
      </c>
      <c r="S255" s="5"/>
      <c r="T255" s="5" t="s">
        <v>394</v>
      </c>
      <c r="U255" s="5" t="s">
        <v>394</v>
      </c>
      <c r="V255" s="5" t="s">
        <v>394</v>
      </c>
      <c r="W255" s="5"/>
      <c r="X255" s="5"/>
      <c r="Y255" s="5"/>
      <c r="Z255" s="4">
        <f t="shared" si="108"/>
        <v>1.0857142857142856</v>
      </c>
      <c r="AA255" s="5">
        <v>15</v>
      </c>
      <c r="AB255" s="31">
        <f t="shared" si="100"/>
        <v>1.1009617326899339</v>
      </c>
      <c r="AC255" s="32">
        <v>2074</v>
      </c>
      <c r="AD255" s="24">
        <f t="shared" si="101"/>
        <v>565.63636363636363</v>
      </c>
      <c r="AE255" s="24">
        <f t="shared" si="102"/>
        <v>622.70000000000005</v>
      </c>
      <c r="AF255" s="24">
        <f t="shared" si="103"/>
        <v>57.063636363636419</v>
      </c>
      <c r="AG255" s="24"/>
      <c r="AH255" s="24">
        <v>222.5</v>
      </c>
      <c r="AI255" s="24">
        <v>222.5</v>
      </c>
      <c r="AJ255" s="24">
        <f t="shared" si="104"/>
        <v>177.7</v>
      </c>
      <c r="AK255" s="68"/>
      <c r="AL255" s="40"/>
      <c r="AM255" s="40"/>
      <c r="AN255" s="68"/>
      <c r="AO255" s="68"/>
      <c r="AP255" s="24">
        <f t="shared" si="105"/>
        <v>177.7</v>
      </c>
      <c r="AQ255" s="24"/>
      <c r="AR255" s="24">
        <f t="shared" si="106"/>
        <v>177.7</v>
      </c>
      <c r="AS255" s="76"/>
      <c r="AT255" s="1"/>
      <c r="AU255" s="1"/>
      <c r="AV255" s="38"/>
      <c r="AW255" s="38"/>
      <c r="AY255" s="1"/>
      <c r="AZ255" s="1"/>
      <c r="BA255" s="1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9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9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9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9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9"/>
      <c r="GH255" s="8"/>
      <c r="GI255" s="8"/>
    </row>
    <row r="256" spans="1:191" s="2" customFormat="1" ht="17.100000000000001" customHeight="1">
      <c r="A256" s="13" t="s">
        <v>236</v>
      </c>
      <c r="B256" s="24">
        <v>207.7</v>
      </c>
      <c r="C256" s="24">
        <v>332.6</v>
      </c>
      <c r="D256" s="4">
        <f t="shared" si="99"/>
        <v>1.2401348098218583</v>
      </c>
      <c r="E256" s="10">
        <v>15</v>
      </c>
      <c r="F256" s="5">
        <v>1</v>
      </c>
      <c r="G256" s="5">
        <v>10</v>
      </c>
      <c r="H256" s="5"/>
      <c r="I256" s="5"/>
      <c r="J256" s="4">
        <f t="shared" si="107"/>
        <v>0.92623723487824028</v>
      </c>
      <c r="K256" s="5">
        <v>10</v>
      </c>
      <c r="L256" s="5" t="s">
        <v>394</v>
      </c>
      <c r="M256" s="5" t="s">
        <v>394</v>
      </c>
      <c r="N256" s="4" t="s">
        <v>394</v>
      </c>
      <c r="O256" s="5"/>
      <c r="P256" s="5" t="s">
        <v>394</v>
      </c>
      <c r="Q256" s="5" t="s">
        <v>394</v>
      </c>
      <c r="R256" s="5" t="s">
        <v>394</v>
      </c>
      <c r="S256" s="5"/>
      <c r="T256" s="5" t="s">
        <v>394</v>
      </c>
      <c r="U256" s="5" t="s">
        <v>394</v>
      </c>
      <c r="V256" s="5" t="s">
        <v>394</v>
      </c>
      <c r="W256" s="5"/>
      <c r="X256" s="5"/>
      <c r="Y256" s="5"/>
      <c r="Z256" s="4">
        <f t="shared" si="108"/>
        <v>1.0857142857142856</v>
      </c>
      <c r="AA256" s="5">
        <v>15</v>
      </c>
      <c r="AB256" s="31">
        <f t="shared" si="100"/>
        <v>1.0830021756364914</v>
      </c>
      <c r="AC256" s="32">
        <v>2450</v>
      </c>
      <c r="AD256" s="24">
        <f t="shared" si="101"/>
        <v>668.18181818181813</v>
      </c>
      <c r="AE256" s="24">
        <f t="shared" si="102"/>
        <v>723.6</v>
      </c>
      <c r="AF256" s="24">
        <f t="shared" si="103"/>
        <v>55.418181818181893</v>
      </c>
      <c r="AG256" s="24"/>
      <c r="AH256" s="24">
        <v>262.8</v>
      </c>
      <c r="AI256" s="24">
        <v>237.2</v>
      </c>
      <c r="AJ256" s="24">
        <f t="shared" si="104"/>
        <v>223.6</v>
      </c>
      <c r="AK256" s="68"/>
      <c r="AL256" s="40"/>
      <c r="AM256" s="40"/>
      <c r="AN256" s="68"/>
      <c r="AO256" s="68"/>
      <c r="AP256" s="24">
        <f t="shared" si="105"/>
        <v>223.6</v>
      </c>
      <c r="AQ256" s="24"/>
      <c r="AR256" s="24">
        <f t="shared" si="106"/>
        <v>223.6</v>
      </c>
      <c r="AS256" s="76"/>
      <c r="AT256" s="1"/>
      <c r="AU256" s="1"/>
      <c r="AV256" s="38"/>
      <c r="AW256" s="38"/>
      <c r="AY256" s="1"/>
      <c r="AZ256" s="1"/>
      <c r="BA256" s="1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9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9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9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9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9"/>
      <c r="GH256" s="8"/>
      <c r="GI256" s="8"/>
    </row>
    <row r="257" spans="1:191" s="2" customFormat="1" ht="17.100000000000001" customHeight="1">
      <c r="A257" s="13" t="s">
        <v>237</v>
      </c>
      <c r="B257" s="24">
        <v>544.1</v>
      </c>
      <c r="C257" s="24">
        <v>775.5</v>
      </c>
      <c r="D257" s="4">
        <f t="shared" si="99"/>
        <v>1.2225289468847638</v>
      </c>
      <c r="E257" s="10">
        <v>15</v>
      </c>
      <c r="F257" s="5">
        <v>1</v>
      </c>
      <c r="G257" s="5">
        <v>10</v>
      </c>
      <c r="H257" s="5"/>
      <c r="I257" s="5"/>
      <c r="J257" s="4">
        <f t="shared" si="107"/>
        <v>0.92623723487824028</v>
      </c>
      <c r="K257" s="5">
        <v>10</v>
      </c>
      <c r="L257" s="5" t="s">
        <v>394</v>
      </c>
      <c r="M257" s="5" t="s">
        <v>394</v>
      </c>
      <c r="N257" s="4" t="s">
        <v>394</v>
      </c>
      <c r="O257" s="5"/>
      <c r="P257" s="5" t="s">
        <v>394</v>
      </c>
      <c r="Q257" s="5" t="s">
        <v>394</v>
      </c>
      <c r="R257" s="5" t="s">
        <v>394</v>
      </c>
      <c r="S257" s="5"/>
      <c r="T257" s="5" t="s">
        <v>394</v>
      </c>
      <c r="U257" s="5" t="s">
        <v>394</v>
      </c>
      <c r="V257" s="5" t="s">
        <v>394</v>
      </c>
      <c r="W257" s="5"/>
      <c r="X257" s="5"/>
      <c r="Y257" s="5"/>
      <c r="Z257" s="4">
        <f t="shared" si="108"/>
        <v>1.0857142857142856</v>
      </c>
      <c r="AA257" s="5">
        <v>15</v>
      </c>
      <c r="AB257" s="31">
        <f t="shared" si="100"/>
        <v>1.0777204167553629</v>
      </c>
      <c r="AC257" s="32">
        <v>2621</v>
      </c>
      <c r="AD257" s="24">
        <f t="shared" si="101"/>
        <v>714.81818181818187</v>
      </c>
      <c r="AE257" s="24">
        <f t="shared" si="102"/>
        <v>770.4</v>
      </c>
      <c r="AF257" s="24">
        <f t="shared" si="103"/>
        <v>55.581818181818107</v>
      </c>
      <c r="AG257" s="24"/>
      <c r="AH257" s="24">
        <v>218.1</v>
      </c>
      <c r="AI257" s="24">
        <v>124.5</v>
      </c>
      <c r="AJ257" s="24">
        <f t="shared" si="104"/>
        <v>427.8</v>
      </c>
      <c r="AK257" s="68"/>
      <c r="AL257" s="40"/>
      <c r="AM257" s="40"/>
      <c r="AN257" s="68"/>
      <c r="AO257" s="68"/>
      <c r="AP257" s="24">
        <f t="shared" si="105"/>
        <v>427.8</v>
      </c>
      <c r="AQ257" s="24"/>
      <c r="AR257" s="24">
        <f t="shared" si="106"/>
        <v>427.8</v>
      </c>
      <c r="AS257" s="76"/>
      <c r="AT257" s="1"/>
      <c r="AU257" s="1"/>
      <c r="AV257" s="38"/>
      <c r="AW257" s="38"/>
      <c r="AX257" s="1"/>
      <c r="AY257" s="1"/>
      <c r="AZ257" s="1"/>
      <c r="BA257" s="1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9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9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9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9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9"/>
      <c r="GH257" s="8"/>
      <c r="GI257" s="8"/>
    </row>
    <row r="258" spans="1:191" s="2" customFormat="1" ht="17.100000000000001" customHeight="1">
      <c r="A258" s="13" t="s">
        <v>238</v>
      </c>
      <c r="B258" s="24">
        <v>392.6</v>
      </c>
      <c r="C258" s="24">
        <v>498.1</v>
      </c>
      <c r="D258" s="4">
        <f t="shared" si="99"/>
        <v>1.2068721344880284</v>
      </c>
      <c r="E258" s="10">
        <v>15</v>
      </c>
      <c r="F258" s="5">
        <v>1</v>
      </c>
      <c r="G258" s="5">
        <v>10</v>
      </c>
      <c r="H258" s="5"/>
      <c r="I258" s="5"/>
      <c r="J258" s="4">
        <f t="shared" si="107"/>
        <v>0.92623723487824028</v>
      </c>
      <c r="K258" s="5">
        <v>10</v>
      </c>
      <c r="L258" s="5" t="s">
        <v>394</v>
      </c>
      <c r="M258" s="5" t="s">
        <v>394</v>
      </c>
      <c r="N258" s="4" t="s">
        <v>394</v>
      </c>
      <c r="O258" s="5"/>
      <c r="P258" s="5" t="s">
        <v>394</v>
      </c>
      <c r="Q258" s="5" t="s">
        <v>394</v>
      </c>
      <c r="R258" s="5" t="s">
        <v>394</v>
      </c>
      <c r="S258" s="5"/>
      <c r="T258" s="5" t="s">
        <v>394</v>
      </c>
      <c r="U258" s="5" t="s">
        <v>394</v>
      </c>
      <c r="V258" s="5" t="s">
        <v>394</v>
      </c>
      <c r="W258" s="5"/>
      <c r="X258" s="5"/>
      <c r="Y258" s="5"/>
      <c r="Z258" s="4">
        <f t="shared" si="108"/>
        <v>1.0857142857142856</v>
      </c>
      <c r="AA258" s="5">
        <v>15</v>
      </c>
      <c r="AB258" s="31">
        <f t="shared" si="100"/>
        <v>1.0730233730363421</v>
      </c>
      <c r="AC258" s="32">
        <v>1938</v>
      </c>
      <c r="AD258" s="24">
        <f t="shared" si="101"/>
        <v>528.5454545454545</v>
      </c>
      <c r="AE258" s="24">
        <f t="shared" si="102"/>
        <v>567.1</v>
      </c>
      <c r="AF258" s="24">
        <f t="shared" si="103"/>
        <v>38.554545454545519</v>
      </c>
      <c r="AG258" s="24"/>
      <c r="AH258" s="24">
        <v>207.9</v>
      </c>
      <c r="AI258" s="24">
        <v>171.7</v>
      </c>
      <c r="AJ258" s="24">
        <f t="shared" si="104"/>
        <v>187.5</v>
      </c>
      <c r="AK258" s="68"/>
      <c r="AL258" s="40"/>
      <c r="AM258" s="40"/>
      <c r="AN258" s="68"/>
      <c r="AO258" s="68"/>
      <c r="AP258" s="24">
        <f t="shared" si="105"/>
        <v>187.5</v>
      </c>
      <c r="AQ258" s="24"/>
      <c r="AR258" s="24">
        <f t="shared" si="106"/>
        <v>187.5</v>
      </c>
      <c r="AS258" s="76"/>
      <c r="AT258" s="1"/>
      <c r="AU258" s="1"/>
      <c r="AV258" s="38"/>
      <c r="AW258" s="38"/>
      <c r="AX258" s="1"/>
      <c r="AY258" s="1"/>
      <c r="AZ258" s="1"/>
      <c r="BA258" s="1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9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9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9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9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9"/>
      <c r="GH258" s="8"/>
      <c r="GI258" s="8"/>
    </row>
    <row r="259" spans="1:191" s="2" customFormat="1" ht="17.100000000000001" customHeight="1">
      <c r="A259" s="13" t="s">
        <v>239</v>
      </c>
      <c r="B259" s="24">
        <v>1054.0999999999999</v>
      </c>
      <c r="C259" s="24">
        <v>960.8</v>
      </c>
      <c r="D259" s="4">
        <f t="shared" si="99"/>
        <v>0.91148847357935681</v>
      </c>
      <c r="E259" s="10">
        <v>15</v>
      </c>
      <c r="F259" s="5">
        <v>1</v>
      </c>
      <c r="G259" s="5">
        <v>10</v>
      </c>
      <c r="H259" s="5"/>
      <c r="I259" s="5"/>
      <c r="J259" s="4">
        <f t="shared" si="107"/>
        <v>0.92623723487824028</v>
      </c>
      <c r="K259" s="5">
        <v>10</v>
      </c>
      <c r="L259" s="5" t="s">
        <v>394</v>
      </c>
      <c r="M259" s="5" t="s">
        <v>394</v>
      </c>
      <c r="N259" s="4" t="s">
        <v>394</v>
      </c>
      <c r="O259" s="5"/>
      <c r="P259" s="5" t="s">
        <v>394</v>
      </c>
      <c r="Q259" s="5" t="s">
        <v>394</v>
      </c>
      <c r="R259" s="5" t="s">
        <v>394</v>
      </c>
      <c r="S259" s="5"/>
      <c r="T259" s="5" t="s">
        <v>394</v>
      </c>
      <c r="U259" s="5" t="s">
        <v>394</v>
      </c>
      <c r="V259" s="5" t="s">
        <v>394</v>
      </c>
      <c r="W259" s="5"/>
      <c r="X259" s="5"/>
      <c r="Y259" s="5"/>
      <c r="Z259" s="4">
        <f t="shared" si="108"/>
        <v>1.0857142857142856</v>
      </c>
      <c r="AA259" s="5">
        <v>15</v>
      </c>
      <c r="AB259" s="31">
        <f t="shared" si="100"/>
        <v>0.98440827476374082</v>
      </c>
      <c r="AC259" s="32">
        <v>2395</v>
      </c>
      <c r="AD259" s="24">
        <f t="shared" si="101"/>
        <v>653.18181818181813</v>
      </c>
      <c r="AE259" s="24">
        <f t="shared" si="102"/>
        <v>643</v>
      </c>
      <c r="AF259" s="24">
        <f t="shared" si="103"/>
        <v>-10.18181818181813</v>
      </c>
      <c r="AG259" s="24"/>
      <c r="AH259" s="24">
        <v>219.7</v>
      </c>
      <c r="AI259" s="24">
        <v>195.6</v>
      </c>
      <c r="AJ259" s="24">
        <f t="shared" si="104"/>
        <v>227.7</v>
      </c>
      <c r="AK259" s="68"/>
      <c r="AL259" s="40"/>
      <c r="AM259" s="40"/>
      <c r="AN259" s="68"/>
      <c r="AO259" s="68"/>
      <c r="AP259" s="24">
        <f t="shared" si="105"/>
        <v>227.7</v>
      </c>
      <c r="AQ259" s="24"/>
      <c r="AR259" s="24">
        <f t="shared" si="106"/>
        <v>227.7</v>
      </c>
      <c r="AS259" s="76"/>
      <c r="AT259" s="1"/>
      <c r="AU259" s="1"/>
      <c r="AV259" s="38"/>
      <c r="AW259" s="38"/>
      <c r="AX259" s="1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9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9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9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9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9"/>
      <c r="GH259" s="8"/>
      <c r="GI259" s="8"/>
    </row>
    <row r="260" spans="1:191" s="2" customFormat="1" ht="17.100000000000001" customHeight="1">
      <c r="A260" s="13" t="s">
        <v>240</v>
      </c>
      <c r="B260" s="24">
        <v>432.9</v>
      </c>
      <c r="C260" s="24">
        <v>479.3</v>
      </c>
      <c r="D260" s="4">
        <f t="shared" si="99"/>
        <v>1.1071841071841073</v>
      </c>
      <c r="E260" s="10">
        <v>15</v>
      </c>
      <c r="F260" s="5">
        <v>1</v>
      </c>
      <c r="G260" s="5">
        <v>10</v>
      </c>
      <c r="H260" s="5"/>
      <c r="I260" s="5"/>
      <c r="J260" s="4">
        <f t="shared" si="107"/>
        <v>0.92623723487824028</v>
      </c>
      <c r="K260" s="5">
        <v>10</v>
      </c>
      <c r="L260" s="5" t="s">
        <v>394</v>
      </c>
      <c r="M260" s="5" t="s">
        <v>394</v>
      </c>
      <c r="N260" s="4" t="s">
        <v>394</v>
      </c>
      <c r="O260" s="5"/>
      <c r="P260" s="5" t="s">
        <v>394</v>
      </c>
      <c r="Q260" s="5" t="s">
        <v>394</v>
      </c>
      <c r="R260" s="5" t="s">
        <v>394</v>
      </c>
      <c r="S260" s="5"/>
      <c r="T260" s="5" t="s">
        <v>394</v>
      </c>
      <c r="U260" s="5" t="s">
        <v>394</v>
      </c>
      <c r="V260" s="5" t="s">
        <v>394</v>
      </c>
      <c r="W260" s="5"/>
      <c r="X260" s="5"/>
      <c r="Y260" s="5"/>
      <c r="Z260" s="4">
        <f t="shared" si="108"/>
        <v>1.0857142857142856</v>
      </c>
      <c r="AA260" s="5">
        <v>15</v>
      </c>
      <c r="AB260" s="31">
        <f t="shared" si="100"/>
        <v>1.0431169648451659</v>
      </c>
      <c r="AC260" s="32">
        <v>2342</v>
      </c>
      <c r="AD260" s="24">
        <f t="shared" si="101"/>
        <v>638.72727272727275</v>
      </c>
      <c r="AE260" s="24">
        <f t="shared" si="102"/>
        <v>666.3</v>
      </c>
      <c r="AF260" s="24">
        <f t="shared" si="103"/>
        <v>27.572727272727207</v>
      </c>
      <c r="AG260" s="24"/>
      <c r="AH260" s="24">
        <v>244.9</v>
      </c>
      <c r="AI260" s="24">
        <v>130.30000000000001</v>
      </c>
      <c r="AJ260" s="24">
        <f t="shared" si="104"/>
        <v>291.10000000000002</v>
      </c>
      <c r="AK260" s="68"/>
      <c r="AL260" s="40"/>
      <c r="AM260" s="40"/>
      <c r="AN260" s="68"/>
      <c r="AO260" s="68"/>
      <c r="AP260" s="24">
        <f t="shared" si="105"/>
        <v>291.10000000000002</v>
      </c>
      <c r="AQ260" s="24"/>
      <c r="AR260" s="24">
        <f t="shared" si="106"/>
        <v>291.10000000000002</v>
      </c>
      <c r="AS260" s="76"/>
      <c r="AT260" s="1"/>
      <c r="AU260" s="1"/>
      <c r="AV260" s="38"/>
      <c r="AW260" s="38"/>
      <c r="AX260" s="1"/>
      <c r="AY260" s="1"/>
      <c r="AZ260" s="1"/>
      <c r="BA260" s="1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9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9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9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9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9"/>
      <c r="GH260" s="8"/>
      <c r="GI260" s="8"/>
    </row>
    <row r="261" spans="1:191" s="2" customFormat="1" ht="17.100000000000001" customHeight="1">
      <c r="A261" s="13" t="s">
        <v>241</v>
      </c>
      <c r="B261" s="24">
        <v>1873.3</v>
      </c>
      <c r="C261" s="24">
        <v>1030.9000000000001</v>
      </c>
      <c r="D261" s="4">
        <f t="shared" si="99"/>
        <v>0.55031228313671066</v>
      </c>
      <c r="E261" s="10">
        <v>15</v>
      </c>
      <c r="F261" s="5">
        <v>1</v>
      </c>
      <c r="G261" s="5">
        <v>10</v>
      </c>
      <c r="H261" s="5"/>
      <c r="I261" s="5"/>
      <c r="J261" s="4">
        <f t="shared" si="107"/>
        <v>0.92623723487824028</v>
      </c>
      <c r="K261" s="5">
        <v>10</v>
      </c>
      <c r="L261" s="5" t="s">
        <v>394</v>
      </c>
      <c r="M261" s="5" t="s">
        <v>394</v>
      </c>
      <c r="N261" s="4" t="s">
        <v>394</v>
      </c>
      <c r="O261" s="5"/>
      <c r="P261" s="5" t="s">
        <v>394</v>
      </c>
      <c r="Q261" s="5" t="s">
        <v>394</v>
      </c>
      <c r="R261" s="5" t="s">
        <v>394</v>
      </c>
      <c r="S261" s="5"/>
      <c r="T261" s="5" t="s">
        <v>394</v>
      </c>
      <c r="U261" s="5" t="s">
        <v>394</v>
      </c>
      <c r="V261" s="5" t="s">
        <v>394</v>
      </c>
      <c r="W261" s="5"/>
      <c r="X261" s="5"/>
      <c r="Y261" s="5"/>
      <c r="Z261" s="4">
        <f t="shared" si="108"/>
        <v>1.0857142857142856</v>
      </c>
      <c r="AA261" s="5">
        <v>15</v>
      </c>
      <c r="AB261" s="31">
        <f t="shared" si="100"/>
        <v>0.87605541763094696</v>
      </c>
      <c r="AC261" s="32">
        <v>1955</v>
      </c>
      <c r="AD261" s="24">
        <f t="shared" si="101"/>
        <v>533.18181818181813</v>
      </c>
      <c r="AE261" s="24">
        <f t="shared" si="102"/>
        <v>467.1</v>
      </c>
      <c r="AF261" s="24">
        <f t="shared" si="103"/>
        <v>-66.081818181818107</v>
      </c>
      <c r="AG261" s="24"/>
      <c r="AH261" s="24">
        <v>130.6</v>
      </c>
      <c r="AI261" s="24">
        <v>140.69999999999999</v>
      </c>
      <c r="AJ261" s="24">
        <f t="shared" si="104"/>
        <v>195.8</v>
      </c>
      <c r="AK261" s="40"/>
      <c r="AL261" s="40"/>
      <c r="AM261" s="40"/>
      <c r="AN261" s="68"/>
      <c r="AO261" s="68"/>
      <c r="AP261" s="24">
        <f t="shared" si="105"/>
        <v>195.8</v>
      </c>
      <c r="AQ261" s="24"/>
      <c r="AR261" s="24">
        <f t="shared" si="106"/>
        <v>195.8</v>
      </c>
      <c r="AS261" s="76"/>
      <c r="AT261" s="1"/>
      <c r="AU261" s="1"/>
      <c r="AV261" s="38"/>
      <c r="AW261" s="38"/>
      <c r="AX261" s="1"/>
      <c r="AY261" s="1"/>
      <c r="AZ261" s="1"/>
      <c r="BA261" s="1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9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9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9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9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9"/>
      <c r="GH261" s="8"/>
      <c r="GI261" s="8"/>
    </row>
    <row r="262" spans="1:191" s="2" customFormat="1" ht="17.100000000000001" customHeight="1">
      <c r="A262" s="13" t="s">
        <v>242</v>
      </c>
      <c r="B262" s="24">
        <v>598.20000000000005</v>
      </c>
      <c r="C262" s="24">
        <v>519.4</v>
      </c>
      <c r="D262" s="4">
        <f t="shared" si="99"/>
        <v>0.86827148110999652</v>
      </c>
      <c r="E262" s="10">
        <v>15</v>
      </c>
      <c r="F262" s="5">
        <v>1</v>
      </c>
      <c r="G262" s="5">
        <v>10</v>
      </c>
      <c r="H262" s="5"/>
      <c r="I262" s="5"/>
      <c r="J262" s="4">
        <f t="shared" si="107"/>
        <v>0.92623723487824028</v>
      </c>
      <c r="K262" s="5">
        <v>10</v>
      </c>
      <c r="L262" s="5" t="s">
        <v>394</v>
      </c>
      <c r="M262" s="5" t="s">
        <v>394</v>
      </c>
      <c r="N262" s="4" t="s">
        <v>394</v>
      </c>
      <c r="O262" s="5"/>
      <c r="P262" s="5" t="s">
        <v>394</v>
      </c>
      <c r="Q262" s="5" t="s">
        <v>394</v>
      </c>
      <c r="R262" s="5" t="s">
        <v>394</v>
      </c>
      <c r="S262" s="5"/>
      <c r="T262" s="5" t="s">
        <v>394</v>
      </c>
      <c r="U262" s="5" t="s">
        <v>394</v>
      </c>
      <c r="V262" s="5" t="s">
        <v>394</v>
      </c>
      <c r="W262" s="5"/>
      <c r="X262" s="5"/>
      <c r="Y262" s="5"/>
      <c r="Z262" s="4">
        <f t="shared" si="108"/>
        <v>1.0857142857142856</v>
      </c>
      <c r="AA262" s="5">
        <v>15</v>
      </c>
      <c r="AB262" s="31">
        <f t="shared" si="100"/>
        <v>0.97144317702293259</v>
      </c>
      <c r="AC262" s="32">
        <v>3177</v>
      </c>
      <c r="AD262" s="24">
        <f t="shared" si="101"/>
        <v>866.4545454545455</v>
      </c>
      <c r="AE262" s="24">
        <f t="shared" si="102"/>
        <v>841.7</v>
      </c>
      <c r="AF262" s="24">
        <f t="shared" si="103"/>
        <v>-24.75454545454545</v>
      </c>
      <c r="AG262" s="24"/>
      <c r="AH262" s="24">
        <v>327.39999999999998</v>
      </c>
      <c r="AI262" s="24">
        <v>248.2</v>
      </c>
      <c r="AJ262" s="24">
        <f t="shared" si="104"/>
        <v>266.10000000000002</v>
      </c>
      <c r="AK262" s="68"/>
      <c r="AL262" s="40"/>
      <c r="AM262" s="40"/>
      <c r="AN262" s="68"/>
      <c r="AO262" s="68"/>
      <c r="AP262" s="24">
        <f t="shared" si="105"/>
        <v>266.10000000000002</v>
      </c>
      <c r="AQ262" s="24"/>
      <c r="AR262" s="24">
        <f t="shared" si="106"/>
        <v>266.10000000000002</v>
      </c>
      <c r="AS262" s="76"/>
      <c r="AT262" s="1"/>
      <c r="AU262" s="1"/>
      <c r="AV262" s="38"/>
      <c r="AW262" s="38"/>
      <c r="AZ262" s="1"/>
      <c r="BA262" s="1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9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9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9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9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9"/>
      <c r="GH262" s="8"/>
      <c r="GI262" s="8"/>
    </row>
    <row r="263" spans="1:191" s="2" customFormat="1" ht="17.100000000000001" customHeight="1">
      <c r="A263" s="13" t="s">
        <v>243</v>
      </c>
      <c r="B263" s="24">
        <v>376.1</v>
      </c>
      <c r="C263" s="24">
        <v>413</v>
      </c>
      <c r="D263" s="4">
        <f t="shared" si="99"/>
        <v>1.0981122042010103</v>
      </c>
      <c r="E263" s="10">
        <v>15</v>
      </c>
      <c r="F263" s="5">
        <v>1</v>
      </c>
      <c r="G263" s="5">
        <v>10</v>
      </c>
      <c r="H263" s="5"/>
      <c r="I263" s="5"/>
      <c r="J263" s="4">
        <f t="shared" si="107"/>
        <v>0.92623723487824028</v>
      </c>
      <c r="K263" s="5">
        <v>10</v>
      </c>
      <c r="L263" s="5" t="s">
        <v>394</v>
      </c>
      <c r="M263" s="5" t="s">
        <v>394</v>
      </c>
      <c r="N263" s="4" t="s">
        <v>394</v>
      </c>
      <c r="O263" s="5"/>
      <c r="P263" s="5" t="s">
        <v>394</v>
      </c>
      <c r="Q263" s="5" t="s">
        <v>394</v>
      </c>
      <c r="R263" s="5" t="s">
        <v>394</v>
      </c>
      <c r="S263" s="5"/>
      <c r="T263" s="5" t="s">
        <v>394</v>
      </c>
      <c r="U263" s="5" t="s">
        <v>394</v>
      </c>
      <c r="V263" s="5" t="s">
        <v>394</v>
      </c>
      <c r="W263" s="5"/>
      <c r="X263" s="5"/>
      <c r="Y263" s="5"/>
      <c r="Z263" s="4">
        <f t="shared" si="108"/>
        <v>1.0857142857142856</v>
      </c>
      <c r="AA263" s="5">
        <v>15</v>
      </c>
      <c r="AB263" s="31">
        <f t="shared" si="100"/>
        <v>1.0403953939502368</v>
      </c>
      <c r="AC263" s="32">
        <v>2648</v>
      </c>
      <c r="AD263" s="24">
        <f t="shared" si="101"/>
        <v>722.18181818181813</v>
      </c>
      <c r="AE263" s="24">
        <f t="shared" si="102"/>
        <v>751.4</v>
      </c>
      <c r="AF263" s="24">
        <f t="shared" si="103"/>
        <v>29.218181818181847</v>
      </c>
      <c r="AG263" s="24"/>
      <c r="AH263" s="24">
        <v>281.60000000000002</v>
      </c>
      <c r="AI263" s="24">
        <v>284.10000000000002</v>
      </c>
      <c r="AJ263" s="24">
        <f t="shared" si="104"/>
        <v>185.7</v>
      </c>
      <c r="AK263" s="68"/>
      <c r="AL263" s="40"/>
      <c r="AM263" s="40"/>
      <c r="AN263" s="68"/>
      <c r="AO263" s="68"/>
      <c r="AP263" s="24">
        <f t="shared" si="105"/>
        <v>185.7</v>
      </c>
      <c r="AQ263" s="24"/>
      <c r="AR263" s="24">
        <f t="shared" si="106"/>
        <v>185.7</v>
      </c>
      <c r="AS263" s="76"/>
      <c r="AT263" s="1"/>
      <c r="AU263" s="1"/>
      <c r="AV263" s="38"/>
      <c r="AW263" s="38"/>
      <c r="AY263" s="38"/>
      <c r="AZ263" s="1"/>
      <c r="BA263" s="1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9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9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9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9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9"/>
      <c r="GH263" s="8"/>
      <c r="GI263" s="8"/>
    </row>
    <row r="264" spans="1:191" s="2" customFormat="1" ht="17.100000000000001" customHeight="1">
      <c r="A264" s="13" t="s">
        <v>244</v>
      </c>
      <c r="B264" s="24">
        <v>383</v>
      </c>
      <c r="C264" s="24">
        <v>257.89999999999998</v>
      </c>
      <c r="D264" s="4">
        <f t="shared" si="99"/>
        <v>0.67336814621409913</v>
      </c>
      <c r="E264" s="10">
        <v>15</v>
      </c>
      <c r="F264" s="5">
        <v>1</v>
      </c>
      <c r="G264" s="5">
        <v>10</v>
      </c>
      <c r="H264" s="5"/>
      <c r="I264" s="5"/>
      <c r="J264" s="4">
        <f t="shared" si="107"/>
        <v>0.92623723487824028</v>
      </c>
      <c r="K264" s="5">
        <v>10</v>
      </c>
      <c r="L264" s="5" t="s">
        <v>394</v>
      </c>
      <c r="M264" s="5" t="s">
        <v>394</v>
      </c>
      <c r="N264" s="4" t="s">
        <v>394</v>
      </c>
      <c r="O264" s="5"/>
      <c r="P264" s="5" t="s">
        <v>394</v>
      </c>
      <c r="Q264" s="5" t="s">
        <v>394</v>
      </c>
      <c r="R264" s="5" t="s">
        <v>394</v>
      </c>
      <c r="S264" s="5"/>
      <c r="T264" s="5" t="s">
        <v>394</v>
      </c>
      <c r="U264" s="5" t="s">
        <v>394</v>
      </c>
      <c r="V264" s="5" t="s">
        <v>394</v>
      </c>
      <c r="W264" s="5"/>
      <c r="X264" s="5"/>
      <c r="Y264" s="5"/>
      <c r="Z264" s="4">
        <f t="shared" si="108"/>
        <v>1.0857142857142856</v>
      </c>
      <c r="AA264" s="5">
        <v>15</v>
      </c>
      <c r="AB264" s="31">
        <f t="shared" si="100"/>
        <v>0.91297217655416352</v>
      </c>
      <c r="AC264" s="32">
        <v>1332</v>
      </c>
      <c r="AD264" s="24">
        <f t="shared" si="101"/>
        <v>363.27272727272725</v>
      </c>
      <c r="AE264" s="24">
        <f t="shared" si="102"/>
        <v>331.7</v>
      </c>
      <c r="AF264" s="24">
        <f t="shared" si="103"/>
        <v>-31.572727272727263</v>
      </c>
      <c r="AG264" s="24"/>
      <c r="AH264" s="24">
        <v>112.5</v>
      </c>
      <c r="AI264" s="24">
        <v>91</v>
      </c>
      <c r="AJ264" s="24">
        <f t="shared" si="104"/>
        <v>128.19999999999999</v>
      </c>
      <c r="AK264" s="68"/>
      <c r="AL264" s="40"/>
      <c r="AM264" s="40"/>
      <c r="AN264" s="68"/>
      <c r="AO264" s="68"/>
      <c r="AP264" s="24">
        <f t="shared" si="105"/>
        <v>128.19999999999999</v>
      </c>
      <c r="AQ264" s="24"/>
      <c r="AR264" s="24">
        <f t="shared" si="106"/>
        <v>128.19999999999999</v>
      </c>
      <c r="AS264" s="76"/>
      <c r="AT264" s="1"/>
      <c r="AU264" s="1"/>
      <c r="AV264" s="38"/>
      <c r="AW264" s="38"/>
      <c r="AZ264" s="1"/>
      <c r="BA264" s="1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9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9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9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9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9"/>
      <c r="GH264" s="8"/>
      <c r="GI264" s="8"/>
    </row>
    <row r="265" spans="1:191" s="2" customFormat="1" ht="17.100000000000001" customHeight="1">
      <c r="A265" s="13" t="s">
        <v>245</v>
      </c>
      <c r="B265" s="24">
        <v>734.4</v>
      </c>
      <c r="C265" s="24">
        <v>702.4</v>
      </c>
      <c r="D265" s="4">
        <f t="shared" si="99"/>
        <v>0.95642701525054463</v>
      </c>
      <c r="E265" s="10">
        <v>15</v>
      </c>
      <c r="F265" s="5">
        <v>1</v>
      </c>
      <c r="G265" s="5">
        <v>10</v>
      </c>
      <c r="H265" s="5"/>
      <c r="I265" s="5"/>
      <c r="J265" s="4">
        <f t="shared" si="107"/>
        <v>0.92623723487824028</v>
      </c>
      <c r="K265" s="5">
        <v>10</v>
      </c>
      <c r="L265" s="5" t="s">
        <v>394</v>
      </c>
      <c r="M265" s="5" t="s">
        <v>394</v>
      </c>
      <c r="N265" s="4" t="s">
        <v>394</v>
      </c>
      <c r="O265" s="5"/>
      <c r="P265" s="5" t="s">
        <v>394</v>
      </c>
      <c r="Q265" s="5" t="s">
        <v>394</v>
      </c>
      <c r="R265" s="5" t="s">
        <v>394</v>
      </c>
      <c r="S265" s="5"/>
      <c r="T265" s="5" t="s">
        <v>394</v>
      </c>
      <c r="U265" s="5" t="s">
        <v>394</v>
      </c>
      <c r="V265" s="5" t="s">
        <v>394</v>
      </c>
      <c r="W265" s="5"/>
      <c r="X265" s="5"/>
      <c r="Y265" s="5"/>
      <c r="Z265" s="4">
        <f t="shared" si="108"/>
        <v>1.0857142857142856</v>
      </c>
      <c r="AA265" s="5">
        <v>15</v>
      </c>
      <c r="AB265" s="31">
        <f t="shared" si="100"/>
        <v>0.99788983726509717</v>
      </c>
      <c r="AC265" s="32">
        <v>2380</v>
      </c>
      <c r="AD265" s="24">
        <f t="shared" si="101"/>
        <v>649.09090909090912</v>
      </c>
      <c r="AE265" s="24">
        <f t="shared" si="102"/>
        <v>647.70000000000005</v>
      </c>
      <c r="AF265" s="24">
        <f t="shared" si="103"/>
        <v>-1.3909090909090764</v>
      </c>
      <c r="AG265" s="24"/>
      <c r="AH265" s="24">
        <v>255.3</v>
      </c>
      <c r="AI265" s="24">
        <v>226.3</v>
      </c>
      <c r="AJ265" s="24">
        <f t="shared" si="104"/>
        <v>166.1</v>
      </c>
      <c r="AK265" s="68"/>
      <c r="AL265" s="40"/>
      <c r="AM265" s="40"/>
      <c r="AN265" s="68"/>
      <c r="AO265" s="68"/>
      <c r="AP265" s="24">
        <f t="shared" si="105"/>
        <v>166.1</v>
      </c>
      <c r="AQ265" s="24"/>
      <c r="AR265" s="24">
        <f t="shared" si="106"/>
        <v>166.1</v>
      </c>
      <c r="AS265" s="76"/>
      <c r="AT265" s="1"/>
      <c r="AU265" s="1"/>
      <c r="AV265" s="38"/>
      <c r="AW265" s="38"/>
      <c r="AX265" s="1"/>
      <c r="AY265" s="1"/>
      <c r="AZ265" s="1"/>
      <c r="BA265" s="1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9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9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9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9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9"/>
      <c r="GH265" s="8"/>
      <c r="GI265" s="8"/>
    </row>
    <row r="266" spans="1:191" s="2" customFormat="1" ht="17.100000000000001" customHeight="1">
      <c r="A266" s="17" t="s">
        <v>246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76"/>
      <c r="AT266" s="1"/>
      <c r="AU266" s="1"/>
      <c r="AV266" s="38"/>
      <c r="AW266" s="38"/>
      <c r="AX266" s="1"/>
      <c r="AY266" s="1"/>
      <c r="AZ266" s="1"/>
      <c r="BA266" s="1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9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9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9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9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9"/>
      <c r="GH266" s="8"/>
      <c r="GI266" s="8"/>
    </row>
    <row r="267" spans="1:191" s="2" customFormat="1" ht="16.7" customHeight="1">
      <c r="A267" s="13" t="s">
        <v>247</v>
      </c>
      <c r="B267" s="24">
        <v>677.7</v>
      </c>
      <c r="C267" s="24">
        <v>460.2</v>
      </c>
      <c r="D267" s="4">
        <f t="shared" si="99"/>
        <v>0.679061531651173</v>
      </c>
      <c r="E267" s="10">
        <v>15</v>
      </c>
      <c r="F267" s="5">
        <v>1</v>
      </c>
      <c r="G267" s="5">
        <v>10</v>
      </c>
      <c r="H267" s="5"/>
      <c r="I267" s="5"/>
      <c r="J267" s="4">
        <f>J$49</f>
        <v>1.0431060606060607</v>
      </c>
      <c r="K267" s="5">
        <v>10</v>
      </c>
      <c r="L267" s="5" t="s">
        <v>394</v>
      </c>
      <c r="M267" s="5" t="s">
        <v>394</v>
      </c>
      <c r="N267" s="4" t="s">
        <v>394</v>
      </c>
      <c r="O267" s="5"/>
      <c r="P267" s="5" t="s">
        <v>394</v>
      </c>
      <c r="Q267" s="5" t="s">
        <v>394</v>
      </c>
      <c r="R267" s="5" t="s">
        <v>394</v>
      </c>
      <c r="S267" s="5"/>
      <c r="T267" s="5" t="s">
        <v>394</v>
      </c>
      <c r="U267" s="5" t="s">
        <v>394</v>
      </c>
      <c r="V267" s="5" t="s">
        <v>394</v>
      </c>
      <c r="W267" s="5"/>
      <c r="X267" s="5"/>
      <c r="Y267" s="5"/>
      <c r="Z267" s="4">
        <f>Z$49</f>
        <v>0.59513274336283184</v>
      </c>
      <c r="AA267" s="5">
        <v>15</v>
      </c>
      <c r="AB267" s="31">
        <f t="shared" si="100"/>
        <v>0.7908794946254134</v>
      </c>
      <c r="AC267" s="32">
        <v>2127</v>
      </c>
      <c r="AD267" s="24">
        <f t="shared" si="101"/>
        <v>580.09090909090912</v>
      </c>
      <c r="AE267" s="24">
        <f t="shared" ref="AE267:AE273" si="109">ROUND(AB267*AD267,1)</f>
        <v>458.8</v>
      </c>
      <c r="AF267" s="24">
        <f t="shared" si="103"/>
        <v>-121.29090909090911</v>
      </c>
      <c r="AG267" s="24"/>
      <c r="AH267" s="24">
        <v>222.3</v>
      </c>
      <c r="AI267" s="24">
        <v>118.7</v>
      </c>
      <c r="AJ267" s="24">
        <f t="shared" si="104"/>
        <v>117.8</v>
      </c>
      <c r="AK267" s="68"/>
      <c r="AL267" s="40"/>
      <c r="AM267" s="40"/>
      <c r="AN267" s="68"/>
      <c r="AO267" s="68"/>
      <c r="AP267" s="24">
        <f t="shared" si="105"/>
        <v>117.8</v>
      </c>
      <c r="AQ267" s="24">
        <f>MIN(AP267,96.7)</f>
        <v>96.7</v>
      </c>
      <c r="AR267" s="24">
        <f t="shared" si="106"/>
        <v>21.1</v>
      </c>
      <c r="AS267" s="76"/>
      <c r="AT267" s="1"/>
      <c r="AU267" s="1"/>
      <c r="AV267" s="38"/>
      <c r="AW267" s="38"/>
      <c r="AX267" s="1"/>
      <c r="AY267" s="1"/>
      <c r="AZ267" s="1"/>
      <c r="BA267" s="1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9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9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9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9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9"/>
      <c r="GH267" s="8"/>
      <c r="GI267" s="8"/>
    </row>
    <row r="268" spans="1:191" s="2" customFormat="1" ht="17.100000000000001" customHeight="1">
      <c r="A268" s="13" t="s">
        <v>248</v>
      </c>
      <c r="B268" s="24">
        <v>176.3</v>
      </c>
      <c r="C268" s="24">
        <v>297.2</v>
      </c>
      <c r="D268" s="4">
        <f t="shared" si="99"/>
        <v>1.2485762904140669</v>
      </c>
      <c r="E268" s="10">
        <v>15</v>
      </c>
      <c r="F268" s="5">
        <v>1</v>
      </c>
      <c r="G268" s="5">
        <v>10</v>
      </c>
      <c r="H268" s="5"/>
      <c r="I268" s="5"/>
      <c r="J268" s="4">
        <f t="shared" ref="J268:J273" si="110">J$49</f>
        <v>1.0431060606060607</v>
      </c>
      <c r="K268" s="5">
        <v>10</v>
      </c>
      <c r="L268" s="5" t="s">
        <v>394</v>
      </c>
      <c r="M268" s="5" t="s">
        <v>394</v>
      </c>
      <c r="N268" s="4" t="s">
        <v>394</v>
      </c>
      <c r="O268" s="5"/>
      <c r="P268" s="5" t="s">
        <v>394</v>
      </c>
      <c r="Q268" s="5" t="s">
        <v>394</v>
      </c>
      <c r="R268" s="5" t="s">
        <v>394</v>
      </c>
      <c r="S268" s="5"/>
      <c r="T268" s="5" t="s">
        <v>394</v>
      </c>
      <c r="U268" s="5" t="s">
        <v>394</v>
      </c>
      <c r="V268" s="5" t="s">
        <v>394</v>
      </c>
      <c r="W268" s="5"/>
      <c r="X268" s="5"/>
      <c r="Y268" s="5"/>
      <c r="Z268" s="4">
        <f t="shared" ref="Z268:Z273" si="111">Z$49</f>
        <v>0.59513274336283184</v>
      </c>
      <c r="AA268" s="5">
        <v>15</v>
      </c>
      <c r="AB268" s="31">
        <f t="shared" si="100"/>
        <v>0.96173392225428178</v>
      </c>
      <c r="AC268" s="32">
        <v>1178</v>
      </c>
      <c r="AD268" s="24">
        <f t="shared" si="101"/>
        <v>321.27272727272725</v>
      </c>
      <c r="AE268" s="24">
        <f t="shared" si="109"/>
        <v>309</v>
      </c>
      <c r="AF268" s="24">
        <f t="shared" si="103"/>
        <v>-12.272727272727252</v>
      </c>
      <c r="AG268" s="24"/>
      <c r="AH268" s="24">
        <v>110.1</v>
      </c>
      <c r="AI268" s="24">
        <v>103.5</v>
      </c>
      <c r="AJ268" s="24">
        <f t="shared" si="104"/>
        <v>95.4</v>
      </c>
      <c r="AK268" s="68"/>
      <c r="AL268" s="40"/>
      <c r="AM268" s="40"/>
      <c r="AN268" s="68"/>
      <c r="AO268" s="68"/>
      <c r="AP268" s="24">
        <f t="shared" si="105"/>
        <v>95.4</v>
      </c>
      <c r="AQ268" s="24">
        <f>MIN(AP268,40.3)</f>
        <v>40.299999999999997</v>
      </c>
      <c r="AR268" s="24">
        <f t="shared" si="106"/>
        <v>55.1</v>
      </c>
      <c r="AS268" s="76"/>
      <c r="AT268" s="1"/>
      <c r="AU268" s="1"/>
      <c r="AV268" s="38"/>
      <c r="AW268" s="38"/>
      <c r="AZ268" s="1"/>
      <c r="BA268" s="1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9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9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9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9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9"/>
      <c r="GH268" s="8"/>
      <c r="GI268" s="8"/>
    </row>
    <row r="269" spans="1:191" s="2" customFormat="1" ht="17.100000000000001" customHeight="1">
      <c r="A269" s="13" t="s">
        <v>249</v>
      </c>
      <c r="B269" s="24">
        <v>616.6</v>
      </c>
      <c r="C269" s="24">
        <v>692.7</v>
      </c>
      <c r="D269" s="4">
        <f t="shared" si="99"/>
        <v>1.1234187479727538</v>
      </c>
      <c r="E269" s="10">
        <v>15</v>
      </c>
      <c r="F269" s="5">
        <v>1</v>
      </c>
      <c r="G269" s="5">
        <v>10</v>
      </c>
      <c r="H269" s="5"/>
      <c r="I269" s="5"/>
      <c r="J269" s="4">
        <f t="shared" si="110"/>
        <v>1.0431060606060607</v>
      </c>
      <c r="K269" s="5">
        <v>10</v>
      </c>
      <c r="L269" s="5" t="s">
        <v>394</v>
      </c>
      <c r="M269" s="5" t="s">
        <v>394</v>
      </c>
      <c r="N269" s="4" t="s">
        <v>394</v>
      </c>
      <c r="O269" s="5"/>
      <c r="P269" s="5" t="s">
        <v>394</v>
      </c>
      <c r="Q269" s="5" t="s">
        <v>394</v>
      </c>
      <c r="R269" s="5" t="s">
        <v>394</v>
      </c>
      <c r="S269" s="5"/>
      <c r="T269" s="5" t="s">
        <v>394</v>
      </c>
      <c r="U269" s="5" t="s">
        <v>394</v>
      </c>
      <c r="V269" s="5" t="s">
        <v>394</v>
      </c>
      <c r="W269" s="5"/>
      <c r="X269" s="5"/>
      <c r="Y269" s="5"/>
      <c r="Z269" s="4">
        <f t="shared" si="111"/>
        <v>0.59513274336283184</v>
      </c>
      <c r="AA269" s="5">
        <v>15</v>
      </c>
      <c r="AB269" s="31">
        <f t="shared" si="100"/>
        <v>0.92418665952188772</v>
      </c>
      <c r="AC269" s="32">
        <v>3137</v>
      </c>
      <c r="AD269" s="24">
        <f t="shared" si="101"/>
        <v>855.5454545454545</v>
      </c>
      <c r="AE269" s="24">
        <f t="shared" si="109"/>
        <v>790.7</v>
      </c>
      <c r="AF269" s="24">
        <f t="shared" si="103"/>
        <v>-64.845454545454459</v>
      </c>
      <c r="AG269" s="24"/>
      <c r="AH269" s="24">
        <v>336.5</v>
      </c>
      <c r="AI269" s="24">
        <v>272.7</v>
      </c>
      <c r="AJ269" s="24">
        <f t="shared" si="104"/>
        <v>181.5</v>
      </c>
      <c r="AK269" s="68"/>
      <c r="AL269" s="40"/>
      <c r="AM269" s="40"/>
      <c r="AN269" s="68"/>
      <c r="AO269" s="68"/>
      <c r="AP269" s="24">
        <f t="shared" si="105"/>
        <v>181.5</v>
      </c>
      <c r="AQ269" s="24">
        <f>MIN(AP269,142.6)</f>
        <v>142.6</v>
      </c>
      <c r="AR269" s="24">
        <f t="shared" si="106"/>
        <v>38.9</v>
      </c>
      <c r="AS269" s="76"/>
      <c r="AT269" s="1"/>
      <c r="AU269" s="1"/>
      <c r="AV269" s="38"/>
      <c r="AW269" s="38"/>
      <c r="AY269" s="1"/>
      <c r="AZ269" s="1"/>
      <c r="BA269" s="1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9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9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9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9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9"/>
      <c r="GH269" s="8"/>
      <c r="GI269" s="8"/>
    </row>
    <row r="270" spans="1:191" s="2" customFormat="1" ht="17.100000000000001" customHeight="1">
      <c r="A270" s="13" t="s">
        <v>250</v>
      </c>
      <c r="B270" s="24">
        <v>1110.5</v>
      </c>
      <c r="C270" s="24">
        <v>2598.5</v>
      </c>
      <c r="D270" s="4">
        <f t="shared" si="99"/>
        <v>1.3</v>
      </c>
      <c r="E270" s="10">
        <v>15</v>
      </c>
      <c r="F270" s="5">
        <v>1</v>
      </c>
      <c r="G270" s="5">
        <v>10</v>
      </c>
      <c r="H270" s="5"/>
      <c r="I270" s="5"/>
      <c r="J270" s="4">
        <f t="shared" si="110"/>
        <v>1.0431060606060607</v>
      </c>
      <c r="K270" s="5">
        <v>10</v>
      </c>
      <c r="L270" s="5" t="s">
        <v>394</v>
      </c>
      <c r="M270" s="5" t="s">
        <v>394</v>
      </c>
      <c r="N270" s="4" t="s">
        <v>394</v>
      </c>
      <c r="O270" s="5"/>
      <c r="P270" s="5" t="s">
        <v>394</v>
      </c>
      <c r="Q270" s="5" t="s">
        <v>394</v>
      </c>
      <c r="R270" s="5" t="s">
        <v>394</v>
      </c>
      <c r="S270" s="5"/>
      <c r="T270" s="5" t="s">
        <v>394</v>
      </c>
      <c r="U270" s="5" t="s">
        <v>394</v>
      </c>
      <c r="V270" s="5" t="s">
        <v>394</v>
      </c>
      <c r="W270" s="5"/>
      <c r="X270" s="5"/>
      <c r="Y270" s="5"/>
      <c r="Z270" s="4">
        <f t="shared" si="111"/>
        <v>0.59513274336283184</v>
      </c>
      <c r="AA270" s="5">
        <v>15</v>
      </c>
      <c r="AB270" s="31">
        <f t="shared" si="100"/>
        <v>0.97716103513006158</v>
      </c>
      <c r="AC270" s="32">
        <v>1383</v>
      </c>
      <c r="AD270" s="24">
        <f t="shared" si="101"/>
        <v>377.18181818181819</v>
      </c>
      <c r="AE270" s="24">
        <f t="shared" si="109"/>
        <v>368.6</v>
      </c>
      <c r="AF270" s="24">
        <f t="shared" si="103"/>
        <v>-8.5818181818181642</v>
      </c>
      <c r="AG270" s="24"/>
      <c r="AH270" s="24">
        <v>114.1</v>
      </c>
      <c r="AI270" s="24">
        <v>148.4</v>
      </c>
      <c r="AJ270" s="24">
        <f t="shared" si="104"/>
        <v>106.1</v>
      </c>
      <c r="AK270" s="40"/>
      <c r="AL270" s="40"/>
      <c r="AM270" s="40"/>
      <c r="AN270" s="68"/>
      <c r="AO270" s="68"/>
      <c r="AP270" s="24">
        <f t="shared" si="105"/>
        <v>106.1</v>
      </c>
      <c r="AQ270" s="24">
        <f>MIN(AP270,62.9)</f>
        <v>62.9</v>
      </c>
      <c r="AR270" s="24">
        <f t="shared" si="106"/>
        <v>43.2</v>
      </c>
      <c r="AS270" s="76"/>
      <c r="AT270" s="1"/>
      <c r="AU270" s="1"/>
      <c r="AV270" s="38"/>
      <c r="AW270" s="38"/>
      <c r="AX270" s="1"/>
      <c r="AY270" s="1"/>
      <c r="AZ270" s="1"/>
      <c r="BA270" s="1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9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9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9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9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9"/>
      <c r="GH270" s="8"/>
      <c r="GI270" s="8"/>
    </row>
    <row r="271" spans="1:191" s="2" customFormat="1" ht="17.100000000000001" customHeight="1">
      <c r="A271" s="13" t="s">
        <v>251</v>
      </c>
      <c r="B271" s="24">
        <v>1219.2</v>
      </c>
      <c r="C271" s="24">
        <v>1443.7</v>
      </c>
      <c r="D271" s="4">
        <f t="shared" si="99"/>
        <v>1.1841371391076116</v>
      </c>
      <c r="E271" s="10">
        <v>15</v>
      </c>
      <c r="F271" s="5">
        <v>1</v>
      </c>
      <c r="G271" s="5">
        <v>10</v>
      </c>
      <c r="H271" s="5"/>
      <c r="I271" s="5"/>
      <c r="J271" s="4">
        <f t="shared" si="110"/>
        <v>1.0431060606060607</v>
      </c>
      <c r="K271" s="5">
        <v>10</v>
      </c>
      <c r="L271" s="5" t="s">
        <v>394</v>
      </c>
      <c r="M271" s="5" t="s">
        <v>394</v>
      </c>
      <c r="N271" s="4" t="s">
        <v>394</v>
      </c>
      <c r="O271" s="5"/>
      <c r="P271" s="5" t="s">
        <v>394</v>
      </c>
      <c r="Q271" s="5" t="s">
        <v>394</v>
      </c>
      <c r="R271" s="5" t="s">
        <v>394</v>
      </c>
      <c r="S271" s="5"/>
      <c r="T271" s="5" t="s">
        <v>394</v>
      </c>
      <c r="U271" s="5" t="s">
        <v>394</v>
      </c>
      <c r="V271" s="5" t="s">
        <v>394</v>
      </c>
      <c r="W271" s="5"/>
      <c r="X271" s="5"/>
      <c r="Y271" s="5"/>
      <c r="Z271" s="4">
        <f t="shared" si="111"/>
        <v>0.59513274336283184</v>
      </c>
      <c r="AA271" s="5">
        <v>15</v>
      </c>
      <c r="AB271" s="31">
        <f t="shared" si="100"/>
        <v>0.94240217686234518</v>
      </c>
      <c r="AC271" s="32">
        <v>3332</v>
      </c>
      <c r="AD271" s="24">
        <f t="shared" si="101"/>
        <v>908.72727272727275</v>
      </c>
      <c r="AE271" s="24">
        <f t="shared" si="109"/>
        <v>856.4</v>
      </c>
      <c r="AF271" s="24">
        <f t="shared" si="103"/>
        <v>-52.327272727272771</v>
      </c>
      <c r="AG271" s="24"/>
      <c r="AH271" s="24">
        <v>271.2</v>
      </c>
      <c r="AI271" s="24">
        <v>257.8</v>
      </c>
      <c r="AJ271" s="24">
        <f t="shared" si="104"/>
        <v>327.39999999999998</v>
      </c>
      <c r="AK271" s="68"/>
      <c r="AL271" s="40"/>
      <c r="AM271" s="40"/>
      <c r="AN271" s="68"/>
      <c r="AO271" s="68"/>
      <c r="AP271" s="24">
        <f t="shared" si="105"/>
        <v>327.39999999999998</v>
      </c>
      <c r="AQ271" s="24">
        <f>MIN(AP271,151.5)</f>
        <v>151.5</v>
      </c>
      <c r="AR271" s="24">
        <f t="shared" si="106"/>
        <v>175.9</v>
      </c>
      <c r="AS271" s="76"/>
      <c r="AT271" s="1"/>
      <c r="AU271" s="1"/>
      <c r="AV271" s="38"/>
      <c r="AW271" s="38"/>
      <c r="AY271" s="1"/>
      <c r="AZ271" s="1"/>
      <c r="BA271" s="1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9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9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9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9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9"/>
      <c r="GH271" s="8"/>
      <c r="GI271" s="8"/>
    </row>
    <row r="272" spans="1:191" s="2" customFormat="1" ht="17.100000000000001" customHeight="1">
      <c r="A272" s="13" t="s">
        <v>252</v>
      </c>
      <c r="B272" s="24">
        <v>2933.4</v>
      </c>
      <c r="C272" s="24">
        <v>2987.2</v>
      </c>
      <c r="D272" s="4">
        <f t="shared" si="99"/>
        <v>1.0183404922615393</v>
      </c>
      <c r="E272" s="10">
        <v>15</v>
      </c>
      <c r="F272" s="5">
        <v>1</v>
      </c>
      <c r="G272" s="5">
        <v>10</v>
      </c>
      <c r="H272" s="5"/>
      <c r="I272" s="5"/>
      <c r="J272" s="4">
        <f t="shared" si="110"/>
        <v>1.0431060606060607</v>
      </c>
      <c r="K272" s="5">
        <v>10</v>
      </c>
      <c r="L272" s="5" t="s">
        <v>394</v>
      </c>
      <c r="M272" s="5" t="s">
        <v>394</v>
      </c>
      <c r="N272" s="4" t="s">
        <v>394</v>
      </c>
      <c r="O272" s="5"/>
      <c r="P272" s="5" t="s">
        <v>394</v>
      </c>
      <c r="Q272" s="5" t="s">
        <v>394</v>
      </c>
      <c r="R272" s="5" t="s">
        <v>394</v>
      </c>
      <c r="S272" s="5"/>
      <c r="T272" s="5" t="s">
        <v>394</v>
      </c>
      <c r="U272" s="5" t="s">
        <v>394</v>
      </c>
      <c r="V272" s="5" t="s">
        <v>394</v>
      </c>
      <c r="W272" s="5"/>
      <c r="X272" s="5"/>
      <c r="Y272" s="5"/>
      <c r="Z272" s="4">
        <f t="shared" si="111"/>
        <v>0.59513274336283184</v>
      </c>
      <c r="AA272" s="5">
        <v>15</v>
      </c>
      <c r="AB272" s="31">
        <f t="shared" si="100"/>
        <v>0.89266318280852341</v>
      </c>
      <c r="AC272" s="32">
        <v>1289</v>
      </c>
      <c r="AD272" s="24">
        <f t="shared" si="101"/>
        <v>351.54545454545456</v>
      </c>
      <c r="AE272" s="24">
        <f t="shared" si="109"/>
        <v>313.8</v>
      </c>
      <c r="AF272" s="24">
        <f t="shared" si="103"/>
        <v>-37.74545454545455</v>
      </c>
      <c r="AG272" s="24"/>
      <c r="AH272" s="24">
        <v>88.5</v>
      </c>
      <c r="AI272" s="24">
        <v>131.30000000000001</v>
      </c>
      <c r="AJ272" s="24">
        <f t="shared" si="104"/>
        <v>94</v>
      </c>
      <c r="AK272" s="40"/>
      <c r="AL272" s="40"/>
      <c r="AM272" s="40"/>
      <c r="AN272" s="68"/>
      <c r="AO272" s="68"/>
      <c r="AP272" s="24">
        <f t="shared" si="105"/>
        <v>94</v>
      </c>
      <c r="AQ272" s="24">
        <f>MIN(AP272,58.6)</f>
        <v>58.6</v>
      </c>
      <c r="AR272" s="24">
        <f t="shared" si="106"/>
        <v>35.4</v>
      </c>
      <c r="AS272" s="76"/>
      <c r="AT272" s="1"/>
      <c r="AU272" s="1"/>
      <c r="AV272" s="38"/>
      <c r="AW272" s="38"/>
      <c r="AX272" s="1"/>
      <c r="AY272" s="1"/>
      <c r="AZ272" s="1"/>
      <c r="BA272" s="1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9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9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9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9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9"/>
      <c r="GH272" s="8"/>
      <c r="GI272" s="8"/>
    </row>
    <row r="273" spans="1:191" s="2" customFormat="1" ht="17.100000000000001" customHeight="1">
      <c r="A273" s="13" t="s">
        <v>253</v>
      </c>
      <c r="B273" s="24">
        <v>1416.1</v>
      </c>
      <c r="C273" s="24">
        <v>1516.1</v>
      </c>
      <c r="D273" s="4">
        <f t="shared" si="99"/>
        <v>1.0706164818868724</v>
      </c>
      <c r="E273" s="10">
        <v>15</v>
      </c>
      <c r="F273" s="5">
        <v>1</v>
      </c>
      <c r="G273" s="5">
        <v>10</v>
      </c>
      <c r="H273" s="5"/>
      <c r="I273" s="5"/>
      <c r="J273" s="4">
        <f t="shared" si="110"/>
        <v>1.0431060606060607</v>
      </c>
      <c r="K273" s="5">
        <v>10</v>
      </c>
      <c r="L273" s="5" t="s">
        <v>394</v>
      </c>
      <c r="M273" s="5" t="s">
        <v>394</v>
      </c>
      <c r="N273" s="4" t="s">
        <v>394</v>
      </c>
      <c r="O273" s="5"/>
      <c r="P273" s="5" t="s">
        <v>394</v>
      </c>
      <c r="Q273" s="5" t="s">
        <v>394</v>
      </c>
      <c r="R273" s="5" t="s">
        <v>394</v>
      </c>
      <c r="S273" s="5"/>
      <c r="T273" s="5" t="s">
        <v>394</v>
      </c>
      <c r="U273" s="5" t="s">
        <v>394</v>
      </c>
      <c r="V273" s="5" t="s">
        <v>394</v>
      </c>
      <c r="W273" s="5"/>
      <c r="X273" s="5"/>
      <c r="Y273" s="5"/>
      <c r="Z273" s="4">
        <f t="shared" si="111"/>
        <v>0.59513274336283184</v>
      </c>
      <c r="AA273" s="5">
        <v>15</v>
      </c>
      <c r="AB273" s="31">
        <f t="shared" si="100"/>
        <v>0.9083459796961233</v>
      </c>
      <c r="AC273" s="32">
        <v>160</v>
      </c>
      <c r="AD273" s="24">
        <f t="shared" si="101"/>
        <v>43.636363636363633</v>
      </c>
      <c r="AE273" s="24">
        <f t="shared" si="109"/>
        <v>39.6</v>
      </c>
      <c r="AF273" s="24">
        <f t="shared" si="103"/>
        <v>-4.0363636363636317</v>
      </c>
      <c r="AG273" s="24"/>
      <c r="AH273" s="24">
        <v>12.3</v>
      </c>
      <c r="AI273" s="24">
        <v>15.5</v>
      </c>
      <c r="AJ273" s="24">
        <f t="shared" si="104"/>
        <v>11.8</v>
      </c>
      <c r="AK273" s="40"/>
      <c r="AL273" s="40"/>
      <c r="AM273" s="40"/>
      <c r="AN273" s="68"/>
      <c r="AO273" s="68"/>
      <c r="AP273" s="24">
        <f t="shared" si="105"/>
        <v>11.8</v>
      </c>
      <c r="AQ273" s="24">
        <f>MIN(AP273,7.3)</f>
        <v>7.3</v>
      </c>
      <c r="AR273" s="24">
        <f t="shared" si="106"/>
        <v>4.5</v>
      </c>
      <c r="AS273" s="76"/>
      <c r="AT273" s="1"/>
      <c r="AU273" s="1"/>
      <c r="AV273" s="38"/>
      <c r="AW273" s="38"/>
      <c r="AX273" s="1"/>
      <c r="AY273" s="1"/>
      <c r="AZ273" s="1"/>
      <c r="BA273" s="1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9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9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9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9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9"/>
      <c r="GH273" s="8"/>
      <c r="GI273" s="8"/>
    </row>
    <row r="274" spans="1:191" s="2" customFormat="1" ht="17.100000000000001" customHeight="1">
      <c r="A274" s="17" t="s">
        <v>254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76"/>
      <c r="AT274" s="1"/>
      <c r="AU274" s="1"/>
      <c r="AV274" s="38"/>
      <c r="AW274" s="38"/>
      <c r="AX274" s="1"/>
      <c r="AY274" s="1"/>
      <c r="AZ274" s="1"/>
      <c r="BA274" s="1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9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9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9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9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9"/>
      <c r="GH274" s="8"/>
      <c r="GI274" s="8"/>
    </row>
    <row r="275" spans="1:191" s="2" customFormat="1" ht="17.100000000000001" customHeight="1">
      <c r="A275" s="13" t="s">
        <v>255</v>
      </c>
      <c r="B275" s="24">
        <v>708.3</v>
      </c>
      <c r="C275" s="24">
        <v>1043.0999999999999</v>
      </c>
      <c r="D275" s="4">
        <f t="shared" si="99"/>
        <v>1.2272681067344344</v>
      </c>
      <c r="E275" s="10">
        <v>15</v>
      </c>
      <c r="F275" s="5">
        <v>1</v>
      </c>
      <c r="G275" s="5">
        <v>10</v>
      </c>
      <c r="H275" s="5"/>
      <c r="I275" s="5"/>
      <c r="J275" s="4">
        <f>J$50</f>
        <v>1.0160407858741607</v>
      </c>
      <c r="K275" s="5">
        <v>10</v>
      </c>
      <c r="L275" s="5" t="s">
        <v>394</v>
      </c>
      <c r="M275" s="5" t="s">
        <v>394</v>
      </c>
      <c r="N275" s="4" t="s">
        <v>394</v>
      </c>
      <c r="O275" s="5"/>
      <c r="P275" s="5" t="s">
        <v>394</v>
      </c>
      <c r="Q275" s="5" t="s">
        <v>394</v>
      </c>
      <c r="R275" s="5" t="s">
        <v>394</v>
      </c>
      <c r="S275" s="5"/>
      <c r="T275" s="5" t="s">
        <v>394</v>
      </c>
      <c r="U275" s="5" t="s">
        <v>394</v>
      </c>
      <c r="V275" s="5" t="s">
        <v>394</v>
      </c>
      <c r="W275" s="5"/>
      <c r="X275" s="5"/>
      <c r="Y275" s="5"/>
      <c r="Z275" s="4">
        <f>Z$50</f>
        <v>1.2825396825396824</v>
      </c>
      <c r="AA275" s="5">
        <v>15</v>
      </c>
      <c r="AB275" s="31">
        <f t="shared" si="100"/>
        <v>1.1561504939570673</v>
      </c>
      <c r="AC275" s="32">
        <v>424</v>
      </c>
      <c r="AD275" s="24">
        <f t="shared" si="101"/>
        <v>115.63636363636364</v>
      </c>
      <c r="AE275" s="24">
        <f t="shared" ref="AE275:AE291" si="112">ROUND(AB275*AD275,1)</f>
        <v>133.69999999999999</v>
      </c>
      <c r="AF275" s="24">
        <f t="shared" si="103"/>
        <v>18.063636363636348</v>
      </c>
      <c r="AG275" s="24"/>
      <c r="AH275" s="24">
        <v>44.3</v>
      </c>
      <c r="AI275" s="24">
        <v>44</v>
      </c>
      <c r="AJ275" s="24">
        <f t="shared" si="104"/>
        <v>45.4</v>
      </c>
      <c r="AK275" s="68"/>
      <c r="AL275" s="40"/>
      <c r="AM275" s="40"/>
      <c r="AN275" s="68"/>
      <c r="AO275" s="68"/>
      <c r="AP275" s="24">
        <f t="shared" si="105"/>
        <v>45.4</v>
      </c>
      <c r="AQ275" s="24"/>
      <c r="AR275" s="24">
        <f t="shared" si="106"/>
        <v>45.4</v>
      </c>
      <c r="AS275" s="76"/>
      <c r="AT275" s="1"/>
      <c r="AU275" s="1"/>
      <c r="AV275" s="38"/>
      <c r="AW275" s="38"/>
      <c r="AY275" s="1"/>
      <c r="AZ275" s="1"/>
      <c r="BA275" s="1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9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9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9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9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9"/>
      <c r="GH275" s="8"/>
      <c r="GI275" s="8"/>
    </row>
    <row r="276" spans="1:191" s="2" customFormat="1" ht="17.100000000000001" customHeight="1">
      <c r="A276" s="13" t="s">
        <v>256</v>
      </c>
      <c r="B276" s="24">
        <v>537</v>
      </c>
      <c r="C276" s="24">
        <v>337.5</v>
      </c>
      <c r="D276" s="4">
        <f t="shared" si="99"/>
        <v>0.62849162011173187</v>
      </c>
      <c r="E276" s="10">
        <v>15</v>
      </c>
      <c r="F276" s="5">
        <v>1</v>
      </c>
      <c r="G276" s="5">
        <v>10</v>
      </c>
      <c r="H276" s="5"/>
      <c r="I276" s="5"/>
      <c r="J276" s="4">
        <f t="shared" ref="J276:J291" si="113">J$50</f>
        <v>1.0160407858741607</v>
      </c>
      <c r="K276" s="5">
        <v>10</v>
      </c>
      <c r="L276" s="5" t="s">
        <v>394</v>
      </c>
      <c r="M276" s="5" t="s">
        <v>394</v>
      </c>
      <c r="N276" s="4" t="s">
        <v>394</v>
      </c>
      <c r="O276" s="5"/>
      <c r="P276" s="5" t="s">
        <v>394</v>
      </c>
      <c r="Q276" s="5" t="s">
        <v>394</v>
      </c>
      <c r="R276" s="5" t="s">
        <v>394</v>
      </c>
      <c r="S276" s="5"/>
      <c r="T276" s="5" t="s">
        <v>394</v>
      </c>
      <c r="U276" s="5" t="s">
        <v>394</v>
      </c>
      <c r="V276" s="5" t="s">
        <v>394</v>
      </c>
      <c r="W276" s="5"/>
      <c r="X276" s="5"/>
      <c r="Y276" s="5"/>
      <c r="Z276" s="4">
        <f t="shared" ref="Z276:Z291" si="114">Z$50</f>
        <v>1.2825396825396824</v>
      </c>
      <c r="AA276" s="5">
        <v>15</v>
      </c>
      <c r="AB276" s="31">
        <f t="shared" si="100"/>
        <v>0.97651754797025647</v>
      </c>
      <c r="AC276" s="32">
        <v>672</v>
      </c>
      <c r="AD276" s="24">
        <f t="shared" si="101"/>
        <v>183.27272727272728</v>
      </c>
      <c r="AE276" s="24">
        <f t="shared" si="112"/>
        <v>179</v>
      </c>
      <c r="AF276" s="24">
        <f t="shared" si="103"/>
        <v>-4.2727272727272805</v>
      </c>
      <c r="AG276" s="24"/>
      <c r="AH276" s="24">
        <v>52.7</v>
      </c>
      <c r="AI276" s="24">
        <v>43.7</v>
      </c>
      <c r="AJ276" s="24">
        <f t="shared" si="104"/>
        <v>82.6</v>
      </c>
      <c r="AK276" s="68"/>
      <c r="AL276" s="40"/>
      <c r="AM276" s="40"/>
      <c r="AN276" s="68"/>
      <c r="AO276" s="68"/>
      <c r="AP276" s="24">
        <f t="shared" si="105"/>
        <v>82.6</v>
      </c>
      <c r="AQ276" s="24">
        <f>MIN(AP276,5.8)</f>
        <v>5.8</v>
      </c>
      <c r="AR276" s="24">
        <f t="shared" si="106"/>
        <v>76.8</v>
      </c>
      <c r="AS276" s="76"/>
      <c r="AT276" s="1"/>
      <c r="AU276" s="1"/>
      <c r="AV276" s="38"/>
      <c r="AW276" s="38"/>
      <c r="AX276" s="1"/>
      <c r="AY276" s="1"/>
      <c r="AZ276" s="1"/>
      <c r="BA276" s="1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9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9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9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9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9"/>
      <c r="GH276" s="8"/>
      <c r="GI276" s="8"/>
    </row>
    <row r="277" spans="1:191" s="2" customFormat="1" ht="17.100000000000001" customHeight="1">
      <c r="A277" s="13" t="s">
        <v>257</v>
      </c>
      <c r="B277" s="24">
        <v>776.8</v>
      </c>
      <c r="C277" s="24">
        <v>833.8</v>
      </c>
      <c r="D277" s="4">
        <f t="shared" si="99"/>
        <v>1.0733779608650875</v>
      </c>
      <c r="E277" s="10">
        <v>15</v>
      </c>
      <c r="F277" s="5">
        <v>1</v>
      </c>
      <c r="G277" s="5">
        <v>10</v>
      </c>
      <c r="H277" s="5"/>
      <c r="I277" s="5"/>
      <c r="J277" s="4">
        <f t="shared" si="113"/>
        <v>1.0160407858741607</v>
      </c>
      <c r="K277" s="5">
        <v>10</v>
      </c>
      <c r="L277" s="5" t="s">
        <v>394</v>
      </c>
      <c r="M277" s="5" t="s">
        <v>394</v>
      </c>
      <c r="N277" s="4" t="s">
        <v>394</v>
      </c>
      <c r="O277" s="5"/>
      <c r="P277" s="5" t="s">
        <v>394</v>
      </c>
      <c r="Q277" s="5" t="s">
        <v>394</v>
      </c>
      <c r="R277" s="5" t="s">
        <v>394</v>
      </c>
      <c r="S277" s="5"/>
      <c r="T277" s="5" t="s">
        <v>394</v>
      </c>
      <c r="U277" s="5" t="s">
        <v>394</v>
      </c>
      <c r="V277" s="5" t="s">
        <v>394</v>
      </c>
      <c r="W277" s="5"/>
      <c r="X277" s="5"/>
      <c r="Y277" s="5"/>
      <c r="Z277" s="4">
        <f t="shared" si="114"/>
        <v>1.2825396825396824</v>
      </c>
      <c r="AA277" s="5">
        <v>15</v>
      </c>
      <c r="AB277" s="31">
        <f t="shared" si="100"/>
        <v>1.1099834501962633</v>
      </c>
      <c r="AC277" s="32">
        <v>886</v>
      </c>
      <c r="AD277" s="24">
        <f t="shared" si="101"/>
        <v>241.63636363636363</v>
      </c>
      <c r="AE277" s="24">
        <f t="shared" si="112"/>
        <v>268.2</v>
      </c>
      <c r="AF277" s="24">
        <f t="shared" si="103"/>
        <v>26.563636363636363</v>
      </c>
      <c r="AG277" s="24"/>
      <c r="AH277" s="24">
        <v>91.2</v>
      </c>
      <c r="AI277" s="24">
        <v>72</v>
      </c>
      <c r="AJ277" s="24">
        <f t="shared" si="104"/>
        <v>105</v>
      </c>
      <c r="AK277" s="68"/>
      <c r="AL277" s="40"/>
      <c r="AM277" s="40"/>
      <c r="AN277" s="68"/>
      <c r="AO277" s="68"/>
      <c r="AP277" s="24">
        <f t="shared" si="105"/>
        <v>105</v>
      </c>
      <c r="AQ277" s="24">
        <f>MIN(AP277,11.6)</f>
        <v>11.6</v>
      </c>
      <c r="AR277" s="24">
        <f t="shared" si="106"/>
        <v>93.4</v>
      </c>
      <c r="AS277" s="76"/>
      <c r="AT277" s="1"/>
      <c r="AU277" s="1"/>
      <c r="AV277" s="38"/>
      <c r="AW277" s="38"/>
      <c r="AX277" s="1"/>
      <c r="AY277" s="1"/>
      <c r="AZ277" s="1"/>
      <c r="BA277" s="1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9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9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9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9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9"/>
      <c r="GH277" s="8"/>
      <c r="GI277" s="8"/>
    </row>
    <row r="278" spans="1:191" s="2" customFormat="1" ht="17.100000000000001" customHeight="1">
      <c r="A278" s="13" t="s">
        <v>258</v>
      </c>
      <c r="B278" s="24">
        <v>300.2</v>
      </c>
      <c r="C278" s="24">
        <v>189.3</v>
      </c>
      <c r="D278" s="4">
        <f t="shared" si="99"/>
        <v>0.63057961359093939</v>
      </c>
      <c r="E278" s="10">
        <v>15</v>
      </c>
      <c r="F278" s="5">
        <v>1</v>
      </c>
      <c r="G278" s="5">
        <v>10</v>
      </c>
      <c r="H278" s="5"/>
      <c r="I278" s="5"/>
      <c r="J278" s="4">
        <f t="shared" si="113"/>
        <v>1.0160407858741607</v>
      </c>
      <c r="K278" s="5">
        <v>10</v>
      </c>
      <c r="L278" s="5" t="s">
        <v>394</v>
      </c>
      <c r="M278" s="5" t="s">
        <v>394</v>
      </c>
      <c r="N278" s="4" t="s">
        <v>394</v>
      </c>
      <c r="O278" s="5"/>
      <c r="P278" s="5" t="s">
        <v>394</v>
      </c>
      <c r="Q278" s="5" t="s">
        <v>394</v>
      </c>
      <c r="R278" s="5" t="s">
        <v>394</v>
      </c>
      <c r="S278" s="5"/>
      <c r="T278" s="5" t="s">
        <v>394</v>
      </c>
      <c r="U278" s="5" t="s">
        <v>394</v>
      </c>
      <c r="V278" s="5" t="s">
        <v>394</v>
      </c>
      <c r="W278" s="5"/>
      <c r="X278" s="5"/>
      <c r="Y278" s="5"/>
      <c r="Z278" s="4">
        <f t="shared" si="114"/>
        <v>1.2825396825396824</v>
      </c>
      <c r="AA278" s="5">
        <v>15</v>
      </c>
      <c r="AB278" s="31">
        <f t="shared" si="100"/>
        <v>0.97714394601401866</v>
      </c>
      <c r="AC278" s="32">
        <v>1587</v>
      </c>
      <c r="AD278" s="24">
        <f t="shared" si="101"/>
        <v>432.81818181818187</v>
      </c>
      <c r="AE278" s="24">
        <f t="shared" si="112"/>
        <v>422.9</v>
      </c>
      <c r="AF278" s="24">
        <f t="shared" si="103"/>
        <v>-9.9181818181818926</v>
      </c>
      <c r="AG278" s="24"/>
      <c r="AH278" s="24">
        <v>96.4</v>
      </c>
      <c r="AI278" s="24">
        <v>119.3</v>
      </c>
      <c r="AJ278" s="24">
        <f t="shared" si="104"/>
        <v>207.2</v>
      </c>
      <c r="AK278" s="68"/>
      <c r="AL278" s="40"/>
      <c r="AM278" s="40"/>
      <c r="AN278" s="68"/>
      <c r="AO278" s="68"/>
      <c r="AP278" s="24">
        <f t="shared" si="105"/>
        <v>207.2</v>
      </c>
      <c r="AQ278" s="24"/>
      <c r="AR278" s="24">
        <f t="shared" si="106"/>
        <v>207.2</v>
      </c>
      <c r="AS278" s="76"/>
      <c r="AT278" s="1"/>
      <c r="AU278" s="1"/>
      <c r="AV278" s="38"/>
      <c r="AW278" s="38"/>
      <c r="AX278" s="1"/>
      <c r="AY278" s="1"/>
      <c r="AZ278" s="1"/>
      <c r="BA278" s="1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9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9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9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9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9"/>
      <c r="GH278" s="8"/>
      <c r="GI278" s="8"/>
    </row>
    <row r="279" spans="1:191" s="2" customFormat="1" ht="17.100000000000001" customHeight="1">
      <c r="A279" s="13" t="s">
        <v>259</v>
      </c>
      <c r="B279" s="24">
        <v>1745.7</v>
      </c>
      <c r="C279" s="24">
        <v>909.5</v>
      </c>
      <c r="D279" s="4">
        <f t="shared" si="99"/>
        <v>0.52099444348971757</v>
      </c>
      <c r="E279" s="10">
        <v>15</v>
      </c>
      <c r="F279" s="5">
        <v>1</v>
      </c>
      <c r="G279" s="5">
        <v>10</v>
      </c>
      <c r="H279" s="5"/>
      <c r="I279" s="5"/>
      <c r="J279" s="4">
        <f t="shared" si="113"/>
        <v>1.0160407858741607</v>
      </c>
      <c r="K279" s="5">
        <v>10</v>
      </c>
      <c r="L279" s="5" t="s">
        <v>394</v>
      </c>
      <c r="M279" s="5" t="s">
        <v>394</v>
      </c>
      <c r="N279" s="4" t="s">
        <v>394</v>
      </c>
      <c r="O279" s="5"/>
      <c r="P279" s="5" t="s">
        <v>394</v>
      </c>
      <c r="Q279" s="5" t="s">
        <v>394</v>
      </c>
      <c r="R279" s="5" t="s">
        <v>394</v>
      </c>
      <c r="S279" s="5"/>
      <c r="T279" s="5" t="s">
        <v>394</v>
      </c>
      <c r="U279" s="5" t="s">
        <v>394</v>
      </c>
      <c r="V279" s="5" t="s">
        <v>394</v>
      </c>
      <c r="W279" s="5"/>
      <c r="X279" s="5"/>
      <c r="Y279" s="5"/>
      <c r="Z279" s="4">
        <f t="shared" si="114"/>
        <v>1.2825396825396824</v>
      </c>
      <c r="AA279" s="5">
        <v>15</v>
      </c>
      <c r="AB279" s="31">
        <f t="shared" si="100"/>
        <v>0.94426839498365212</v>
      </c>
      <c r="AC279" s="32">
        <v>551</v>
      </c>
      <c r="AD279" s="24">
        <f t="shared" si="101"/>
        <v>150.27272727272728</v>
      </c>
      <c r="AE279" s="24">
        <f t="shared" si="112"/>
        <v>141.9</v>
      </c>
      <c r="AF279" s="24">
        <f t="shared" si="103"/>
        <v>-8.3727272727272748</v>
      </c>
      <c r="AG279" s="24"/>
      <c r="AH279" s="24">
        <v>35.299999999999997</v>
      </c>
      <c r="AI279" s="24">
        <v>51.2</v>
      </c>
      <c r="AJ279" s="24">
        <f t="shared" si="104"/>
        <v>55.4</v>
      </c>
      <c r="AK279" s="68"/>
      <c r="AL279" s="40"/>
      <c r="AM279" s="40"/>
      <c r="AN279" s="68"/>
      <c r="AO279" s="68"/>
      <c r="AP279" s="24">
        <f t="shared" si="105"/>
        <v>55.4</v>
      </c>
      <c r="AQ279" s="24"/>
      <c r="AR279" s="24">
        <f t="shared" si="106"/>
        <v>55.4</v>
      </c>
      <c r="AS279" s="76"/>
      <c r="AT279" s="1"/>
      <c r="AU279" s="1"/>
      <c r="AV279" s="38"/>
      <c r="AW279" s="38"/>
      <c r="AX279" s="1"/>
      <c r="AY279" s="1"/>
      <c r="AZ279" s="1"/>
      <c r="BA279" s="1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9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9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9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9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9"/>
      <c r="GH279" s="8"/>
      <c r="GI279" s="8"/>
    </row>
    <row r="280" spans="1:191" s="2" customFormat="1" ht="17.100000000000001" customHeight="1">
      <c r="A280" s="13" t="s">
        <v>260</v>
      </c>
      <c r="B280" s="24">
        <v>293</v>
      </c>
      <c r="C280" s="24">
        <v>599.79999999999995</v>
      </c>
      <c r="D280" s="4">
        <f t="shared" si="99"/>
        <v>1.2847098976109215</v>
      </c>
      <c r="E280" s="10">
        <v>15</v>
      </c>
      <c r="F280" s="5">
        <v>1</v>
      </c>
      <c r="G280" s="5">
        <v>10</v>
      </c>
      <c r="H280" s="5"/>
      <c r="I280" s="5"/>
      <c r="J280" s="4">
        <f t="shared" si="113"/>
        <v>1.0160407858741607</v>
      </c>
      <c r="K280" s="5">
        <v>10</v>
      </c>
      <c r="L280" s="5" t="s">
        <v>394</v>
      </c>
      <c r="M280" s="5" t="s">
        <v>394</v>
      </c>
      <c r="N280" s="4" t="s">
        <v>394</v>
      </c>
      <c r="O280" s="5"/>
      <c r="P280" s="5" t="s">
        <v>394</v>
      </c>
      <c r="Q280" s="5" t="s">
        <v>394</v>
      </c>
      <c r="R280" s="5" t="s">
        <v>394</v>
      </c>
      <c r="S280" s="5"/>
      <c r="T280" s="5" t="s">
        <v>394</v>
      </c>
      <c r="U280" s="5" t="s">
        <v>394</v>
      </c>
      <c r="V280" s="5" t="s">
        <v>394</v>
      </c>
      <c r="W280" s="5"/>
      <c r="X280" s="5"/>
      <c r="Y280" s="5"/>
      <c r="Z280" s="4">
        <f t="shared" si="114"/>
        <v>1.2825396825396824</v>
      </c>
      <c r="AA280" s="5">
        <v>15</v>
      </c>
      <c r="AB280" s="31">
        <f t="shared" si="100"/>
        <v>1.1733830312200135</v>
      </c>
      <c r="AC280" s="32">
        <v>1151</v>
      </c>
      <c r="AD280" s="24">
        <f t="shared" si="101"/>
        <v>313.90909090909093</v>
      </c>
      <c r="AE280" s="24">
        <f t="shared" si="112"/>
        <v>368.3</v>
      </c>
      <c r="AF280" s="24">
        <f t="shared" si="103"/>
        <v>54.390909090909076</v>
      </c>
      <c r="AG280" s="24"/>
      <c r="AH280" s="24">
        <v>95.6</v>
      </c>
      <c r="AI280" s="24">
        <v>123.5</v>
      </c>
      <c r="AJ280" s="24">
        <f t="shared" si="104"/>
        <v>149.19999999999999</v>
      </c>
      <c r="AK280" s="68"/>
      <c r="AL280" s="40"/>
      <c r="AM280" s="40"/>
      <c r="AN280" s="68"/>
      <c r="AO280" s="68"/>
      <c r="AP280" s="24">
        <f t="shared" si="105"/>
        <v>149.19999999999999</v>
      </c>
      <c r="AQ280" s="24">
        <f>MIN(AP280,8.8)</f>
        <v>8.8000000000000007</v>
      </c>
      <c r="AR280" s="24">
        <f t="shared" si="106"/>
        <v>140.4</v>
      </c>
      <c r="AS280" s="76"/>
      <c r="AT280" s="1"/>
      <c r="AU280" s="1"/>
      <c r="AV280" s="38"/>
      <c r="AW280" s="38"/>
      <c r="AY280" s="1"/>
      <c r="AZ280" s="1"/>
      <c r="BA280" s="1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9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9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9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9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9"/>
      <c r="GH280" s="8"/>
      <c r="GI280" s="8"/>
    </row>
    <row r="281" spans="1:191" s="2" customFormat="1" ht="17.100000000000001" customHeight="1">
      <c r="A281" s="13" t="s">
        <v>261</v>
      </c>
      <c r="B281" s="24">
        <v>337.8</v>
      </c>
      <c r="C281" s="24">
        <v>376.9</v>
      </c>
      <c r="D281" s="4">
        <f t="shared" si="99"/>
        <v>1.1157489638839548</v>
      </c>
      <c r="E281" s="10">
        <v>15</v>
      </c>
      <c r="F281" s="5">
        <v>1</v>
      </c>
      <c r="G281" s="5">
        <v>10</v>
      </c>
      <c r="H281" s="5"/>
      <c r="I281" s="5"/>
      <c r="J281" s="4">
        <f t="shared" si="113"/>
        <v>1.0160407858741607</v>
      </c>
      <c r="K281" s="5">
        <v>10</v>
      </c>
      <c r="L281" s="5" t="s">
        <v>394</v>
      </c>
      <c r="M281" s="5" t="s">
        <v>394</v>
      </c>
      <c r="N281" s="4" t="s">
        <v>394</v>
      </c>
      <c r="O281" s="5"/>
      <c r="P281" s="5" t="s">
        <v>394</v>
      </c>
      <c r="Q281" s="5" t="s">
        <v>394</v>
      </c>
      <c r="R281" s="5" t="s">
        <v>394</v>
      </c>
      <c r="S281" s="5"/>
      <c r="T281" s="5" t="s">
        <v>394</v>
      </c>
      <c r="U281" s="5" t="s">
        <v>394</v>
      </c>
      <c r="V281" s="5" t="s">
        <v>394</v>
      </c>
      <c r="W281" s="5"/>
      <c r="X281" s="5"/>
      <c r="Y281" s="5"/>
      <c r="Z281" s="4">
        <f t="shared" si="114"/>
        <v>1.2825396825396824</v>
      </c>
      <c r="AA281" s="5">
        <v>15</v>
      </c>
      <c r="AB281" s="31">
        <f t="shared" si="100"/>
        <v>1.1226947511019234</v>
      </c>
      <c r="AC281" s="32">
        <v>971</v>
      </c>
      <c r="AD281" s="24">
        <f t="shared" si="101"/>
        <v>264.81818181818181</v>
      </c>
      <c r="AE281" s="24">
        <f t="shared" si="112"/>
        <v>297.3</v>
      </c>
      <c r="AF281" s="24">
        <f t="shared" si="103"/>
        <v>32.481818181818198</v>
      </c>
      <c r="AG281" s="24"/>
      <c r="AH281" s="24">
        <v>98.9</v>
      </c>
      <c r="AI281" s="24">
        <v>100.9</v>
      </c>
      <c r="AJ281" s="24">
        <f t="shared" si="104"/>
        <v>97.5</v>
      </c>
      <c r="AK281" s="68"/>
      <c r="AL281" s="40"/>
      <c r="AM281" s="40"/>
      <c r="AN281" s="68"/>
      <c r="AO281" s="68"/>
      <c r="AP281" s="24">
        <f t="shared" si="105"/>
        <v>97.5</v>
      </c>
      <c r="AQ281" s="24">
        <f>MIN(AP281,44.1)</f>
        <v>44.1</v>
      </c>
      <c r="AR281" s="24">
        <f t="shared" si="106"/>
        <v>53.4</v>
      </c>
      <c r="AS281" s="76"/>
      <c r="AT281" s="1"/>
      <c r="AU281" s="1"/>
      <c r="AV281" s="38"/>
      <c r="AW281" s="38"/>
      <c r="AX281" s="1"/>
      <c r="AY281" s="1"/>
      <c r="AZ281" s="1"/>
      <c r="BA281" s="1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9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9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9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9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9"/>
      <c r="GH281" s="8"/>
      <c r="GI281" s="8"/>
    </row>
    <row r="282" spans="1:191" s="2" customFormat="1" ht="17.100000000000001" customHeight="1">
      <c r="A282" s="13" t="s">
        <v>262</v>
      </c>
      <c r="B282" s="24">
        <v>263.39999999999998</v>
      </c>
      <c r="C282" s="24">
        <v>216.9</v>
      </c>
      <c r="D282" s="4">
        <f t="shared" si="99"/>
        <v>0.82346241457858782</v>
      </c>
      <c r="E282" s="10">
        <v>15</v>
      </c>
      <c r="F282" s="5">
        <v>1</v>
      </c>
      <c r="G282" s="5">
        <v>10</v>
      </c>
      <c r="H282" s="5"/>
      <c r="I282" s="5"/>
      <c r="J282" s="4">
        <f t="shared" si="113"/>
        <v>1.0160407858741607</v>
      </c>
      <c r="K282" s="5">
        <v>10</v>
      </c>
      <c r="L282" s="5" t="s">
        <v>394</v>
      </c>
      <c r="M282" s="5" t="s">
        <v>394</v>
      </c>
      <c r="N282" s="4" t="s">
        <v>394</v>
      </c>
      <c r="O282" s="5"/>
      <c r="P282" s="5" t="s">
        <v>394</v>
      </c>
      <c r="Q282" s="5" t="s">
        <v>394</v>
      </c>
      <c r="R282" s="5" t="s">
        <v>394</v>
      </c>
      <c r="S282" s="5"/>
      <c r="T282" s="5" t="s">
        <v>394</v>
      </c>
      <c r="U282" s="5" t="s">
        <v>394</v>
      </c>
      <c r="V282" s="5" t="s">
        <v>394</v>
      </c>
      <c r="W282" s="5"/>
      <c r="X282" s="5"/>
      <c r="Y282" s="5"/>
      <c r="Z282" s="4">
        <f t="shared" si="114"/>
        <v>1.2825396825396824</v>
      </c>
      <c r="AA282" s="5">
        <v>15</v>
      </c>
      <c r="AB282" s="31">
        <f t="shared" si="100"/>
        <v>1.0350087863103132</v>
      </c>
      <c r="AC282" s="32">
        <v>1350</v>
      </c>
      <c r="AD282" s="24">
        <f t="shared" si="101"/>
        <v>368.18181818181819</v>
      </c>
      <c r="AE282" s="24">
        <f t="shared" si="112"/>
        <v>381.1</v>
      </c>
      <c r="AF282" s="24">
        <f t="shared" si="103"/>
        <v>12.918181818181836</v>
      </c>
      <c r="AG282" s="24"/>
      <c r="AH282" s="24">
        <v>144.80000000000001</v>
      </c>
      <c r="AI282" s="24">
        <v>114.7</v>
      </c>
      <c r="AJ282" s="24">
        <f t="shared" si="104"/>
        <v>121.6</v>
      </c>
      <c r="AK282" s="68"/>
      <c r="AL282" s="40"/>
      <c r="AM282" s="40"/>
      <c r="AN282" s="68"/>
      <c r="AO282" s="68"/>
      <c r="AP282" s="24">
        <f t="shared" si="105"/>
        <v>121.6</v>
      </c>
      <c r="AQ282" s="24"/>
      <c r="AR282" s="24">
        <f t="shared" si="106"/>
        <v>121.6</v>
      </c>
      <c r="AS282" s="76"/>
      <c r="AT282" s="1"/>
      <c r="AU282" s="1"/>
      <c r="AV282" s="38"/>
      <c r="AW282" s="38"/>
      <c r="AX282" s="1"/>
      <c r="AY282" s="1"/>
      <c r="AZ282" s="1"/>
      <c r="BA282" s="1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9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9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9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9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9"/>
      <c r="GH282" s="8"/>
      <c r="GI282" s="8"/>
    </row>
    <row r="283" spans="1:191" s="2" customFormat="1" ht="17.100000000000001" customHeight="1">
      <c r="A283" s="13" t="s">
        <v>263</v>
      </c>
      <c r="B283" s="24">
        <v>196.1</v>
      </c>
      <c r="C283" s="24">
        <v>479.3</v>
      </c>
      <c r="D283" s="4">
        <f t="shared" si="99"/>
        <v>1.3</v>
      </c>
      <c r="E283" s="10">
        <v>15</v>
      </c>
      <c r="F283" s="5">
        <v>1</v>
      </c>
      <c r="G283" s="5">
        <v>10</v>
      </c>
      <c r="H283" s="5"/>
      <c r="I283" s="5"/>
      <c r="J283" s="4">
        <f t="shared" si="113"/>
        <v>1.0160407858741607</v>
      </c>
      <c r="K283" s="5">
        <v>10</v>
      </c>
      <c r="L283" s="5" t="s">
        <v>394</v>
      </c>
      <c r="M283" s="5" t="s">
        <v>394</v>
      </c>
      <c r="N283" s="4" t="s">
        <v>394</v>
      </c>
      <c r="O283" s="5"/>
      <c r="P283" s="5" t="s">
        <v>394</v>
      </c>
      <c r="Q283" s="5" t="s">
        <v>394</v>
      </c>
      <c r="R283" s="5" t="s">
        <v>394</v>
      </c>
      <c r="S283" s="5"/>
      <c r="T283" s="5" t="s">
        <v>394</v>
      </c>
      <c r="U283" s="5" t="s">
        <v>394</v>
      </c>
      <c r="V283" s="5" t="s">
        <v>394</v>
      </c>
      <c r="W283" s="5"/>
      <c r="X283" s="5"/>
      <c r="Y283" s="5"/>
      <c r="Z283" s="4">
        <f t="shared" si="114"/>
        <v>1.2825396825396824</v>
      </c>
      <c r="AA283" s="5">
        <v>15</v>
      </c>
      <c r="AB283" s="31">
        <f t="shared" si="100"/>
        <v>1.177970061936737</v>
      </c>
      <c r="AC283" s="32">
        <v>1085</v>
      </c>
      <c r="AD283" s="24">
        <f t="shared" si="101"/>
        <v>295.90909090909093</v>
      </c>
      <c r="AE283" s="24">
        <f t="shared" si="112"/>
        <v>348.6</v>
      </c>
      <c r="AF283" s="24">
        <f t="shared" si="103"/>
        <v>52.690909090909088</v>
      </c>
      <c r="AG283" s="24"/>
      <c r="AH283" s="24">
        <v>111.9</v>
      </c>
      <c r="AI283" s="24">
        <v>88.4</v>
      </c>
      <c r="AJ283" s="24">
        <f t="shared" si="104"/>
        <v>148.30000000000001</v>
      </c>
      <c r="AK283" s="68"/>
      <c r="AL283" s="40"/>
      <c r="AM283" s="40"/>
      <c r="AN283" s="68"/>
      <c r="AO283" s="68"/>
      <c r="AP283" s="24">
        <f t="shared" si="105"/>
        <v>148.30000000000001</v>
      </c>
      <c r="AQ283" s="24">
        <f>MIN(AP283,9.1)</f>
        <v>9.1</v>
      </c>
      <c r="AR283" s="24">
        <f t="shared" si="106"/>
        <v>139.19999999999999</v>
      </c>
      <c r="AS283" s="76"/>
      <c r="AT283" s="1"/>
      <c r="AU283" s="1"/>
      <c r="AV283" s="38"/>
      <c r="AW283" s="38"/>
      <c r="AX283" s="1"/>
      <c r="AY283" s="1"/>
      <c r="AZ283" s="1"/>
      <c r="BA283" s="1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9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9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9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9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9"/>
      <c r="GH283" s="8"/>
      <c r="GI283" s="8"/>
    </row>
    <row r="284" spans="1:191" s="2" customFormat="1" ht="17.100000000000001" customHeight="1">
      <c r="A284" s="13" t="s">
        <v>264</v>
      </c>
      <c r="B284" s="24">
        <v>520.1</v>
      </c>
      <c r="C284" s="24">
        <v>417.8</v>
      </c>
      <c r="D284" s="4">
        <f t="shared" si="99"/>
        <v>0.80330705633532007</v>
      </c>
      <c r="E284" s="10">
        <v>15</v>
      </c>
      <c r="F284" s="5">
        <v>1</v>
      </c>
      <c r="G284" s="5">
        <v>10</v>
      </c>
      <c r="H284" s="5"/>
      <c r="I284" s="5"/>
      <c r="J284" s="4">
        <f t="shared" si="113"/>
        <v>1.0160407858741607</v>
      </c>
      <c r="K284" s="5">
        <v>10</v>
      </c>
      <c r="L284" s="5" t="s">
        <v>394</v>
      </c>
      <c r="M284" s="5" t="s">
        <v>394</v>
      </c>
      <c r="N284" s="4" t="s">
        <v>394</v>
      </c>
      <c r="O284" s="5"/>
      <c r="P284" s="5" t="s">
        <v>394</v>
      </c>
      <c r="Q284" s="5" t="s">
        <v>394</v>
      </c>
      <c r="R284" s="5" t="s">
        <v>394</v>
      </c>
      <c r="S284" s="5"/>
      <c r="T284" s="5" t="s">
        <v>394</v>
      </c>
      <c r="U284" s="5" t="s">
        <v>394</v>
      </c>
      <c r="V284" s="5" t="s">
        <v>394</v>
      </c>
      <c r="W284" s="5"/>
      <c r="X284" s="5"/>
      <c r="Y284" s="5"/>
      <c r="Z284" s="4">
        <f t="shared" si="114"/>
        <v>1.2825396825396824</v>
      </c>
      <c r="AA284" s="5">
        <v>15</v>
      </c>
      <c r="AB284" s="31">
        <f t="shared" si="100"/>
        <v>1.0289621788373331</v>
      </c>
      <c r="AC284" s="32">
        <v>1014</v>
      </c>
      <c r="AD284" s="24">
        <f t="shared" si="101"/>
        <v>276.54545454545456</v>
      </c>
      <c r="AE284" s="24">
        <f t="shared" si="112"/>
        <v>284.60000000000002</v>
      </c>
      <c r="AF284" s="24">
        <f t="shared" si="103"/>
        <v>8.0545454545454618</v>
      </c>
      <c r="AG284" s="24"/>
      <c r="AH284" s="24">
        <v>80.8</v>
      </c>
      <c r="AI284" s="24">
        <v>94.6</v>
      </c>
      <c r="AJ284" s="24">
        <f t="shared" si="104"/>
        <v>109.2</v>
      </c>
      <c r="AK284" s="68"/>
      <c r="AL284" s="40"/>
      <c r="AM284" s="40"/>
      <c r="AN284" s="68"/>
      <c r="AO284" s="68"/>
      <c r="AP284" s="24">
        <f t="shared" si="105"/>
        <v>109.2</v>
      </c>
      <c r="AQ284" s="24">
        <f>MIN(AP284,12.6)</f>
        <v>12.6</v>
      </c>
      <c r="AR284" s="24">
        <f t="shared" si="106"/>
        <v>96.6</v>
      </c>
      <c r="AS284" s="76"/>
      <c r="AT284" s="1"/>
      <c r="AU284" s="1"/>
      <c r="AV284" s="38"/>
      <c r="AW284" s="38"/>
      <c r="AX284" s="1"/>
      <c r="AY284" s="1"/>
      <c r="AZ284" s="1"/>
      <c r="BA284" s="1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9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9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9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9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9"/>
      <c r="GH284" s="8"/>
      <c r="GI284" s="8"/>
    </row>
    <row r="285" spans="1:191" s="2" customFormat="1" ht="17.100000000000001" customHeight="1">
      <c r="A285" s="13" t="s">
        <v>265</v>
      </c>
      <c r="B285" s="24">
        <v>228.1</v>
      </c>
      <c r="C285" s="24">
        <v>230.7</v>
      </c>
      <c r="D285" s="4">
        <f t="shared" si="99"/>
        <v>1.0113985094256905</v>
      </c>
      <c r="E285" s="10">
        <v>15</v>
      </c>
      <c r="F285" s="5">
        <v>1</v>
      </c>
      <c r="G285" s="5">
        <v>10</v>
      </c>
      <c r="H285" s="5"/>
      <c r="I285" s="5"/>
      <c r="J285" s="4">
        <f t="shared" si="113"/>
        <v>1.0160407858741607</v>
      </c>
      <c r="K285" s="5">
        <v>10</v>
      </c>
      <c r="L285" s="5" t="s">
        <v>394</v>
      </c>
      <c r="M285" s="5" t="s">
        <v>394</v>
      </c>
      <c r="N285" s="4" t="s">
        <v>394</v>
      </c>
      <c r="O285" s="5"/>
      <c r="P285" s="5" t="s">
        <v>394</v>
      </c>
      <c r="Q285" s="5" t="s">
        <v>394</v>
      </c>
      <c r="R285" s="5" t="s">
        <v>394</v>
      </c>
      <c r="S285" s="5"/>
      <c r="T285" s="5" t="s">
        <v>394</v>
      </c>
      <c r="U285" s="5" t="s">
        <v>394</v>
      </c>
      <c r="V285" s="5" t="s">
        <v>394</v>
      </c>
      <c r="W285" s="5"/>
      <c r="X285" s="5"/>
      <c r="Y285" s="5"/>
      <c r="Z285" s="4">
        <f t="shared" si="114"/>
        <v>1.2825396825396824</v>
      </c>
      <c r="AA285" s="5">
        <v>15</v>
      </c>
      <c r="AB285" s="31">
        <f t="shared" si="100"/>
        <v>1.091389614764444</v>
      </c>
      <c r="AC285" s="32">
        <v>1099</v>
      </c>
      <c r="AD285" s="24">
        <f t="shared" si="101"/>
        <v>299.72727272727275</v>
      </c>
      <c r="AE285" s="24">
        <f t="shared" si="112"/>
        <v>327.10000000000002</v>
      </c>
      <c r="AF285" s="24">
        <f t="shared" si="103"/>
        <v>27.372727272727275</v>
      </c>
      <c r="AG285" s="24"/>
      <c r="AH285" s="24">
        <v>75.099999999999994</v>
      </c>
      <c r="AI285" s="24">
        <v>117.9</v>
      </c>
      <c r="AJ285" s="24">
        <f t="shared" si="104"/>
        <v>134.1</v>
      </c>
      <c r="AK285" s="68"/>
      <c r="AL285" s="40"/>
      <c r="AM285" s="40"/>
      <c r="AN285" s="68"/>
      <c r="AO285" s="68"/>
      <c r="AP285" s="24">
        <f t="shared" si="105"/>
        <v>134.1</v>
      </c>
      <c r="AQ285" s="24">
        <f>MIN(AP285,50)</f>
        <v>50</v>
      </c>
      <c r="AR285" s="24">
        <f t="shared" si="106"/>
        <v>84.1</v>
      </c>
      <c r="AS285" s="76"/>
      <c r="AT285" s="1"/>
      <c r="AU285" s="1"/>
      <c r="AV285" s="38"/>
      <c r="AW285" s="38"/>
      <c r="AX285" s="1"/>
      <c r="AY285" s="1"/>
      <c r="AZ285" s="1"/>
      <c r="BA285" s="1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9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9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9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9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9"/>
      <c r="GH285" s="8"/>
      <c r="GI285" s="8"/>
    </row>
    <row r="286" spans="1:191" s="2" customFormat="1" ht="17.100000000000001" customHeight="1">
      <c r="A286" s="13" t="s">
        <v>266</v>
      </c>
      <c r="B286" s="24">
        <v>662.6</v>
      </c>
      <c r="C286" s="24">
        <v>364.9</v>
      </c>
      <c r="D286" s="4">
        <f t="shared" si="99"/>
        <v>0.55070932689405372</v>
      </c>
      <c r="E286" s="10">
        <v>15</v>
      </c>
      <c r="F286" s="5">
        <v>1</v>
      </c>
      <c r="G286" s="5">
        <v>10</v>
      </c>
      <c r="H286" s="5"/>
      <c r="I286" s="5"/>
      <c r="J286" s="4">
        <f t="shared" si="113"/>
        <v>1.0160407858741607</v>
      </c>
      <c r="K286" s="5">
        <v>10</v>
      </c>
      <c r="L286" s="5" t="s">
        <v>394</v>
      </c>
      <c r="M286" s="5" t="s">
        <v>394</v>
      </c>
      <c r="N286" s="4" t="s">
        <v>394</v>
      </c>
      <c r="O286" s="5"/>
      <c r="P286" s="5" t="s">
        <v>394</v>
      </c>
      <c r="Q286" s="5" t="s">
        <v>394</v>
      </c>
      <c r="R286" s="5" t="s">
        <v>394</v>
      </c>
      <c r="S286" s="5"/>
      <c r="T286" s="5" t="s">
        <v>394</v>
      </c>
      <c r="U286" s="5" t="s">
        <v>394</v>
      </c>
      <c r="V286" s="5" t="s">
        <v>394</v>
      </c>
      <c r="W286" s="5"/>
      <c r="X286" s="5"/>
      <c r="Y286" s="5"/>
      <c r="Z286" s="4">
        <f t="shared" si="114"/>
        <v>1.2825396825396824</v>
      </c>
      <c r="AA286" s="5">
        <v>15</v>
      </c>
      <c r="AB286" s="31">
        <f t="shared" si="100"/>
        <v>0.953182860004953</v>
      </c>
      <c r="AC286" s="32">
        <v>1022</v>
      </c>
      <c r="AD286" s="24">
        <f t="shared" si="101"/>
        <v>278.72727272727275</v>
      </c>
      <c r="AE286" s="24">
        <f t="shared" si="112"/>
        <v>265.7</v>
      </c>
      <c r="AF286" s="24">
        <f t="shared" si="103"/>
        <v>-13.027272727272759</v>
      </c>
      <c r="AG286" s="24"/>
      <c r="AH286" s="24">
        <v>78.599999999999994</v>
      </c>
      <c r="AI286" s="24">
        <v>65.5</v>
      </c>
      <c r="AJ286" s="24">
        <f t="shared" si="104"/>
        <v>121.6</v>
      </c>
      <c r="AK286" s="68"/>
      <c r="AL286" s="40"/>
      <c r="AM286" s="40"/>
      <c r="AN286" s="68"/>
      <c r="AO286" s="68"/>
      <c r="AP286" s="24">
        <f t="shared" si="105"/>
        <v>121.6</v>
      </c>
      <c r="AQ286" s="24">
        <f>MIN(AP286,0.2)</f>
        <v>0.2</v>
      </c>
      <c r="AR286" s="24">
        <f t="shared" si="106"/>
        <v>121.4</v>
      </c>
      <c r="AS286" s="76"/>
      <c r="AT286" s="1"/>
      <c r="AU286" s="1"/>
      <c r="AV286" s="38"/>
      <c r="AW286" s="38"/>
      <c r="AX286" s="1"/>
      <c r="AY286" s="1"/>
      <c r="AZ286" s="1"/>
      <c r="BA286" s="1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9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9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9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9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9"/>
      <c r="GH286" s="8"/>
      <c r="GI286" s="8"/>
    </row>
    <row r="287" spans="1:191" s="2" customFormat="1" ht="17.100000000000001" customHeight="1">
      <c r="A287" s="13" t="s">
        <v>267</v>
      </c>
      <c r="B287" s="24">
        <v>6255.9</v>
      </c>
      <c r="C287" s="24">
        <v>6064.1</v>
      </c>
      <c r="D287" s="4">
        <f t="shared" si="99"/>
        <v>0.96934094215060995</v>
      </c>
      <c r="E287" s="10">
        <v>15</v>
      </c>
      <c r="F287" s="5">
        <v>1</v>
      </c>
      <c r="G287" s="5">
        <v>10</v>
      </c>
      <c r="H287" s="5"/>
      <c r="I287" s="5"/>
      <c r="J287" s="4">
        <f t="shared" si="113"/>
        <v>1.0160407858741607</v>
      </c>
      <c r="K287" s="5">
        <v>10</v>
      </c>
      <c r="L287" s="5" t="s">
        <v>394</v>
      </c>
      <c r="M287" s="5" t="s">
        <v>394</v>
      </c>
      <c r="N287" s="4" t="s">
        <v>394</v>
      </c>
      <c r="O287" s="5"/>
      <c r="P287" s="5" t="s">
        <v>394</v>
      </c>
      <c r="Q287" s="5" t="s">
        <v>394</v>
      </c>
      <c r="R287" s="5" t="s">
        <v>394</v>
      </c>
      <c r="S287" s="5"/>
      <c r="T287" s="5" t="s">
        <v>394</v>
      </c>
      <c r="U287" s="5" t="s">
        <v>394</v>
      </c>
      <c r="V287" s="5" t="s">
        <v>394</v>
      </c>
      <c r="W287" s="5"/>
      <c r="X287" s="5"/>
      <c r="Y287" s="5"/>
      <c r="Z287" s="4">
        <f t="shared" si="114"/>
        <v>1.2825396825396824</v>
      </c>
      <c r="AA287" s="5">
        <v>15</v>
      </c>
      <c r="AB287" s="31">
        <f t="shared" si="100"/>
        <v>1.07877234458192</v>
      </c>
      <c r="AC287" s="32">
        <v>136</v>
      </c>
      <c r="AD287" s="24">
        <f t="shared" si="101"/>
        <v>37.090909090909093</v>
      </c>
      <c r="AE287" s="24">
        <f t="shared" si="112"/>
        <v>40</v>
      </c>
      <c r="AF287" s="24">
        <f t="shared" si="103"/>
        <v>2.9090909090909065</v>
      </c>
      <c r="AG287" s="24"/>
      <c r="AH287" s="24">
        <v>14.3</v>
      </c>
      <c r="AI287" s="24">
        <v>9.4</v>
      </c>
      <c r="AJ287" s="24">
        <f t="shared" si="104"/>
        <v>16.3</v>
      </c>
      <c r="AK287" s="68"/>
      <c r="AL287" s="40"/>
      <c r="AM287" s="40"/>
      <c r="AN287" s="68"/>
      <c r="AO287" s="68"/>
      <c r="AP287" s="24">
        <f t="shared" si="105"/>
        <v>16.3</v>
      </c>
      <c r="AQ287" s="24">
        <f>MIN(AP287,1.3)</f>
        <v>1.3</v>
      </c>
      <c r="AR287" s="24">
        <f t="shared" si="106"/>
        <v>15</v>
      </c>
      <c r="AS287" s="76"/>
      <c r="AT287" s="1"/>
      <c r="AU287" s="1"/>
      <c r="AV287" s="38"/>
      <c r="AW287" s="38"/>
      <c r="AX287" s="1"/>
      <c r="AY287" s="1"/>
      <c r="AZ287" s="1"/>
      <c r="BA287" s="1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9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9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9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9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9"/>
      <c r="GH287" s="8"/>
      <c r="GI287" s="8"/>
    </row>
    <row r="288" spans="1:191" s="2" customFormat="1" ht="17.100000000000001" customHeight="1">
      <c r="A288" s="13" t="s">
        <v>268</v>
      </c>
      <c r="B288" s="24">
        <v>1025.0999999999999</v>
      </c>
      <c r="C288" s="24">
        <v>783.6</v>
      </c>
      <c r="D288" s="4">
        <f t="shared" si="99"/>
        <v>0.76441322797775835</v>
      </c>
      <c r="E288" s="10">
        <v>15</v>
      </c>
      <c r="F288" s="5">
        <v>1</v>
      </c>
      <c r="G288" s="5">
        <v>10</v>
      </c>
      <c r="H288" s="5"/>
      <c r="I288" s="5"/>
      <c r="J288" s="4">
        <f t="shared" si="113"/>
        <v>1.0160407858741607</v>
      </c>
      <c r="K288" s="5">
        <v>10</v>
      </c>
      <c r="L288" s="5" t="s">
        <v>394</v>
      </c>
      <c r="M288" s="5" t="s">
        <v>394</v>
      </c>
      <c r="N288" s="4" t="s">
        <v>394</v>
      </c>
      <c r="O288" s="5"/>
      <c r="P288" s="5" t="s">
        <v>394</v>
      </c>
      <c r="Q288" s="5" t="s">
        <v>394</v>
      </c>
      <c r="R288" s="5" t="s">
        <v>394</v>
      </c>
      <c r="S288" s="5"/>
      <c r="T288" s="5" t="s">
        <v>394</v>
      </c>
      <c r="U288" s="5" t="s">
        <v>394</v>
      </c>
      <c r="V288" s="5" t="s">
        <v>394</v>
      </c>
      <c r="W288" s="5"/>
      <c r="X288" s="5"/>
      <c r="Y288" s="5"/>
      <c r="Z288" s="4">
        <f t="shared" si="114"/>
        <v>1.2825396825396824</v>
      </c>
      <c r="AA288" s="5">
        <v>15</v>
      </c>
      <c r="AB288" s="31">
        <f t="shared" si="100"/>
        <v>1.0172940303300644</v>
      </c>
      <c r="AC288" s="32">
        <v>1433</v>
      </c>
      <c r="AD288" s="24">
        <f t="shared" si="101"/>
        <v>390.81818181818187</v>
      </c>
      <c r="AE288" s="24">
        <f t="shared" si="112"/>
        <v>397.6</v>
      </c>
      <c r="AF288" s="24">
        <f t="shared" si="103"/>
        <v>6.7818181818181529</v>
      </c>
      <c r="AG288" s="24"/>
      <c r="AH288" s="24">
        <v>89.5</v>
      </c>
      <c r="AI288" s="24">
        <v>121.7</v>
      </c>
      <c r="AJ288" s="24">
        <f t="shared" si="104"/>
        <v>186.4</v>
      </c>
      <c r="AK288" s="68"/>
      <c r="AL288" s="40"/>
      <c r="AM288" s="40"/>
      <c r="AN288" s="68"/>
      <c r="AO288" s="68"/>
      <c r="AP288" s="24">
        <f t="shared" si="105"/>
        <v>186.4</v>
      </c>
      <c r="AQ288" s="24"/>
      <c r="AR288" s="24">
        <f t="shared" si="106"/>
        <v>186.4</v>
      </c>
      <c r="AS288" s="76"/>
      <c r="AT288" s="1"/>
      <c r="AU288" s="1"/>
      <c r="AV288" s="38"/>
      <c r="AW288" s="38"/>
      <c r="AX288" s="1"/>
      <c r="AY288" s="1"/>
      <c r="AZ288" s="1"/>
      <c r="BA288" s="1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9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9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9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9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9"/>
      <c r="GH288" s="8"/>
      <c r="GI288" s="8"/>
    </row>
    <row r="289" spans="1:191" s="2" customFormat="1" ht="17.100000000000001" customHeight="1">
      <c r="A289" s="13" t="s">
        <v>269</v>
      </c>
      <c r="B289" s="24">
        <v>2154.9</v>
      </c>
      <c r="C289" s="24">
        <v>1419.1</v>
      </c>
      <c r="D289" s="4">
        <f t="shared" si="99"/>
        <v>0.65854564016891726</v>
      </c>
      <c r="E289" s="10">
        <v>15</v>
      </c>
      <c r="F289" s="5">
        <v>1</v>
      </c>
      <c r="G289" s="5">
        <v>10</v>
      </c>
      <c r="H289" s="5"/>
      <c r="I289" s="5"/>
      <c r="J289" s="4">
        <f t="shared" si="113"/>
        <v>1.0160407858741607</v>
      </c>
      <c r="K289" s="5">
        <v>10</v>
      </c>
      <c r="L289" s="5" t="s">
        <v>394</v>
      </c>
      <c r="M289" s="5" t="s">
        <v>394</v>
      </c>
      <c r="N289" s="4" t="s">
        <v>394</v>
      </c>
      <c r="O289" s="5"/>
      <c r="P289" s="5" t="s">
        <v>394</v>
      </c>
      <c r="Q289" s="5" t="s">
        <v>394</v>
      </c>
      <c r="R289" s="5" t="s">
        <v>394</v>
      </c>
      <c r="S289" s="5"/>
      <c r="T289" s="5" t="s">
        <v>394</v>
      </c>
      <c r="U289" s="5" t="s">
        <v>394</v>
      </c>
      <c r="V289" s="5" t="s">
        <v>394</v>
      </c>
      <c r="W289" s="5"/>
      <c r="X289" s="5"/>
      <c r="Y289" s="5"/>
      <c r="Z289" s="4">
        <f t="shared" si="114"/>
        <v>1.2825396825396824</v>
      </c>
      <c r="AA289" s="5">
        <v>15</v>
      </c>
      <c r="AB289" s="31">
        <f t="shared" si="100"/>
        <v>0.98553375398741194</v>
      </c>
      <c r="AC289" s="32">
        <v>1116</v>
      </c>
      <c r="AD289" s="24">
        <f t="shared" si="101"/>
        <v>304.36363636363637</v>
      </c>
      <c r="AE289" s="24">
        <f t="shared" si="112"/>
        <v>300</v>
      </c>
      <c r="AF289" s="24">
        <f t="shared" si="103"/>
        <v>-4.363636363636374</v>
      </c>
      <c r="AG289" s="24"/>
      <c r="AH289" s="24">
        <v>96.4</v>
      </c>
      <c r="AI289" s="24">
        <v>76.400000000000006</v>
      </c>
      <c r="AJ289" s="24">
        <f t="shared" si="104"/>
        <v>127.2</v>
      </c>
      <c r="AK289" s="68"/>
      <c r="AL289" s="40"/>
      <c r="AM289" s="40"/>
      <c r="AN289" s="68"/>
      <c r="AO289" s="68"/>
      <c r="AP289" s="24">
        <f t="shared" si="105"/>
        <v>127.2</v>
      </c>
      <c r="AQ289" s="24"/>
      <c r="AR289" s="24">
        <f t="shared" si="106"/>
        <v>127.2</v>
      </c>
      <c r="AS289" s="76"/>
      <c r="AT289" s="1"/>
      <c r="AU289" s="1"/>
      <c r="AV289" s="38"/>
      <c r="AW289" s="38"/>
      <c r="AX289" s="1"/>
      <c r="AY289" s="1"/>
      <c r="AZ289" s="1"/>
      <c r="BA289" s="1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9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9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9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9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9"/>
      <c r="GH289" s="8"/>
      <c r="GI289" s="8"/>
    </row>
    <row r="290" spans="1:191" s="2" customFormat="1" ht="17.100000000000001" customHeight="1">
      <c r="A290" s="13" t="s">
        <v>270</v>
      </c>
      <c r="B290" s="24">
        <v>14056.5</v>
      </c>
      <c r="C290" s="24">
        <v>10403.700000000001</v>
      </c>
      <c r="D290" s="4">
        <f t="shared" si="99"/>
        <v>0.74013445736847727</v>
      </c>
      <c r="E290" s="10">
        <v>15</v>
      </c>
      <c r="F290" s="5">
        <v>1</v>
      </c>
      <c r="G290" s="5">
        <v>10</v>
      </c>
      <c r="H290" s="5"/>
      <c r="I290" s="5"/>
      <c r="J290" s="4">
        <f t="shared" si="113"/>
        <v>1.0160407858741607</v>
      </c>
      <c r="K290" s="5">
        <v>10</v>
      </c>
      <c r="L290" s="5" t="s">
        <v>394</v>
      </c>
      <c r="M290" s="5" t="s">
        <v>394</v>
      </c>
      <c r="N290" s="4" t="s">
        <v>394</v>
      </c>
      <c r="O290" s="5"/>
      <c r="P290" s="5" t="s">
        <v>394</v>
      </c>
      <c r="Q290" s="5" t="s">
        <v>394</v>
      </c>
      <c r="R290" s="5" t="s">
        <v>394</v>
      </c>
      <c r="S290" s="5"/>
      <c r="T290" s="5" t="s">
        <v>394</v>
      </c>
      <c r="U290" s="5" t="s">
        <v>394</v>
      </c>
      <c r="V290" s="5" t="s">
        <v>394</v>
      </c>
      <c r="W290" s="5"/>
      <c r="X290" s="5"/>
      <c r="Y290" s="5"/>
      <c r="Z290" s="4">
        <f t="shared" si="114"/>
        <v>1.2825396825396824</v>
      </c>
      <c r="AA290" s="5">
        <v>15</v>
      </c>
      <c r="AB290" s="31">
        <f t="shared" si="100"/>
        <v>1.0100103991472802</v>
      </c>
      <c r="AC290" s="32">
        <v>38</v>
      </c>
      <c r="AD290" s="24">
        <f t="shared" si="101"/>
        <v>10.363636363636363</v>
      </c>
      <c r="AE290" s="24">
        <f t="shared" si="112"/>
        <v>10.5</v>
      </c>
      <c r="AF290" s="24">
        <f t="shared" si="103"/>
        <v>0.13636363636363669</v>
      </c>
      <c r="AG290" s="24"/>
      <c r="AH290" s="24">
        <v>2.6</v>
      </c>
      <c r="AI290" s="24">
        <v>3.4</v>
      </c>
      <c r="AJ290" s="24">
        <f t="shared" si="104"/>
        <v>4.5</v>
      </c>
      <c r="AK290" s="68"/>
      <c r="AL290" s="40"/>
      <c r="AM290" s="40"/>
      <c r="AN290" s="68"/>
      <c r="AO290" s="68"/>
      <c r="AP290" s="24">
        <f t="shared" si="105"/>
        <v>4.5</v>
      </c>
      <c r="AQ290" s="24">
        <f>MIN(AP290,0.3)</f>
        <v>0.3</v>
      </c>
      <c r="AR290" s="24">
        <f t="shared" si="106"/>
        <v>4.2</v>
      </c>
      <c r="AS290" s="76"/>
      <c r="AT290" s="1"/>
      <c r="AU290" s="1"/>
      <c r="AV290" s="38"/>
      <c r="AW290" s="38"/>
      <c r="AX290" s="1"/>
      <c r="AY290" s="1"/>
      <c r="AZ290" s="1"/>
      <c r="BA290" s="1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9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9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9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9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9"/>
      <c r="GH290" s="8"/>
      <c r="GI290" s="8"/>
    </row>
    <row r="291" spans="1:191" s="2" customFormat="1" ht="17.100000000000001" customHeight="1">
      <c r="A291" s="13" t="s">
        <v>163</v>
      </c>
      <c r="B291" s="24">
        <v>892.3</v>
      </c>
      <c r="C291" s="24">
        <v>522.6</v>
      </c>
      <c r="D291" s="4">
        <f t="shared" si="99"/>
        <v>0.58567746273674781</v>
      </c>
      <c r="E291" s="10">
        <v>15</v>
      </c>
      <c r="F291" s="5">
        <v>1</v>
      </c>
      <c r="G291" s="5">
        <v>10</v>
      </c>
      <c r="H291" s="5"/>
      <c r="I291" s="5"/>
      <c r="J291" s="4">
        <f t="shared" si="113"/>
        <v>1.0160407858741607</v>
      </c>
      <c r="K291" s="5">
        <v>10</v>
      </c>
      <c r="L291" s="5" t="s">
        <v>394</v>
      </c>
      <c r="M291" s="5" t="s">
        <v>394</v>
      </c>
      <c r="N291" s="4" t="s">
        <v>394</v>
      </c>
      <c r="O291" s="5"/>
      <c r="P291" s="5" t="s">
        <v>394</v>
      </c>
      <c r="Q291" s="5" t="s">
        <v>394</v>
      </c>
      <c r="R291" s="5" t="s">
        <v>394</v>
      </c>
      <c r="S291" s="5"/>
      <c r="T291" s="5" t="s">
        <v>394</v>
      </c>
      <c r="U291" s="5" t="s">
        <v>394</v>
      </c>
      <c r="V291" s="5" t="s">
        <v>394</v>
      </c>
      <c r="W291" s="5"/>
      <c r="X291" s="5"/>
      <c r="Y291" s="5"/>
      <c r="Z291" s="4">
        <f t="shared" si="114"/>
        <v>1.2825396825396824</v>
      </c>
      <c r="AA291" s="5">
        <v>15</v>
      </c>
      <c r="AB291" s="31">
        <f t="shared" si="100"/>
        <v>0.96367330075776125</v>
      </c>
      <c r="AC291" s="32">
        <v>517</v>
      </c>
      <c r="AD291" s="24">
        <f t="shared" si="101"/>
        <v>141</v>
      </c>
      <c r="AE291" s="24">
        <f t="shared" si="112"/>
        <v>135.9</v>
      </c>
      <c r="AF291" s="24">
        <f t="shared" si="103"/>
        <v>-5.0999999999999943</v>
      </c>
      <c r="AG291" s="24"/>
      <c r="AH291" s="24">
        <v>37.299999999999997</v>
      </c>
      <c r="AI291" s="24">
        <v>29.1</v>
      </c>
      <c r="AJ291" s="24">
        <f t="shared" si="104"/>
        <v>69.5</v>
      </c>
      <c r="AK291" s="68"/>
      <c r="AL291" s="40"/>
      <c r="AM291" s="40"/>
      <c r="AN291" s="68"/>
      <c r="AO291" s="68"/>
      <c r="AP291" s="24">
        <f t="shared" si="105"/>
        <v>69.5</v>
      </c>
      <c r="AQ291" s="24">
        <f>MIN(AP291,23.5)</f>
        <v>23.5</v>
      </c>
      <c r="AR291" s="24">
        <f t="shared" si="106"/>
        <v>46</v>
      </c>
      <c r="AS291" s="76"/>
      <c r="AT291" s="1"/>
      <c r="AU291" s="1"/>
      <c r="AV291" s="38"/>
      <c r="AW291" s="38"/>
      <c r="AX291" s="1"/>
      <c r="AY291" s="1"/>
      <c r="AZ291" s="1"/>
      <c r="BA291" s="1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9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9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9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9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9"/>
      <c r="GH291" s="8"/>
      <c r="GI291" s="8"/>
    </row>
    <row r="292" spans="1:191" s="2" customFormat="1" ht="17.100000000000001" customHeight="1">
      <c r="A292" s="17" t="s">
        <v>271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76"/>
      <c r="AT292" s="1"/>
      <c r="AU292" s="1"/>
      <c r="AV292" s="38"/>
      <c r="AW292" s="38"/>
      <c r="AX292" s="1"/>
      <c r="AY292" s="1"/>
      <c r="AZ292" s="1"/>
      <c r="BA292" s="1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9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9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9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9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9"/>
      <c r="GH292" s="8"/>
      <c r="GI292" s="8"/>
    </row>
    <row r="293" spans="1:191" s="2" customFormat="1" ht="17.100000000000001" customHeight="1">
      <c r="A293" s="33" t="s">
        <v>67</v>
      </c>
      <c r="B293" s="24">
        <v>1237.3</v>
      </c>
      <c r="C293" s="24">
        <v>807.8</v>
      </c>
      <c r="D293" s="4">
        <f t="shared" si="99"/>
        <v>0.65287319162692958</v>
      </c>
      <c r="E293" s="10">
        <v>15</v>
      </c>
      <c r="F293" s="5">
        <v>1</v>
      </c>
      <c r="G293" s="5">
        <v>10</v>
      </c>
      <c r="H293" s="5"/>
      <c r="I293" s="5"/>
      <c r="J293" s="4">
        <f>J$51</f>
        <v>0.85686129066440608</v>
      </c>
      <c r="K293" s="5">
        <v>10</v>
      </c>
      <c r="L293" s="5" t="s">
        <v>394</v>
      </c>
      <c r="M293" s="5" t="s">
        <v>394</v>
      </c>
      <c r="N293" s="4" t="s">
        <v>394</v>
      </c>
      <c r="O293" s="5"/>
      <c r="P293" s="5" t="s">
        <v>394</v>
      </c>
      <c r="Q293" s="5" t="s">
        <v>394</v>
      </c>
      <c r="R293" s="5" t="s">
        <v>394</v>
      </c>
      <c r="S293" s="5"/>
      <c r="T293" s="5" t="s">
        <v>394</v>
      </c>
      <c r="U293" s="5" t="s">
        <v>394</v>
      </c>
      <c r="V293" s="5" t="s">
        <v>394</v>
      </c>
      <c r="W293" s="5"/>
      <c r="X293" s="5"/>
      <c r="Y293" s="5"/>
      <c r="Z293" s="4">
        <f>Z$51</f>
        <v>0.78036025566531098</v>
      </c>
      <c r="AA293" s="5">
        <v>15</v>
      </c>
      <c r="AB293" s="31">
        <f t="shared" si="100"/>
        <v>0.80134229232055332</v>
      </c>
      <c r="AC293" s="32">
        <v>846</v>
      </c>
      <c r="AD293" s="24">
        <f t="shared" si="101"/>
        <v>230.72727272727272</v>
      </c>
      <c r="AE293" s="24">
        <f t="shared" ref="AE293:AE316" si="115">ROUND(AB293*AD293,1)</f>
        <v>184.9</v>
      </c>
      <c r="AF293" s="24">
        <f t="shared" si="103"/>
        <v>-45.827272727272714</v>
      </c>
      <c r="AG293" s="24"/>
      <c r="AH293" s="24">
        <v>56.2</v>
      </c>
      <c r="AI293" s="24">
        <v>63.5</v>
      </c>
      <c r="AJ293" s="24">
        <f t="shared" si="104"/>
        <v>65.2</v>
      </c>
      <c r="AK293" s="68"/>
      <c r="AL293" s="40"/>
      <c r="AM293" s="40"/>
      <c r="AN293" s="68"/>
      <c r="AO293" s="68"/>
      <c r="AP293" s="24">
        <f t="shared" si="105"/>
        <v>65.2</v>
      </c>
      <c r="AQ293" s="24"/>
      <c r="AR293" s="24">
        <f t="shared" si="106"/>
        <v>65.2</v>
      </c>
      <c r="AS293" s="76"/>
      <c r="AT293" s="1"/>
      <c r="AU293" s="1"/>
      <c r="AV293" s="38"/>
      <c r="AW293" s="38"/>
      <c r="AZ293" s="1"/>
      <c r="BA293" s="1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9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9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9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9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9"/>
      <c r="GH293" s="8"/>
      <c r="GI293" s="8"/>
    </row>
    <row r="294" spans="1:191" s="2" customFormat="1" ht="17.100000000000001" customHeight="1">
      <c r="A294" s="33" t="s">
        <v>272</v>
      </c>
      <c r="B294" s="24">
        <v>999</v>
      </c>
      <c r="C294" s="24">
        <v>477.6</v>
      </c>
      <c r="D294" s="4">
        <f t="shared" si="99"/>
        <v>0.47807807807807812</v>
      </c>
      <c r="E294" s="10">
        <v>15</v>
      </c>
      <c r="F294" s="5">
        <v>1</v>
      </c>
      <c r="G294" s="5">
        <v>10</v>
      </c>
      <c r="H294" s="5"/>
      <c r="I294" s="5"/>
      <c r="J294" s="4">
        <f t="shared" ref="J294:J316" si="116">J$51</f>
        <v>0.85686129066440608</v>
      </c>
      <c r="K294" s="5">
        <v>10</v>
      </c>
      <c r="L294" s="5" t="s">
        <v>394</v>
      </c>
      <c r="M294" s="5" t="s">
        <v>394</v>
      </c>
      <c r="N294" s="4" t="s">
        <v>394</v>
      </c>
      <c r="O294" s="5"/>
      <c r="P294" s="5" t="s">
        <v>394</v>
      </c>
      <c r="Q294" s="5" t="s">
        <v>394</v>
      </c>
      <c r="R294" s="5" t="s">
        <v>394</v>
      </c>
      <c r="S294" s="5"/>
      <c r="T294" s="5" t="s">
        <v>394</v>
      </c>
      <c r="U294" s="5" t="s">
        <v>394</v>
      </c>
      <c r="V294" s="5" t="s">
        <v>394</v>
      </c>
      <c r="W294" s="5"/>
      <c r="X294" s="5"/>
      <c r="Y294" s="5"/>
      <c r="Z294" s="4">
        <f t="shared" ref="Z294:Z316" si="117">Z$51</f>
        <v>0.78036025566531098</v>
      </c>
      <c r="AA294" s="5">
        <v>15</v>
      </c>
      <c r="AB294" s="31">
        <f t="shared" si="100"/>
        <v>0.74890375825589783</v>
      </c>
      <c r="AC294" s="32">
        <v>61</v>
      </c>
      <c r="AD294" s="24">
        <f t="shared" si="101"/>
        <v>16.636363636363637</v>
      </c>
      <c r="AE294" s="24">
        <f t="shared" si="115"/>
        <v>12.5</v>
      </c>
      <c r="AF294" s="24">
        <f t="shared" si="103"/>
        <v>-4.1363636363636367</v>
      </c>
      <c r="AG294" s="24"/>
      <c r="AH294" s="24">
        <v>6.5</v>
      </c>
      <c r="AI294" s="24">
        <v>5.4</v>
      </c>
      <c r="AJ294" s="24">
        <f t="shared" si="104"/>
        <v>0.6</v>
      </c>
      <c r="AK294" s="68"/>
      <c r="AL294" s="40"/>
      <c r="AM294" s="40"/>
      <c r="AN294" s="68"/>
      <c r="AO294" s="68"/>
      <c r="AP294" s="24">
        <f t="shared" si="105"/>
        <v>0.6</v>
      </c>
      <c r="AQ294" s="24"/>
      <c r="AR294" s="24">
        <f t="shared" si="106"/>
        <v>0.6</v>
      </c>
      <c r="AS294" s="76"/>
      <c r="AT294" s="1"/>
      <c r="AU294" s="1"/>
      <c r="AV294" s="38"/>
      <c r="AW294" s="38"/>
      <c r="AZ294" s="1"/>
      <c r="BA294" s="1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9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9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9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9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9"/>
      <c r="GH294" s="8"/>
      <c r="GI294" s="8"/>
    </row>
    <row r="295" spans="1:191" s="2" customFormat="1" ht="17.100000000000001" customHeight="1">
      <c r="A295" s="33" t="s">
        <v>273</v>
      </c>
      <c r="B295" s="24">
        <v>1816</v>
      </c>
      <c r="C295" s="24">
        <v>1261.2</v>
      </c>
      <c r="D295" s="4">
        <f t="shared" si="99"/>
        <v>0.69449339207048466</v>
      </c>
      <c r="E295" s="10">
        <v>15</v>
      </c>
      <c r="F295" s="5">
        <v>1</v>
      </c>
      <c r="G295" s="5">
        <v>10</v>
      </c>
      <c r="H295" s="5"/>
      <c r="I295" s="5"/>
      <c r="J295" s="4">
        <f t="shared" si="116"/>
        <v>0.85686129066440608</v>
      </c>
      <c r="K295" s="5">
        <v>10</v>
      </c>
      <c r="L295" s="5" t="s">
        <v>394</v>
      </c>
      <c r="M295" s="5" t="s">
        <v>394</v>
      </c>
      <c r="N295" s="4" t="s">
        <v>394</v>
      </c>
      <c r="O295" s="5"/>
      <c r="P295" s="5" t="s">
        <v>394</v>
      </c>
      <c r="Q295" s="5" t="s">
        <v>394</v>
      </c>
      <c r="R295" s="5" t="s">
        <v>394</v>
      </c>
      <c r="S295" s="5"/>
      <c r="T295" s="5" t="s">
        <v>394</v>
      </c>
      <c r="U295" s="5" t="s">
        <v>394</v>
      </c>
      <c r="V295" s="5" t="s">
        <v>394</v>
      </c>
      <c r="W295" s="5"/>
      <c r="X295" s="5"/>
      <c r="Y295" s="5"/>
      <c r="Z295" s="4">
        <f t="shared" si="117"/>
        <v>0.78036025566531098</v>
      </c>
      <c r="AA295" s="5">
        <v>15</v>
      </c>
      <c r="AB295" s="31">
        <f t="shared" si="100"/>
        <v>0.81382835245361984</v>
      </c>
      <c r="AC295" s="32">
        <v>142</v>
      </c>
      <c r="AD295" s="24">
        <f t="shared" si="101"/>
        <v>38.727272727272727</v>
      </c>
      <c r="AE295" s="24">
        <f t="shared" si="115"/>
        <v>31.5</v>
      </c>
      <c r="AF295" s="24">
        <f t="shared" si="103"/>
        <v>-7.2272727272727266</v>
      </c>
      <c r="AG295" s="24"/>
      <c r="AH295" s="24">
        <v>15.2</v>
      </c>
      <c r="AI295" s="24">
        <v>6.6</v>
      </c>
      <c r="AJ295" s="24">
        <f t="shared" si="104"/>
        <v>9.6999999999999993</v>
      </c>
      <c r="AK295" s="68"/>
      <c r="AL295" s="40"/>
      <c r="AM295" s="40"/>
      <c r="AN295" s="68"/>
      <c r="AO295" s="68"/>
      <c r="AP295" s="24">
        <f t="shared" si="105"/>
        <v>9.6999999999999993</v>
      </c>
      <c r="AQ295" s="24"/>
      <c r="AR295" s="24">
        <f t="shared" si="106"/>
        <v>9.6999999999999993</v>
      </c>
      <c r="AS295" s="76"/>
      <c r="AT295" s="1"/>
      <c r="AU295" s="1"/>
      <c r="AV295" s="38"/>
      <c r="AW295" s="38"/>
      <c r="BA295" s="1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9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9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9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9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9"/>
      <c r="GH295" s="8"/>
      <c r="GI295" s="8"/>
    </row>
    <row r="296" spans="1:191" s="2" customFormat="1" ht="17.100000000000001" customHeight="1">
      <c r="A296" s="33" t="s">
        <v>49</v>
      </c>
      <c r="B296" s="24">
        <v>15122.2</v>
      </c>
      <c r="C296" s="24">
        <v>14404.6</v>
      </c>
      <c r="D296" s="4">
        <f t="shared" si="99"/>
        <v>0.95254658713679219</v>
      </c>
      <c r="E296" s="10">
        <v>15</v>
      </c>
      <c r="F296" s="5">
        <v>1</v>
      </c>
      <c r="G296" s="5">
        <v>10</v>
      </c>
      <c r="H296" s="5"/>
      <c r="I296" s="5"/>
      <c r="J296" s="4">
        <f t="shared" si="116"/>
        <v>0.85686129066440608</v>
      </c>
      <c r="K296" s="5">
        <v>10</v>
      </c>
      <c r="L296" s="5" t="s">
        <v>394</v>
      </c>
      <c r="M296" s="5" t="s">
        <v>394</v>
      </c>
      <c r="N296" s="4" t="s">
        <v>394</v>
      </c>
      <c r="O296" s="5"/>
      <c r="P296" s="5" t="s">
        <v>394</v>
      </c>
      <c r="Q296" s="5" t="s">
        <v>394</v>
      </c>
      <c r="R296" s="5" t="s">
        <v>394</v>
      </c>
      <c r="S296" s="5"/>
      <c r="T296" s="5" t="s">
        <v>394</v>
      </c>
      <c r="U296" s="5" t="s">
        <v>394</v>
      </c>
      <c r="V296" s="5" t="s">
        <v>394</v>
      </c>
      <c r="W296" s="5"/>
      <c r="X296" s="5"/>
      <c r="Y296" s="5"/>
      <c r="Z296" s="4">
        <f t="shared" si="117"/>
        <v>0.78036025566531098</v>
      </c>
      <c r="AA296" s="5">
        <v>15</v>
      </c>
      <c r="AB296" s="31">
        <f t="shared" si="100"/>
        <v>0.8912443109735122</v>
      </c>
      <c r="AC296" s="32">
        <v>84</v>
      </c>
      <c r="AD296" s="24">
        <f t="shared" si="101"/>
        <v>22.90909090909091</v>
      </c>
      <c r="AE296" s="24">
        <f t="shared" si="115"/>
        <v>20.399999999999999</v>
      </c>
      <c r="AF296" s="24">
        <f t="shared" si="103"/>
        <v>-2.5090909090909115</v>
      </c>
      <c r="AG296" s="24"/>
      <c r="AH296" s="24">
        <v>8.6</v>
      </c>
      <c r="AI296" s="24">
        <v>6.9</v>
      </c>
      <c r="AJ296" s="24">
        <f t="shared" si="104"/>
        <v>4.9000000000000004</v>
      </c>
      <c r="AK296" s="40"/>
      <c r="AL296" s="40"/>
      <c r="AM296" s="40"/>
      <c r="AN296" s="68"/>
      <c r="AO296" s="68"/>
      <c r="AP296" s="24">
        <f t="shared" si="105"/>
        <v>4.9000000000000004</v>
      </c>
      <c r="AQ296" s="24"/>
      <c r="AR296" s="24">
        <f t="shared" si="106"/>
        <v>4.9000000000000004</v>
      </c>
      <c r="AS296" s="76"/>
      <c r="AT296" s="1"/>
      <c r="AU296" s="1"/>
      <c r="AV296" s="38"/>
      <c r="AW296" s="38"/>
      <c r="BA296" s="1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9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9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9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9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9"/>
      <c r="GH296" s="8"/>
      <c r="GI296" s="8"/>
    </row>
    <row r="297" spans="1:191" s="2" customFormat="1" ht="17.100000000000001" customHeight="1">
      <c r="A297" s="33" t="s">
        <v>274</v>
      </c>
      <c r="B297" s="24">
        <v>882.7</v>
      </c>
      <c r="C297" s="24">
        <v>794.8</v>
      </c>
      <c r="D297" s="4">
        <f t="shared" si="99"/>
        <v>0.90041916846040548</v>
      </c>
      <c r="E297" s="10">
        <v>15</v>
      </c>
      <c r="F297" s="5">
        <v>1</v>
      </c>
      <c r="G297" s="5">
        <v>10</v>
      </c>
      <c r="H297" s="5"/>
      <c r="I297" s="5"/>
      <c r="J297" s="4">
        <f t="shared" si="116"/>
        <v>0.85686129066440608</v>
      </c>
      <c r="K297" s="5">
        <v>10</v>
      </c>
      <c r="L297" s="5" t="s">
        <v>394</v>
      </c>
      <c r="M297" s="5" t="s">
        <v>394</v>
      </c>
      <c r="N297" s="4" t="s">
        <v>394</v>
      </c>
      <c r="O297" s="5"/>
      <c r="P297" s="5" t="s">
        <v>394</v>
      </c>
      <c r="Q297" s="5" t="s">
        <v>394</v>
      </c>
      <c r="R297" s="5" t="s">
        <v>394</v>
      </c>
      <c r="S297" s="5"/>
      <c r="T297" s="5" t="s">
        <v>394</v>
      </c>
      <c r="U297" s="5" t="s">
        <v>394</v>
      </c>
      <c r="V297" s="5" t="s">
        <v>394</v>
      </c>
      <c r="W297" s="5"/>
      <c r="X297" s="5"/>
      <c r="Y297" s="5"/>
      <c r="Z297" s="4">
        <f t="shared" si="117"/>
        <v>0.78036025566531098</v>
      </c>
      <c r="AA297" s="5">
        <v>15</v>
      </c>
      <c r="AB297" s="31">
        <f t="shared" si="100"/>
        <v>0.87560608537059603</v>
      </c>
      <c r="AC297" s="32">
        <v>771</v>
      </c>
      <c r="AD297" s="24">
        <f t="shared" si="101"/>
        <v>210.27272727272728</v>
      </c>
      <c r="AE297" s="24">
        <f t="shared" si="115"/>
        <v>184.1</v>
      </c>
      <c r="AF297" s="24">
        <f t="shared" si="103"/>
        <v>-26.172727272727286</v>
      </c>
      <c r="AG297" s="24"/>
      <c r="AH297" s="24">
        <v>64.5</v>
      </c>
      <c r="AI297" s="24">
        <v>58.7</v>
      </c>
      <c r="AJ297" s="24">
        <f t="shared" si="104"/>
        <v>60.9</v>
      </c>
      <c r="AK297" s="68"/>
      <c r="AL297" s="40"/>
      <c r="AM297" s="40"/>
      <c r="AN297" s="68"/>
      <c r="AO297" s="68"/>
      <c r="AP297" s="24">
        <f t="shared" si="105"/>
        <v>60.9</v>
      </c>
      <c r="AQ297" s="24"/>
      <c r="AR297" s="24">
        <f t="shared" si="106"/>
        <v>60.9</v>
      </c>
      <c r="AS297" s="76"/>
      <c r="AT297" s="1"/>
      <c r="AU297" s="1"/>
      <c r="AV297" s="38"/>
      <c r="AW297" s="38"/>
      <c r="BA297" s="1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9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9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9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9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9"/>
      <c r="GH297" s="8"/>
      <c r="GI297" s="8"/>
    </row>
    <row r="298" spans="1:191" s="2" customFormat="1" ht="17.100000000000001" customHeight="1">
      <c r="A298" s="33" t="s">
        <v>275</v>
      </c>
      <c r="B298" s="24">
        <v>1351.8</v>
      </c>
      <c r="C298" s="24">
        <v>588.79999999999995</v>
      </c>
      <c r="D298" s="4">
        <f t="shared" si="99"/>
        <v>0.43556739162598018</v>
      </c>
      <c r="E298" s="10">
        <v>15</v>
      </c>
      <c r="F298" s="5">
        <v>1</v>
      </c>
      <c r="G298" s="5">
        <v>10</v>
      </c>
      <c r="H298" s="5"/>
      <c r="I298" s="5"/>
      <c r="J298" s="4">
        <f t="shared" si="116"/>
        <v>0.85686129066440608</v>
      </c>
      <c r="K298" s="5">
        <v>10</v>
      </c>
      <c r="L298" s="5" t="s">
        <v>394</v>
      </c>
      <c r="M298" s="5" t="s">
        <v>394</v>
      </c>
      <c r="N298" s="4" t="s">
        <v>394</v>
      </c>
      <c r="O298" s="5"/>
      <c r="P298" s="5" t="s">
        <v>394</v>
      </c>
      <c r="Q298" s="5" t="s">
        <v>394</v>
      </c>
      <c r="R298" s="5" t="s">
        <v>394</v>
      </c>
      <c r="S298" s="5"/>
      <c r="T298" s="5" t="s">
        <v>394</v>
      </c>
      <c r="U298" s="5" t="s">
        <v>394</v>
      </c>
      <c r="V298" s="5" t="s">
        <v>394</v>
      </c>
      <c r="W298" s="5"/>
      <c r="X298" s="5"/>
      <c r="Y298" s="5"/>
      <c r="Z298" s="4">
        <f t="shared" si="117"/>
        <v>0.78036025566531098</v>
      </c>
      <c r="AA298" s="5">
        <v>15</v>
      </c>
      <c r="AB298" s="31">
        <f t="shared" si="100"/>
        <v>0.73615055232026849</v>
      </c>
      <c r="AC298" s="32">
        <v>1113</v>
      </c>
      <c r="AD298" s="24">
        <f t="shared" si="101"/>
        <v>303.54545454545456</v>
      </c>
      <c r="AE298" s="24">
        <f t="shared" si="115"/>
        <v>223.5</v>
      </c>
      <c r="AF298" s="24">
        <f t="shared" si="103"/>
        <v>-80.045454545454561</v>
      </c>
      <c r="AG298" s="24"/>
      <c r="AH298" s="24">
        <v>53</v>
      </c>
      <c r="AI298" s="24">
        <v>90.5</v>
      </c>
      <c r="AJ298" s="24">
        <f t="shared" si="104"/>
        <v>80</v>
      </c>
      <c r="AK298" s="68"/>
      <c r="AL298" s="40"/>
      <c r="AM298" s="40"/>
      <c r="AN298" s="68"/>
      <c r="AO298" s="68"/>
      <c r="AP298" s="24">
        <f t="shared" si="105"/>
        <v>80</v>
      </c>
      <c r="AQ298" s="24"/>
      <c r="AR298" s="24">
        <f t="shared" si="106"/>
        <v>80</v>
      </c>
      <c r="AS298" s="76"/>
      <c r="AT298" s="1"/>
      <c r="AU298" s="1"/>
      <c r="AV298" s="38"/>
      <c r="AW298" s="38"/>
      <c r="BA298" s="1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9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9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9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9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9"/>
      <c r="GH298" s="8"/>
      <c r="GI298" s="8"/>
    </row>
    <row r="299" spans="1:191" s="2" customFormat="1" ht="17.100000000000001" customHeight="1">
      <c r="A299" s="33" t="s">
        <v>276</v>
      </c>
      <c r="B299" s="24">
        <v>3034.7</v>
      </c>
      <c r="C299" s="24">
        <v>2668.9</v>
      </c>
      <c r="D299" s="4">
        <f t="shared" si="99"/>
        <v>0.87946090223086315</v>
      </c>
      <c r="E299" s="10">
        <v>15</v>
      </c>
      <c r="F299" s="5">
        <v>1</v>
      </c>
      <c r="G299" s="5">
        <v>10</v>
      </c>
      <c r="H299" s="5"/>
      <c r="I299" s="5"/>
      <c r="J299" s="4">
        <f t="shared" si="116"/>
        <v>0.85686129066440608</v>
      </c>
      <c r="K299" s="5">
        <v>10</v>
      </c>
      <c r="L299" s="5" t="s">
        <v>394</v>
      </c>
      <c r="M299" s="5" t="s">
        <v>394</v>
      </c>
      <c r="N299" s="4" t="s">
        <v>394</v>
      </c>
      <c r="O299" s="5"/>
      <c r="P299" s="5" t="s">
        <v>394</v>
      </c>
      <c r="Q299" s="5" t="s">
        <v>394</v>
      </c>
      <c r="R299" s="5" t="s">
        <v>394</v>
      </c>
      <c r="S299" s="5"/>
      <c r="T299" s="5" t="s">
        <v>394</v>
      </c>
      <c r="U299" s="5" t="s">
        <v>394</v>
      </c>
      <c r="V299" s="5" t="s">
        <v>394</v>
      </c>
      <c r="W299" s="5"/>
      <c r="X299" s="5"/>
      <c r="Y299" s="5"/>
      <c r="Z299" s="4">
        <f t="shared" si="117"/>
        <v>0.78036025566531098</v>
      </c>
      <c r="AA299" s="5">
        <v>15</v>
      </c>
      <c r="AB299" s="31">
        <f t="shared" si="100"/>
        <v>0.86931860550173345</v>
      </c>
      <c r="AC299" s="32">
        <v>115</v>
      </c>
      <c r="AD299" s="24">
        <f t="shared" si="101"/>
        <v>31.363636363636367</v>
      </c>
      <c r="AE299" s="24">
        <f t="shared" si="115"/>
        <v>27.3</v>
      </c>
      <c r="AF299" s="24">
        <f t="shared" si="103"/>
        <v>-4.0636363636363662</v>
      </c>
      <c r="AG299" s="24"/>
      <c r="AH299" s="24">
        <v>6.8</v>
      </c>
      <c r="AI299" s="24">
        <v>11.8</v>
      </c>
      <c r="AJ299" s="24">
        <f t="shared" si="104"/>
        <v>8.6999999999999993</v>
      </c>
      <c r="AK299" s="40"/>
      <c r="AL299" s="40"/>
      <c r="AM299" s="40"/>
      <c r="AN299" s="68"/>
      <c r="AO299" s="68"/>
      <c r="AP299" s="24">
        <f t="shared" si="105"/>
        <v>8.6999999999999993</v>
      </c>
      <c r="AQ299" s="24"/>
      <c r="AR299" s="24">
        <f t="shared" si="106"/>
        <v>8.6999999999999993</v>
      </c>
      <c r="AS299" s="76"/>
      <c r="AT299" s="1"/>
      <c r="AU299" s="1"/>
      <c r="AV299" s="38"/>
      <c r="AW299" s="38"/>
      <c r="BA299" s="1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9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9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9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9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9"/>
      <c r="GH299" s="8"/>
      <c r="GI299" s="8"/>
    </row>
    <row r="300" spans="1:191" s="2" customFormat="1" ht="17.100000000000001" customHeight="1">
      <c r="A300" s="33" t="s">
        <v>277</v>
      </c>
      <c r="B300" s="24">
        <v>1743.9</v>
      </c>
      <c r="C300" s="24">
        <v>1412.1</v>
      </c>
      <c r="D300" s="4">
        <f t="shared" si="99"/>
        <v>0.80973679683468081</v>
      </c>
      <c r="E300" s="10">
        <v>15</v>
      </c>
      <c r="F300" s="5">
        <v>1</v>
      </c>
      <c r="G300" s="5">
        <v>10</v>
      </c>
      <c r="H300" s="5"/>
      <c r="I300" s="5"/>
      <c r="J300" s="4">
        <f t="shared" si="116"/>
        <v>0.85686129066440608</v>
      </c>
      <c r="K300" s="5">
        <v>10</v>
      </c>
      <c r="L300" s="5" t="s">
        <v>394</v>
      </c>
      <c r="M300" s="5" t="s">
        <v>394</v>
      </c>
      <c r="N300" s="4" t="s">
        <v>394</v>
      </c>
      <c r="O300" s="5"/>
      <c r="P300" s="5" t="s">
        <v>394</v>
      </c>
      <c r="Q300" s="5" t="s">
        <v>394</v>
      </c>
      <c r="R300" s="5" t="s">
        <v>394</v>
      </c>
      <c r="S300" s="5"/>
      <c r="T300" s="5" t="s">
        <v>394</v>
      </c>
      <c r="U300" s="5" t="s">
        <v>394</v>
      </c>
      <c r="V300" s="5" t="s">
        <v>394</v>
      </c>
      <c r="W300" s="5"/>
      <c r="X300" s="5"/>
      <c r="Y300" s="5"/>
      <c r="Z300" s="4">
        <f t="shared" si="117"/>
        <v>0.78036025566531098</v>
      </c>
      <c r="AA300" s="5">
        <v>15</v>
      </c>
      <c r="AB300" s="31">
        <f t="shared" si="100"/>
        <v>0.84840137388287873</v>
      </c>
      <c r="AC300" s="32">
        <v>1109</v>
      </c>
      <c r="AD300" s="24">
        <f t="shared" si="101"/>
        <v>302.45454545454544</v>
      </c>
      <c r="AE300" s="24">
        <f t="shared" si="115"/>
        <v>256.60000000000002</v>
      </c>
      <c r="AF300" s="24">
        <f t="shared" si="103"/>
        <v>-45.854545454545416</v>
      </c>
      <c r="AG300" s="24"/>
      <c r="AH300" s="24">
        <v>67.5</v>
      </c>
      <c r="AI300" s="24">
        <v>96.4</v>
      </c>
      <c r="AJ300" s="24">
        <f t="shared" si="104"/>
        <v>92.7</v>
      </c>
      <c r="AK300" s="68"/>
      <c r="AL300" s="40"/>
      <c r="AM300" s="40"/>
      <c r="AN300" s="68"/>
      <c r="AO300" s="68"/>
      <c r="AP300" s="24">
        <f t="shared" si="105"/>
        <v>92.7</v>
      </c>
      <c r="AQ300" s="24"/>
      <c r="AR300" s="24">
        <f t="shared" si="106"/>
        <v>92.7</v>
      </c>
      <c r="AS300" s="76"/>
      <c r="AT300" s="1"/>
      <c r="AU300" s="1"/>
      <c r="AV300" s="38"/>
      <c r="AW300" s="38"/>
      <c r="BA300" s="1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9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9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9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9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9"/>
      <c r="GH300" s="8"/>
      <c r="GI300" s="8"/>
    </row>
    <row r="301" spans="1:191" s="2" customFormat="1" ht="17.100000000000001" customHeight="1">
      <c r="A301" s="33" t="s">
        <v>278</v>
      </c>
      <c r="B301" s="24">
        <v>275.5</v>
      </c>
      <c r="C301" s="24">
        <v>106.7</v>
      </c>
      <c r="D301" s="4">
        <f t="shared" si="99"/>
        <v>0.38729582577132488</v>
      </c>
      <c r="E301" s="10">
        <v>15</v>
      </c>
      <c r="F301" s="5">
        <v>1</v>
      </c>
      <c r="G301" s="5">
        <v>10</v>
      </c>
      <c r="H301" s="5"/>
      <c r="I301" s="5"/>
      <c r="J301" s="4">
        <f t="shared" si="116"/>
        <v>0.85686129066440608</v>
      </c>
      <c r="K301" s="5">
        <v>10</v>
      </c>
      <c r="L301" s="5" t="s">
        <v>394</v>
      </c>
      <c r="M301" s="5" t="s">
        <v>394</v>
      </c>
      <c r="N301" s="4" t="s">
        <v>394</v>
      </c>
      <c r="O301" s="5"/>
      <c r="P301" s="5" t="s">
        <v>394</v>
      </c>
      <c r="Q301" s="5" t="s">
        <v>394</v>
      </c>
      <c r="R301" s="5" t="s">
        <v>394</v>
      </c>
      <c r="S301" s="5"/>
      <c r="T301" s="5" t="s">
        <v>394</v>
      </c>
      <c r="U301" s="5" t="s">
        <v>394</v>
      </c>
      <c r="V301" s="5" t="s">
        <v>394</v>
      </c>
      <c r="W301" s="5"/>
      <c r="X301" s="5"/>
      <c r="Y301" s="5"/>
      <c r="Z301" s="4">
        <f t="shared" si="117"/>
        <v>0.78036025566531098</v>
      </c>
      <c r="AA301" s="5">
        <v>15</v>
      </c>
      <c r="AB301" s="31">
        <f t="shared" si="100"/>
        <v>0.72166908256387186</v>
      </c>
      <c r="AC301" s="32">
        <v>517</v>
      </c>
      <c r="AD301" s="24">
        <f t="shared" si="101"/>
        <v>141</v>
      </c>
      <c r="AE301" s="24">
        <f t="shared" si="115"/>
        <v>101.8</v>
      </c>
      <c r="AF301" s="24">
        <f t="shared" si="103"/>
        <v>-39.200000000000003</v>
      </c>
      <c r="AG301" s="24"/>
      <c r="AH301" s="24">
        <v>32.4</v>
      </c>
      <c r="AI301" s="24">
        <v>39.9</v>
      </c>
      <c r="AJ301" s="24">
        <f t="shared" si="104"/>
        <v>29.5</v>
      </c>
      <c r="AK301" s="68"/>
      <c r="AL301" s="40"/>
      <c r="AM301" s="40"/>
      <c r="AN301" s="68"/>
      <c r="AO301" s="68"/>
      <c r="AP301" s="24">
        <f t="shared" si="105"/>
        <v>29.5</v>
      </c>
      <c r="AQ301" s="24"/>
      <c r="AR301" s="24">
        <f t="shared" si="106"/>
        <v>29.5</v>
      </c>
      <c r="AS301" s="76"/>
      <c r="AT301" s="1"/>
      <c r="AU301" s="1"/>
      <c r="AV301" s="38"/>
      <c r="AW301" s="38"/>
      <c r="BA301" s="1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9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9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9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9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9"/>
      <c r="GH301" s="8"/>
      <c r="GI301" s="8"/>
    </row>
    <row r="302" spans="1:191" s="2" customFormat="1" ht="17.100000000000001" customHeight="1">
      <c r="A302" s="33" t="s">
        <v>279</v>
      </c>
      <c r="B302" s="24">
        <v>1101.5</v>
      </c>
      <c r="C302" s="24">
        <v>1383.8</v>
      </c>
      <c r="D302" s="4">
        <f t="shared" si="99"/>
        <v>1.2056286881525193</v>
      </c>
      <c r="E302" s="10">
        <v>15</v>
      </c>
      <c r="F302" s="5">
        <v>1</v>
      </c>
      <c r="G302" s="5">
        <v>10</v>
      </c>
      <c r="H302" s="5"/>
      <c r="I302" s="5"/>
      <c r="J302" s="4">
        <f t="shared" si="116"/>
        <v>0.85686129066440608</v>
      </c>
      <c r="K302" s="5">
        <v>10</v>
      </c>
      <c r="L302" s="5" t="s">
        <v>394</v>
      </c>
      <c r="M302" s="5" t="s">
        <v>394</v>
      </c>
      <c r="N302" s="4" t="s">
        <v>394</v>
      </c>
      <c r="O302" s="5"/>
      <c r="P302" s="5" t="s">
        <v>394</v>
      </c>
      <c r="Q302" s="5" t="s">
        <v>394</v>
      </c>
      <c r="R302" s="5" t="s">
        <v>394</v>
      </c>
      <c r="S302" s="5"/>
      <c r="T302" s="5" t="s">
        <v>394</v>
      </c>
      <c r="U302" s="5" t="s">
        <v>394</v>
      </c>
      <c r="V302" s="5" t="s">
        <v>394</v>
      </c>
      <c r="W302" s="5"/>
      <c r="X302" s="5"/>
      <c r="Y302" s="5"/>
      <c r="Z302" s="4">
        <f t="shared" si="117"/>
        <v>0.78036025566531098</v>
      </c>
      <c r="AA302" s="5">
        <v>15</v>
      </c>
      <c r="AB302" s="31">
        <f t="shared" si="100"/>
        <v>0.96716894127823028</v>
      </c>
      <c r="AC302" s="32">
        <v>105</v>
      </c>
      <c r="AD302" s="24">
        <f t="shared" si="101"/>
        <v>28.636363636363633</v>
      </c>
      <c r="AE302" s="24">
        <f t="shared" si="115"/>
        <v>27.7</v>
      </c>
      <c r="AF302" s="24">
        <f t="shared" si="103"/>
        <v>-0.93636363636363384</v>
      </c>
      <c r="AG302" s="24"/>
      <c r="AH302" s="24">
        <v>6.7</v>
      </c>
      <c r="AI302" s="24">
        <v>11.3</v>
      </c>
      <c r="AJ302" s="24">
        <f t="shared" si="104"/>
        <v>9.6999999999999993</v>
      </c>
      <c r="AK302" s="68"/>
      <c r="AL302" s="40"/>
      <c r="AM302" s="40"/>
      <c r="AN302" s="68"/>
      <c r="AO302" s="68"/>
      <c r="AP302" s="24">
        <f t="shared" si="105"/>
        <v>9.6999999999999993</v>
      </c>
      <c r="AQ302" s="24">
        <f>MIN(AP302,1.4)</f>
        <v>1.4</v>
      </c>
      <c r="AR302" s="24">
        <f t="shared" si="106"/>
        <v>8.3000000000000007</v>
      </c>
      <c r="AS302" s="76"/>
      <c r="AT302" s="1"/>
      <c r="AU302" s="1"/>
      <c r="AV302" s="38"/>
      <c r="AW302" s="38"/>
      <c r="BA302" s="1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9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9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9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9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9"/>
      <c r="GH302" s="8"/>
      <c r="GI302" s="8"/>
    </row>
    <row r="303" spans="1:191" s="2" customFormat="1" ht="17.100000000000001" customHeight="1">
      <c r="A303" s="33" t="s">
        <v>280</v>
      </c>
      <c r="B303" s="24">
        <v>988.3</v>
      </c>
      <c r="C303" s="24">
        <v>570.20000000000005</v>
      </c>
      <c r="D303" s="4">
        <f t="shared" si="99"/>
        <v>0.57695031872913094</v>
      </c>
      <c r="E303" s="10">
        <v>15</v>
      </c>
      <c r="F303" s="5">
        <v>1</v>
      </c>
      <c r="G303" s="5">
        <v>10</v>
      </c>
      <c r="H303" s="5"/>
      <c r="I303" s="5"/>
      <c r="J303" s="4">
        <f t="shared" si="116"/>
        <v>0.85686129066440608</v>
      </c>
      <c r="K303" s="5">
        <v>10</v>
      </c>
      <c r="L303" s="5" t="s">
        <v>394</v>
      </c>
      <c r="M303" s="5" t="s">
        <v>394</v>
      </c>
      <c r="N303" s="4" t="s">
        <v>394</v>
      </c>
      <c r="O303" s="5"/>
      <c r="P303" s="5" t="s">
        <v>394</v>
      </c>
      <c r="Q303" s="5" t="s">
        <v>394</v>
      </c>
      <c r="R303" s="5" t="s">
        <v>394</v>
      </c>
      <c r="S303" s="5"/>
      <c r="T303" s="5" t="s">
        <v>394</v>
      </c>
      <c r="U303" s="5" t="s">
        <v>394</v>
      </c>
      <c r="V303" s="5" t="s">
        <v>394</v>
      </c>
      <c r="W303" s="5"/>
      <c r="X303" s="5"/>
      <c r="Y303" s="5"/>
      <c r="Z303" s="4">
        <f t="shared" si="117"/>
        <v>0.78036025566531098</v>
      </c>
      <c r="AA303" s="5">
        <v>15</v>
      </c>
      <c r="AB303" s="31">
        <f t="shared" si="100"/>
        <v>0.77856543045121385</v>
      </c>
      <c r="AC303" s="32">
        <v>1115</v>
      </c>
      <c r="AD303" s="24">
        <f t="shared" si="101"/>
        <v>304.09090909090907</v>
      </c>
      <c r="AE303" s="24">
        <f t="shared" si="115"/>
        <v>236.8</v>
      </c>
      <c r="AF303" s="24">
        <f t="shared" si="103"/>
        <v>-67.290909090909054</v>
      </c>
      <c r="AG303" s="24"/>
      <c r="AH303" s="24">
        <v>66.8</v>
      </c>
      <c r="AI303" s="24">
        <v>102.9</v>
      </c>
      <c r="AJ303" s="24">
        <f t="shared" si="104"/>
        <v>67.099999999999994</v>
      </c>
      <c r="AK303" s="68"/>
      <c r="AL303" s="40"/>
      <c r="AM303" s="40"/>
      <c r="AN303" s="68"/>
      <c r="AO303" s="68"/>
      <c r="AP303" s="24">
        <f t="shared" si="105"/>
        <v>67.099999999999994</v>
      </c>
      <c r="AQ303" s="24"/>
      <c r="AR303" s="24">
        <f t="shared" si="106"/>
        <v>67.099999999999994</v>
      </c>
      <c r="AS303" s="76"/>
      <c r="AT303" s="1"/>
      <c r="AU303" s="1"/>
      <c r="AV303" s="38"/>
      <c r="AW303" s="38"/>
      <c r="BA303" s="1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9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9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9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9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9"/>
      <c r="GH303" s="8"/>
      <c r="GI303" s="8"/>
    </row>
    <row r="304" spans="1:191" s="2" customFormat="1" ht="17.100000000000001" customHeight="1">
      <c r="A304" s="33" t="s">
        <v>281</v>
      </c>
      <c r="B304" s="24">
        <v>4459.3</v>
      </c>
      <c r="C304" s="24">
        <v>1850.4</v>
      </c>
      <c r="D304" s="4">
        <f t="shared" si="99"/>
        <v>0.41495301953221359</v>
      </c>
      <c r="E304" s="10">
        <v>15</v>
      </c>
      <c r="F304" s="5">
        <v>1</v>
      </c>
      <c r="G304" s="5">
        <v>10</v>
      </c>
      <c r="H304" s="5"/>
      <c r="I304" s="5"/>
      <c r="J304" s="4">
        <f t="shared" si="116"/>
        <v>0.85686129066440608</v>
      </c>
      <c r="K304" s="5">
        <v>10</v>
      </c>
      <c r="L304" s="5" t="s">
        <v>394</v>
      </c>
      <c r="M304" s="5" t="s">
        <v>394</v>
      </c>
      <c r="N304" s="4" t="s">
        <v>394</v>
      </c>
      <c r="O304" s="5"/>
      <c r="P304" s="5" t="s">
        <v>394</v>
      </c>
      <c r="Q304" s="5" t="s">
        <v>394</v>
      </c>
      <c r="R304" s="5" t="s">
        <v>394</v>
      </c>
      <c r="S304" s="5"/>
      <c r="T304" s="5" t="s">
        <v>394</v>
      </c>
      <c r="U304" s="5" t="s">
        <v>394</v>
      </c>
      <c r="V304" s="5" t="s">
        <v>394</v>
      </c>
      <c r="W304" s="5"/>
      <c r="X304" s="5"/>
      <c r="Y304" s="5"/>
      <c r="Z304" s="4">
        <f t="shared" si="117"/>
        <v>0.78036025566531098</v>
      </c>
      <c r="AA304" s="5">
        <v>15</v>
      </c>
      <c r="AB304" s="31">
        <f t="shared" si="100"/>
        <v>0.72996624069213856</v>
      </c>
      <c r="AC304" s="32">
        <v>57</v>
      </c>
      <c r="AD304" s="24">
        <f t="shared" si="101"/>
        <v>15.545454545454545</v>
      </c>
      <c r="AE304" s="24">
        <f t="shared" si="115"/>
        <v>11.3</v>
      </c>
      <c r="AF304" s="24">
        <f t="shared" si="103"/>
        <v>-4.2454545454545443</v>
      </c>
      <c r="AG304" s="24"/>
      <c r="AH304" s="24">
        <v>5.6</v>
      </c>
      <c r="AI304" s="24">
        <v>2.8</v>
      </c>
      <c r="AJ304" s="24">
        <f t="shared" si="104"/>
        <v>2.9</v>
      </c>
      <c r="AK304" s="40"/>
      <c r="AL304" s="40"/>
      <c r="AM304" s="40"/>
      <c r="AN304" s="68"/>
      <c r="AO304" s="68"/>
      <c r="AP304" s="24">
        <f t="shared" si="105"/>
        <v>2.9</v>
      </c>
      <c r="AQ304" s="24"/>
      <c r="AR304" s="24">
        <f t="shared" si="106"/>
        <v>2.9</v>
      </c>
      <c r="AS304" s="76"/>
      <c r="AT304" s="1"/>
      <c r="AU304" s="1"/>
      <c r="AV304" s="38"/>
      <c r="AW304" s="38"/>
      <c r="AZ304" s="1"/>
      <c r="BA304" s="1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9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9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9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9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9"/>
      <c r="GH304" s="8"/>
      <c r="GI304" s="8"/>
    </row>
    <row r="305" spans="1:191" s="2" customFormat="1" ht="17.100000000000001" customHeight="1">
      <c r="A305" s="33" t="s">
        <v>282</v>
      </c>
      <c r="B305" s="24">
        <v>176</v>
      </c>
      <c r="C305" s="24">
        <v>167.2</v>
      </c>
      <c r="D305" s="4">
        <f t="shared" si="99"/>
        <v>0.95</v>
      </c>
      <c r="E305" s="10">
        <v>15</v>
      </c>
      <c r="F305" s="5">
        <v>1</v>
      </c>
      <c r="G305" s="5">
        <v>10</v>
      </c>
      <c r="H305" s="5"/>
      <c r="I305" s="5"/>
      <c r="J305" s="4">
        <f t="shared" si="116"/>
        <v>0.85686129066440608</v>
      </c>
      <c r="K305" s="5">
        <v>10</v>
      </c>
      <c r="L305" s="5" t="s">
        <v>394</v>
      </c>
      <c r="M305" s="5" t="s">
        <v>394</v>
      </c>
      <c r="N305" s="4" t="s">
        <v>394</v>
      </c>
      <c r="O305" s="5"/>
      <c r="P305" s="5" t="s">
        <v>394</v>
      </c>
      <c r="Q305" s="5" t="s">
        <v>394</v>
      </c>
      <c r="R305" s="5" t="s">
        <v>394</v>
      </c>
      <c r="S305" s="5"/>
      <c r="T305" s="5" t="s">
        <v>394</v>
      </c>
      <c r="U305" s="5" t="s">
        <v>394</v>
      </c>
      <c r="V305" s="5" t="s">
        <v>394</v>
      </c>
      <c r="W305" s="5"/>
      <c r="X305" s="5"/>
      <c r="Y305" s="5"/>
      <c r="Z305" s="4">
        <f t="shared" si="117"/>
        <v>0.78036025566531098</v>
      </c>
      <c r="AA305" s="5">
        <v>15</v>
      </c>
      <c r="AB305" s="31">
        <f t="shared" si="100"/>
        <v>0.89048033483247446</v>
      </c>
      <c r="AC305" s="32">
        <v>940</v>
      </c>
      <c r="AD305" s="24">
        <f t="shared" si="101"/>
        <v>256.36363636363637</v>
      </c>
      <c r="AE305" s="24">
        <f t="shared" si="115"/>
        <v>228.3</v>
      </c>
      <c r="AF305" s="24">
        <f t="shared" si="103"/>
        <v>-28.063636363636363</v>
      </c>
      <c r="AG305" s="24"/>
      <c r="AH305" s="24">
        <v>91</v>
      </c>
      <c r="AI305" s="24">
        <v>74.8</v>
      </c>
      <c r="AJ305" s="24">
        <f t="shared" si="104"/>
        <v>62.5</v>
      </c>
      <c r="AK305" s="68"/>
      <c r="AL305" s="40"/>
      <c r="AM305" s="40"/>
      <c r="AN305" s="68"/>
      <c r="AO305" s="68"/>
      <c r="AP305" s="24">
        <f t="shared" si="105"/>
        <v>62.5</v>
      </c>
      <c r="AQ305" s="24"/>
      <c r="AR305" s="24">
        <f t="shared" si="106"/>
        <v>62.5</v>
      </c>
      <c r="AS305" s="76"/>
      <c r="AT305" s="1"/>
      <c r="AU305" s="1"/>
      <c r="AV305" s="38"/>
      <c r="AW305" s="38"/>
      <c r="AZ305" s="1"/>
      <c r="BA305" s="1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9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9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9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9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9"/>
      <c r="GH305" s="8"/>
      <c r="GI305" s="8"/>
    </row>
    <row r="306" spans="1:191" s="2" customFormat="1" ht="17.100000000000001" customHeight="1">
      <c r="A306" s="33" t="s">
        <v>283</v>
      </c>
      <c r="B306" s="24">
        <v>803.7</v>
      </c>
      <c r="C306" s="24">
        <v>868.4</v>
      </c>
      <c r="D306" s="4">
        <f t="shared" si="99"/>
        <v>1.0805026751275351</v>
      </c>
      <c r="E306" s="10">
        <v>15</v>
      </c>
      <c r="F306" s="5">
        <v>1</v>
      </c>
      <c r="G306" s="5">
        <v>10</v>
      </c>
      <c r="H306" s="5"/>
      <c r="I306" s="5"/>
      <c r="J306" s="4">
        <f t="shared" si="116"/>
        <v>0.85686129066440608</v>
      </c>
      <c r="K306" s="5">
        <v>10</v>
      </c>
      <c r="L306" s="5" t="s">
        <v>394</v>
      </c>
      <c r="M306" s="5" t="s">
        <v>394</v>
      </c>
      <c r="N306" s="4" t="s">
        <v>394</v>
      </c>
      <c r="O306" s="5"/>
      <c r="P306" s="5" t="s">
        <v>394</v>
      </c>
      <c r="Q306" s="5" t="s">
        <v>394</v>
      </c>
      <c r="R306" s="5" t="s">
        <v>394</v>
      </c>
      <c r="S306" s="5"/>
      <c r="T306" s="5" t="s">
        <v>394</v>
      </c>
      <c r="U306" s="5" t="s">
        <v>394</v>
      </c>
      <c r="V306" s="5" t="s">
        <v>394</v>
      </c>
      <c r="W306" s="5"/>
      <c r="X306" s="5"/>
      <c r="Y306" s="5"/>
      <c r="Z306" s="4">
        <f t="shared" si="117"/>
        <v>0.78036025566531098</v>
      </c>
      <c r="AA306" s="5">
        <v>15</v>
      </c>
      <c r="AB306" s="31">
        <f t="shared" si="100"/>
        <v>0.92963113737073499</v>
      </c>
      <c r="AC306" s="32">
        <v>45</v>
      </c>
      <c r="AD306" s="24">
        <f t="shared" si="101"/>
        <v>12.272727272727273</v>
      </c>
      <c r="AE306" s="24">
        <f t="shared" si="115"/>
        <v>11.4</v>
      </c>
      <c r="AF306" s="24">
        <f t="shared" si="103"/>
        <v>-0.87272727272727302</v>
      </c>
      <c r="AG306" s="24"/>
      <c r="AH306" s="24">
        <v>4.3</v>
      </c>
      <c r="AI306" s="24">
        <v>3.5</v>
      </c>
      <c r="AJ306" s="24">
        <f t="shared" si="104"/>
        <v>3.6</v>
      </c>
      <c r="AK306" s="68"/>
      <c r="AL306" s="40"/>
      <c r="AM306" s="40"/>
      <c r="AN306" s="68"/>
      <c r="AO306" s="68"/>
      <c r="AP306" s="24">
        <f t="shared" si="105"/>
        <v>3.6</v>
      </c>
      <c r="AQ306" s="24"/>
      <c r="AR306" s="24">
        <f t="shared" si="106"/>
        <v>3.6</v>
      </c>
      <c r="AS306" s="76"/>
      <c r="AT306" s="1"/>
      <c r="AU306" s="1"/>
      <c r="AV306" s="38"/>
      <c r="AW306" s="38"/>
      <c r="AZ306" s="1"/>
      <c r="BA306" s="1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9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9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9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9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9"/>
      <c r="GH306" s="8"/>
      <c r="GI306" s="8"/>
    </row>
    <row r="307" spans="1:191" s="2" customFormat="1" ht="17.100000000000001" customHeight="1">
      <c r="A307" s="33" t="s">
        <v>284</v>
      </c>
      <c r="B307" s="24">
        <v>3388.6</v>
      </c>
      <c r="C307" s="24">
        <v>2493</v>
      </c>
      <c r="D307" s="4">
        <f t="shared" si="99"/>
        <v>0.73570205984772474</v>
      </c>
      <c r="E307" s="10">
        <v>15</v>
      </c>
      <c r="F307" s="5">
        <v>1</v>
      </c>
      <c r="G307" s="5">
        <v>10</v>
      </c>
      <c r="H307" s="5"/>
      <c r="I307" s="5"/>
      <c r="J307" s="4">
        <f t="shared" si="116"/>
        <v>0.85686129066440608</v>
      </c>
      <c r="K307" s="5">
        <v>10</v>
      </c>
      <c r="L307" s="5" t="s">
        <v>394</v>
      </c>
      <c r="M307" s="5" t="s">
        <v>394</v>
      </c>
      <c r="N307" s="4" t="s">
        <v>394</v>
      </c>
      <c r="O307" s="5"/>
      <c r="P307" s="5" t="s">
        <v>394</v>
      </c>
      <c r="Q307" s="5" t="s">
        <v>394</v>
      </c>
      <c r="R307" s="5" t="s">
        <v>394</v>
      </c>
      <c r="S307" s="5"/>
      <c r="T307" s="5" t="s">
        <v>394</v>
      </c>
      <c r="U307" s="5" t="s">
        <v>394</v>
      </c>
      <c r="V307" s="5" t="s">
        <v>394</v>
      </c>
      <c r="W307" s="5"/>
      <c r="X307" s="5"/>
      <c r="Y307" s="5"/>
      <c r="Z307" s="4">
        <f t="shared" si="117"/>
        <v>0.78036025566531098</v>
      </c>
      <c r="AA307" s="5">
        <v>15</v>
      </c>
      <c r="AB307" s="31">
        <f t="shared" si="100"/>
        <v>0.826190952786792</v>
      </c>
      <c r="AC307" s="32">
        <v>146</v>
      </c>
      <c r="AD307" s="24">
        <f t="shared" si="101"/>
        <v>39.81818181818182</v>
      </c>
      <c r="AE307" s="24">
        <f t="shared" si="115"/>
        <v>32.9</v>
      </c>
      <c r="AF307" s="24">
        <f t="shared" si="103"/>
        <v>-6.9181818181818215</v>
      </c>
      <c r="AG307" s="24"/>
      <c r="AH307" s="24">
        <v>11.8</v>
      </c>
      <c r="AI307" s="24">
        <v>11.5</v>
      </c>
      <c r="AJ307" s="24">
        <f t="shared" si="104"/>
        <v>9.6</v>
      </c>
      <c r="AK307" s="40"/>
      <c r="AL307" s="40"/>
      <c r="AM307" s="40"/>
      <c r="AN307" s="68"/>
      <c r="AO307" s="68"/>
      <c r="AP307" s="24">
        <f t="shared" si="105"/>
        <v>9.6</v>
      </c>
      <c r="AQ307" s="24"/>
      <c r="AR307" s="24">
        <f t="shared" si="106"/>
        <v>9.6</v>
      </c>
      <c r="AS307" s="76"/>
      <c r="AT307" s="1"/>
      <c r="AU307" s="1"/>
      <c r="AV307" s="38"/>
      <c r="AW307" s="38"/>
      <c r="AZ307" s="1"/>
      <c r="BA307" s="1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9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9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9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9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9"/>
      <c r="GH307" s="8"/>
      <c r="GI307" s="8"/>
    </row>
    <row r="308" spans="1:191" s="2" customFormat="1" ht="17.100000000000001" customHeight="1">
      <c r="A308" s="33" t="s">
        <v>285</v>
      </c>
      <c r="B308" s="24">
        <v>10644.3</v>
      </c>
      <c r="C308" s="24">
        <v>7367.1</v>
      </c>
      <c r="D308" s="4">
        <f t="shared" si="99"/>
        <v>0.69211690764070921</v>
      </c>
      <c r="E308" s="10">
        <v>15</v>
      </c>
      <c r="F308" s="5">
        <v>1</v>
      </c>
      <c r="G308" s="5">
        <v>10</v>
      </c>
      <c r="H308" s="5"/>
      <c r="I308" s="5"/>
      <c r="J308" s="4">
        <f t="shared" si="116"/>
        <v>0.85686129066440608</v>
      </c>
      <c r="K308" s="5">
        <v>10</v>
      </c>
      <c r="L308" s="5" t="s">
        <v>394</v>
      </c>
      <c r="M308" s="5" t="s">
        <v>394</v>
      </c>
      <c r="N308" s="4" t="s">
        <v>394</v>
      </c>
      <c r="O308" s="5"/>
      <c r="P308" s="5" t="s">
        <v>394</v>
      </c>
      <c r="Q308" s="5" t="s">
        <v>394</v>
      </c>
      <c r="R308" s="5" t="s">
        <v>394</v>
      </c>
      <c r="S308" s="5"/>
      <c r="T308" s="5" t="s">
        <v>394</v>
      </c>
      <c r="U308" s="5" t="s">
        <v>394</v>
      </c>
      <c r="V308" s="5" t="s">
        <v>394</v>
      </c>
      <c r="W308" s="5"/>
      <c r="X308" s="5"/>
      <c r="Y308" s="5"/>
      <c r="Z308" s="4">
        <f t="shared" si="117"/>
        <v>0.78036025566531098</v>
      </c>
      <c r="AA308" s="5">
        <v>15</v>
      </c>
      <c r="AB308" s="31">
        <f t="shared" si="100"/>
        <v>0.81311540712468722</v>
      </c>
      <c r="AC308" s="32">
        <v>39</v>
      </c>
      <c r="AD308" s="24">
        <f t="shared" si="101"/>
        <v>10.636363636363637</v>
      </c>
      <c r="AE308" s="24">
        <f t="shared" si="115"/>
        <v>8.6</v>
      </c>
      <c r="AF308" s="24">
        <f t="shared" si="103"/>
        <v>-2.036363636363637</v>
      </c>
      <c r="AG308" s="24"/>
      <c r="AH308" s="24">
        <v>2.9</v>
      </c>
      <c r="AI308" s="24">
        <v>2.5</v>
      </c>
      <c r="AJ308" s="24">
        <f t="shared" si="104"/>
        <v>3.2</v>
      </c>
      <c r="AK308" s="40"/>
      <c r="AL308" s="40"/>
      <c r="AM308" s="40"/>
      <c r="AN308" s="68"/>
      <c r="AO308" s="68"/>
      <c r="AP308" s="24">
        <f t="shared" si="105"/>
        <v>3.2</v>
      </c>
      <c r="AQ308" s="24"/>
      <c r="AR308" s="24">
        <f t="shared" si="106"/>
        <v>3.2</v>
      </c>
      <c r="AS308" s="76"/>
      <c r="AT308" s="1"/>
      <c r="AU308" s="1"/>
      <c r="AV308" s="38"/>
      <c r="AW308" s="38"/>
      <c r="AZ308" s="1"/>
      <c r="BA308" s="1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9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9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9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9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9"/>
      <c r="GH308" s="8"/>
      <c r="GI308" s="8"/>
    </row>
    <row r="309" spans="1:191" s="2" customFormat="1" ht="17.100000000000001" customHeight="1">
      <c r="A309" s="33" t="s">
        <v>286</v>
      </c>
      <c r="B309" s="24">
        <v>4837.2</v>
      </c>
      <c r="C309" s="24">
        <v>5008.2</v>
      </c>
      <c r="D309" s="4">
        <f t="shared" si="99"/>
        <v>1.0353510295212107</v>
      </c>
      <c r="E309" s="10">
        <v>15</v>
      </c>
      <c r="F309" s="5">
        <v>1</v>
      </c>
      <c r="G309" s="5">
        <v>10</v>
      </c>
      <c r="H309" s="5"/>
      <c r="I309" s="5"/>
      <c r="J309" s="4">
        <f t="shared" si="116"/>
        <v>0.85686129066440608</v>
      </c>
      <c r="K309" s="5">
        <v>10</v>
      </c>
      <c r="L309" s="5" t="s">
        <v>394</v>
      </c>
      <c r="M309" s="5" t="s">
        <v>394</v>
      </c>
      <c r="N309" s="4" t="s">
        <v>394</v>
      </c>
      <c r="O309" s="5"/>
      <c r="P309" s="5" t="s">
        <v>394</v>
      </c>
      <c r="Q309" s="5" t="s">
        <v>394</v>
      </c>
      <c r="R309" s="5" t="s">
        <v>394</v>
      </c>
      <c r="S309" s="5"/>
      <c r="T309" s="5" t="s">
        <v>394</v>
      </c>
      <c r="U309" s="5" t="s">
        <v>394</v>
      </c>
      <c r="V309" s="5" t="s">
        <v>394</v>
      </c>
      <c r="W309" s="5"/>
      <c r="X309" s="5"/>
      <c r="Y309" s="5"/>
      <c r="Z309" s="4">
        <f t="shared" si="117"/>
        <v>0.78036025566531098</v>
      </c>
      <c r="AA309" s="5">
        <v>15</v>
      </c>
      <c r="AB309" s="31">
        <f t="shared" si="100"/>
        <v>0.91608564368883771</v>
      </c>
      <c r="AC309" s="32">
        <v>19</v>
      </c>
      <c r="AD309" s="24">
        <f t="shared" si="101"/>
        <v>5.1818181818181817</v>
      </c>
      <c r="AE309" s="24">
        <f t="shared" si="115"/>
        <v>4.7</v>
      </c>
      <c r="AF309" s="24">
        <f t="shared" si="103"/>
        <v>-0.48181818181818148</v>
      </c>
      <c r="AG309" s="24"/>
      <c r="AH309" s="24">
        <v>1.7</v>
      </c>
      <c r="AI309" s="24">
        <v>2</v>
      </c>
      <c r="AJ309" s="24">
        <f t="shared" si="104"/>
        <v>1</v>
      </c>
      <c r="AK309" s="40"/>
      <c r="AL309" s="40"/>
      <c r="AM309" s="40"/>
      <c r="AN309" s="68"/>
      <c r="AO309" s="68"/>
      <c r="AP309" s="24">
        <f t="shared" si="105"/>
        <v>1</v>
      </c>
      <c r="AQ309" s="24"/>
      <c r="AR309" s="24">
        <f t="shared" si="106"/>
        <v>1</v>
      </c>
      <c r="AS309" s="76"/>
      <c r="AT309" s="1"/>
      <c r="AU309" s="1"/>
      <c r="AV309" s="38"/>
      <c r="AW309" s="38"/>
      <c r="AZ309" s="1"/>
      <c r="BA309" s="1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9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9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9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9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9"/>
      <c r="GH309" s="8"/>
      <c r="GI309" s="8"/>
    </row>
    <row r="310" spans="1:191" s="2" customFormat="1" ht="17.100000000000001" customHeight="1">
      <c r="A310" s="33" t="s">
        <v>287</v>
      </c>
      <c r="B310" s="24">
        <v>291.39999999999998</v>
      </c>
      <c r="C310" s="24">
        <v>365.7</v>
      </c>
      <c r="D310" s="4">
        <f t="shared" si="99"/>
        <v>1.2054975978037061</v>
      </c>
      <c r="E310" s="10">
        <v>15</v>
      </c>
      <c r="F310" s="5">
        <v>1</v>
      </c>
      <c r="G310" s="5">
        <v>10</v>
      </c>
      <c r="H310" s="5"/>
      <c r="I310" s="5"/>
      <c r="J310" s="4">
        <f t="shared" si="116"/>
        <v>0.85686129066440608</v>
      </c>
      <c r="K310" s="5">
        <v>10</v>
      </c>
      <c r="L310" s="5" t="s">
        <v>394</v>
      </c>
      <c r="M310" s="5" t="s">
        <v>394</v>
      </c>
      <c r="N310" s="4" t="s">
        <v>394</v>
      </c>
      <c r="O310" s="5"/>
      <c r="P310" s="5" t="s">
        <v>394</v>
      </c>
      <c r="Q310" s="5" t="s">
        <v>394</v>
      </c>
      <c r="R310" s="5" t="s">
        <v>394</v>
      </c>
      <c r="S310" s="5"/>
      <c r="T310" s="5" t="s">
        <v>394</v>
      </c>
      <c r="U310" s="5" t="s">
        <v>394</v>
      </c>
      <c r="V310" s="5" t="s">
        <v>394</v>
      </c>
      <c r="W310" s="5"/>
      <c r="X310" s="5"/>
      <c r="Y310" s="5"/>
      <c r="Z310" s="4">
        <f t="shared" si="117"/>
        <v>0.78036025566531098</v>
      </c>
      <c r="AA310" s="5">
        <v>15</v>
      </c>
      <c r="AB310" s="31">
        <f t="shared" si="100"/>
        <v>0.96712961417358623</v>
      </c>
      <c r="AC310" s="32">
        <v>654</v>
      </c>
      <c r="AD310" s="24">
        <f t="shared" si="101"/>
        <v>178.36363636363637</v>
      </c>
      <c r="AE310" s="24">
        <f t="shared" si="115"/>
        <v>172.5</v>
      </c>
      <c r="AF310" s="24">
        <f t="shared" si="103"/>
        <v>-5.863636363636374</v>
      </c>
      <c r="AG310" s="24"/>
      <c r="AH310" s="24">
        <v>49.9</v>
      </c>
      <c r="AI310" s="24">
        <v>63.2</v>
      </c>
      <c r="AJ310" s="24">
        <f t="shared" si="104"/>
        <v>59.4</v>
      </c>
      <c r="AK310" s="68"/>
      <c r="AL310" s="40"/>
      <c r="AM310" s="40"/>
      <c r="AN310" s="68"/>
      <c r="AO310" s="68"/>
      <c r="AP310" s="24">
        <f t="shared" si="105"/>
        <v>59.4</v>
      </c>
      <c r="AQ310" s="24"/>
      <c r="AR310" s="24">
        <f t="shared" si="106"/>
        <v>59.4</v>
      </c>
      <c r="AS310" s="76"/>
      <c r="AT310" s="1"/>
      <c r="AU310" s="1"/>
      <c r="AV310" s="38"/>
      <c r="AW310" s="38"/>
      <c r="AZ310" s="1"/>
      <c r="BA310" s="1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9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9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9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9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9"/>
      <c r="GH310" s="8"/>
      <c r="GI310" s="8"/>
    </row>
    <row r="311" spans="1:191" s="2" customFormat="1" ht="17.100000000000001" customHeight="1">
      <c r="A311" s="33" t="s">
        <v>288</v>
      </c>
      <c r="B311" s="24">
        <v>837.2</v>
      </c>
      <c r="C311" s="24">
        <v>395.3</v>
      </c>
      <c r="D311" s="4">
        <f t="shared" si="99"/>
        <v>0.47216913521261344</v>
      </c>
      <c r="E311" s="10">
        <v>15</v>
      </c>
      <c r="F311" s="5">
        <v>1</v>
      </c>
      <c r="G311" s="5">
        <v>10</v>
      </c>
      <c r="H311" s="5"/>
      <c r="I311" s="5"/>
      <c r="J311" s="4">
        <f t="shared" si="116"/>
        <v>0.85686129066440608</v>
      </c>
      <c r="K311" s="5">
        <v>10</v>
      </c>
      <c r="L311" s="5" t="s">
        <v>394</v>
      </c>
      <c r="M311" s="5" t="s">
        <v>394</v>
      </c>
      <c r="N311" s="4" t="s">
        <v>394</v>
      </c>
      <c r="O311" s="5"/>
      <c r="P311" s="5" t="s">
        <v>394</v>
      </c>
      <c r="Q311" s="5" t="s">
        <v>394</v>
      </c>
      <c r="R311" s="5" t="s">
        <v>394</v>
      </c>
      <c r="S311" s="5"/>
      <c r="T311" s="5" t="s">
        <v>394</v>
      </c>
      <c r="U311" s="5" t="s">
        <v>394</v>
      </c>
      <c r="V311" s="5" t="s">
        <v>394</v>
      </c>
      <c r="W311" s="5"/>
      <c r="X311" s="5"/>
      <c r="Y311" s="5"/>
      <c r="Z311" s="4">
        <f t="shared" si="117"/>
        <v>0.78036025566531098</v>
      </c>
      <c r="AA311" s="5">
        <v>15</v>
      </c>
      <c r="AB311" s="31">
        <f t="shared" si="100"/>
        <v>0.74713107539625856</v>
      </c>
      <c r="AC311" s="32">
        <v>1144</v>
      </c>
      <c r="AD311" s="24">
        <f t="shared" si="101"/>
        <v>312</v>
      </c>
      <c r="AE311" s="24">
        <f t="shared" si="115"/>
        <v>233.1</v>
      </c>
      <c r="AF311" s="24">
        <f t="shared" si="103"/>
        <v>-78.900000000000006</v>
      </c>
      <c r="AG311" s="24"/>
      <c r="AH311" s="24">
        <v>55.3</v>
      </c>
      <c r="AI311" s="24">
        <v>100.6</v>
      </c>
      <c r="AJ311" s="24">
        <f t="shared" si="104"/>
        <v>77.2</v>
      </c>
      <c r="AK311" s="68"/>
      <c r="AL311" s="40"/>
      <c r="AM311" s="40"/>
      <c r="AN311" s="68"/>
      <c r="AO311" s="68"/>
      <c r="AP311" s="24">
        <f t="shared" si="105"/>
        <v>77.2</v>
      </c>
      <c r="AQ311" s="24"/>
      <c r="AR311" s="24">
        <f t="shared" si="106"/>
        <v>77.2</v>
      </c>
      <c r="AS311" s="76"/>
      <c r="AT311" s="1"/>
      <c r="AU311" s="1"/>
      <c r="AV311" s="38"/>
      <c r="AW311" s="38"/>
      <c r="AZ311" s="1"/>
      <c r="BA311" s="1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9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9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9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9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9"/>
      <c r="GH311" s="8"/>
      <c r="GI311" s="8"/>
    </row>
    <row r="312" spans="1:191" s="2" customFormat="1" ht="17.100000000000001" customHeight="1">
      <c r="A312" s="33" t="s">
        <v>289</v>
      </c>
      <c r="B312" s="24">
        <v>914.8</v>
      </c>
      <c r="C312" s="24">
        <v>476.2</v>
      </c>
      <c r="D312" s="4">
        <f t="shared" si="99"/>
        <v>0.52055094009619596</v>
      </c>
      <c r="E312" s="10">
        <v>15</v>
      </c>
      <c r="F312" s="5">
        <v>1</v>
      </c>
      <c r="G312" s="5">
        <v>10</v>
      </c>
      <c r="H312" s="5"/>
      <c r="I312" s="5"/>
      <c r="J312" s="4">
        <f t="shared" si="116"/>
        <v>0.85686129066440608</v>
      </c>
      <c r="K312" s="5">
        <v>10</v>
      </c>
      <c r="L312" s="5" t="s">
        <v>394</v>
      </c>
      <c r="M312" s="5" t="s">
        <v>394</v>
      </c>
      <c r="N312" s="4" t="s">
        <v>394</v>
      </c>
      <c r="O312" s="5"/>
      <c r="P312" s="5" t="s">
        <v>394</v>
      </c>
      <c r="Q312" s="5" t="s">
        <v>394</v>
      </c>
      <c r="R312" s="5" t="s">
        <v>394</v>
      </c>
      <c r="S312" s="5"/>
      <c r="T312" s="5" t="s">
        <v>394</v>
      </c>
      <c r="U312" s="5" t="s">
        <v>394</v>
      </c>
      <c r="V312" s="5" t="s">
        <v>394</v>
      </c>
      <c r="W312" s="5"/>
      <c r="X312" s="5"/>
      <c r="Y312" s="5"/>
      <c r="Z312" s="4">
        <f t="shared" si="117"/>
        <v>0.78036025566531098</v>
      </c>
      <c r="AA312" s="5">
        <v>15</v>
      </c>
      <c r="AB312" s="31">
        <f t="shared" si="100"/>
        <v>0.76164561686133325</v>
      </c>
      <c r="AC312" s="32">
        <v>1173</v>
      </c>
      <c r="AD312" s="24">
        <f t="shared" si="101"/>
        <v>319.90909090909093</v>
      </c>
      <c r="AE312" s="24">
        <f t="shared" si="115"/>
        <v>243.7</v>
      </c>
      <c r="AF312" s="24">
        <f t="shared" si="103"/>
        <v>-76.209090909090946</v>
      </c>
      <c r="AG312" s="24"/>
      <c r="AH312" s="24">
        <v>88.2</v>
      </c>
      <c r="AI312" s="24">
        <v>88.7</v>
      </c>
      <c r="AJ312" s="24">
        <f t="shared" si="104"/>
        <v>66.8</v>
      </c>
      <c r="AK312" s="68"/>
      <c r="AL312" s="40"/>
      <c r="AM312" s="40"/>
      <c r="AN312" s="68"/>
      <c r="AO312" s="68"/>
      <c r="AP312" s="24">
        <f t="shared" si="105"/>
        <v>66.8</v>
      </c>
      <c r="AQ312" s="24"/>
      <c r="AR312" s="24">
        <f t="shared" si="106"/>
        <v>66.8</v>
      </c>
      <c r="AS312" s="76"/>
      <c r="AT312" s="1"/>
      <c r="AU312" s="1"/>
      <c r="AV312" s="38"/>
      <c r="AW312" s="38"/>
      <c r="AZ312" s="1"/>
      <c r="BA312" s="1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9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9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9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9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9"/>
      <c r="GH312" s="8"/>
      <c r="GI312" s="8"/>
    </row>
    <row r="313" spans="1:191" s="2" customFormat="1" ht="17.100000000000001" customHeight="1">
      <c r="A313" s="33" t="s">
        <v>290</v>
      </c>
      <c r="B313" s="24">
        <v>7638.6</v>
      </c>
      <c r="C313" s="24">
        <v>8032.8</v>
      </c>
      <c r="D313" s="4">
        <f t="shared" si="99"/>
        <v>1.0516063152933783</v>
      </c>
      <c r="E313" s="10">
        <v>15</v>
      </c>
      <c r="F313" s="5">
        <v>1</v>
      </c>
      <c r="G313" s="5">
        <v>10</v>
      </c>
      <c r="H313" s="5"/>
      <c r="I313" s="5"/>
      <c r="J313" s="4">
        <f t="shared" si="116"/>
        <v>0.85686129066440608</v>
      </c>
      <c r="K313" s="5">
        <v>10</v>
      </c>
      <c r="L313" s="5" t="s">
        <v>394</v>
      </c>
      <c r="M313" s="5" t="s">
        <v>394</v>
      </c>
      <c r="N313" s="4" t="s">
        <v>394</v>
      </c>
      <c r="O313" s="5"/>
      <c r="P313" s="5" t="s">
        <v>394</v>
      </c>
      <c r="Q313" s="5" t="s">
        <v>394</v>
      </c>
      <c r="R313" s="5" t="s">
        <v>394</v>
      </c>
      <c r="S313" s="5"/>
      <c r="T313" s="5" t="s">
        <v>394</v>
      </c>
      <c r="U313" s="5" t="s">
        <v>394</v>
      </c>
      <c r="V313" s="5" t="s">
        <v>394</v>
      </c>
      <c r="W313" s="5"/>
      <c r="X313" s="5"/>
      <c r="Y313" s="5"/>
      <c r="Z313" s="4">
        <f t="shared" si="117"/>
        <v>0.78036025566531098</v>
      </c>
      <c r="AA313" s="5">
        <v>15</v>
      </c>
      <c r="AB313" s="31">
        <f t="shared" si="100"/>
        <v>0.920962229420488</v>
      </c>
      <c r="AC313" s="32">
        <v>62</v>
      </c>
      <c r="AD313" s="24">
        <f t="shared" si="101"/>
        <v>16.90909090909091</v>
      </c>
      <c r="AE313" s="24">
        <f t="shared" si="115"/>
        <v>15.6</v>
      </c>
      <c r="AF313" s="24">
        <f t="shared" si="103"/>
        <v>-1.3090909090909104</v>
      </c>
      <c r="AG313" s="24"/>
      <c r="AH313" s="24">
        <v>5.5</v>
      </c>
      <c r="AI313" s="24">
        <v>6.3</v>
      </c>
      <c r="AJ313" s="24">
        <f t="shared" si="104"/>
        <v>3.8</v>
      </c>
      <c r="AK313" s="40"/>
      <c r="AL313" s="40"/>
      <c r="AM313" s="40"/>
      <c r="AN313" s="68"/>
      <c r="AO313" s="68"/>
      <c r="AP313" s="24">
        <f t="shared" si="105"/>
        <v>3.8</v>
      </c>
      <c r="AQ313" s="24"/>
      <c r="AR313" s="24">
        <f t="shared" si="106"/>
        <v>3.8</v>
      </c>
      <c r="AS313" s="76"/>
      <c r="AT313" s="1"/>
      <c r="AU313" s="1"/>
      <c r="AV313" s="38"/>
      <c r="AW313" s="38"/>
      <c r="AZ313" s="1"/>
      <c r="BA313" s="1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9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9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9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9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9"/>
      <c r="GH313" s="8"/>
      <c r="GI313" s="8"/>
    </row>
    <row r="314" spans="1:191" s="2" customFormat="1" ht="17.100000000000001" customHeight="1">
      <c r="A314" s="33" t="s">
        <v>291</v>
      </c>
      <c r="B314" s="24">
        <v>1634.4</v>
      </c>
      <c r="C314" s="24">
        <v>1541.1</v>
      </c>
      <c r="D314" s="4">
        <f t="shared" si="99"/>
        <v>0.94291483113069008</v>
      </c>
      <c r="E314" s="10">
        <v>15</v>
      </c>
      <c r="F314" s="5">
        <v>1</v>
      </c>
      <c r="G314" s="5">
        <v>10</v>
      </c>
      <c r="H314" s="5"/>
      <c r="I314" s="5"/>
      <c r="J314" s="4">
        <f t="shared" si="116"/>
        <v>0.85686129066440608</v>
      </c>
      <c r="K314" s="5">
        <v>10</v>
      </c>
      <c r="L314" s="5" t="s">
        <v>394</v>
      </c>
      <c r="M314" s="5" t="s">
        <v>394</v>
      </c>
      <c r="N314" s="4" t="s">
        <v>394</v>
      </c>
      <c r="O314" s="5"/>
      <c r="P314" s="5" t="s">
        <v>394</v>
      </c>
      <c r="Q314" s="5" t="s">
        <v>394</v>
      </c>
      <c r="R314" s="5" t="s">
        <v>394</v>
      </c>
      <c r="S314" s="5"/>
      <c r="T314" s="5" t="s">
        <v>394</v>
      </c>
      <c r="U314" s="5" t="s">
        <v>394</v>
      </c>
      <c r="V314" s="5" t="s">
        <v>394</v>
      </c>
      <c r="W314" s="5"/>
      <c r="X314" s="5"/>
      <c r="Y314" s="5"/>
      <c r="Z314" s="4">
        <f t="shared" si="117"/>
        <v>0.78036025566531098</v>
      </c>
      <c r="AA314" s="5">
        <v>15</v>
      </c>
      <c r="AB314" s="31">
        <f t="shared" si="100"/>
        <v>0.88835478417168146</v>
      </c>
      <c r="AC314" s="32">
        <v>118</v>
      </c>
      <c r="AD314" s="24">
        <f t="shared" si="101"/>
        <v>32.18181818181818</v>
      </c>
      <c r="AE314" s="24">
        <f t="shared" si="115"/>
        <v>28.6</v>
      </c>
      <c r="AF314" s="24">
        <f t="shared" si="103"/>
        <v>-3.5818181818181785</v>
      </c>
      <c r="AG314" s="24"/>
      <c r="AH314" s="24">
        <v>8.1</v>
      </c>
      <c r="AI314" s="24">
        <v>11.7</v>
      </c>
      <c r="AJ314" s="24">
        <f t="shared" si="104"/>
        <v>8.8000000000000007</v>
      </c>
      <c r="AK314" s="68"/>
      <c r="AL314" s="40"/>
      <c r="AM314" s="40"/>
      <c r="AN314" s="68"/>
      <c r="AO314" s="68"/>
      <c r="AP314" s="24">
        <f t="shared" si="105"/>
        <v>8.8000000000000007</v>
      </c>
      <c r="AQ314" s="24"/>
      <c r="AR314" s="24">
        <f t="shared" si="106"/>
        <v>8.8000000000000007</v>
      </c>
      <c r="AS314" s="76"/>
      <c r="AT314" s="1"/>
      <c r="AU314" s="1"/>
      <c r="AV314" s="38"/>
      <c r="AW314" s="38"/>
      <c r="AZ314" s="1"/>
      <c r="BA314" s="1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9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9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9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9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9"/>
      <c r="GH314" s="8"/>
      <c r="GI314" s="8"/>
    </row>
    <row r="315" spans="1:191" s="2" customFormat="1" ht="17.100000000000001" customHeight="1">
      <c r="A315" s="33" t="s">
        <v>292</v>
      </c>
      <c r="B315" s="24">
        <v>1420.8</v>
      </c>
      <c r="C315" s="24">
        <v>1221.5</v>
      </c>
      <c r="D315" s="4">
        <f t="shared" ref="D315:D378" si="118">IF(E315=0,0,IF(B315=0,1,IF(C315&lt;0,0,IF(C315/B315&gt;1.2,IF((C315/B315-1.2)*0.1+1.2&gt;1.3,1.3,(C315/B315-1.2)*0.1+1.2),C315/B315))))</f>
        <v>0.8597269144144144</v>
      </c>
      <c r="E315" s="10">
        <v>15</v>
      </c>
      <c r="F315" s="5">
        <v>1</v>
      </c>
      <c r="G315" s="5">
        <v>10</v>
      </c>
      <c r="H315" s="5"/>
      <c r="I315" s="5"/>
      <c r="J315" s="4">
        <f t="shared" si="116"/>
        <v>0.85686129066440608</v>
      </c>
      <c r="K315" s="5">
        <v>10</v>
      </c>
      <c r="L315" s="5" t="s">
        <v>394</v>
      </c>
      <c r="M315" s="5" t="s">
        <v>394</v>
      </c>
      <c r="N315" s="4" t="s">
        <v>394</v>
      </c>
      <c r="O315" s="5"/>
      <c r="P315" s="5" t="s">
        <v>394</v>
      </c>
      <c r="Q315" s="5" t="s">
        <v>394</v>
      </c>
      <c r="R315" s="5" t="s">
        <v>394</v>
      </c>
      <c r="S315" s="5"/>
      <c r="T315" s="5" t="s">
        <v>394</v>
      </c>
      <c r="U315" s="5" t="s">
        <v>394</v>
      </c>
      <c r="V315" s="5" t="s">
        <v>394</v>
      </c>
      <c r="W315" s="5"/>
      <c r="X315" s="5"/>
      <c r="Y315" s="5"/>
      <c r="Z315" s="4">
        <f t="shared" si="117"/>
        <v>0.78036025566531098</v>
      </c>
      <c r="AA315" s="5">
        <v>15</v>
      </c>
      <c r="AB315" s="31">
        <f t="shared" ref="AB315:AB378" si="119">(D315*E315+F315*G315+J315*K315+Z315*AA315)/(E315+G315+K315+AA315)</f>
        <v>0.86339840915679889</v>
      </c>
      <c r="AC315" s="32">
        <v>461</v>
      </c>
      <c r="AD315" s="24">
        <f t="shared" ref="AD315:AD378" si="120">AC315/11*3</f>
        <v>125.72727272727272</v>
      </c>
      <c r="AE315" s="24">
        <f t="shared" si="115"/>
        <v>108.6</v>
      </c>
      <c r="AF315" s="24">
        <f t="shared" ref="AF315:AF378" si="121">AE315-AD315</f>
        <v>-17.127272727272725</v>
      </c>
      <c r="AG315" s="24"/>
      <c r="AH315" s="24">
        <v>49.4</v>
      </c>
      <c r="AI315" s="24">
        <v>32.9</v>
      </c>
      <c r="AJ315" s="24">
        <f t="shared" ref="AJ315:AJ378" si="122">ROUND(AE315-SUM(AG315:AI315),1)</f>
        <v>26.3</v>
      </c>
      <c r="AK315" s="68"/>
      <c r="AL315" s="40"/>
      <c r="AM315" s="40"/>
      <c r="AN315" s="68"/>
      <c r="AO315" s="68"/>
      <c r="AP315" s="24">
        <f t="shared" ref="AP315:AP378" si="123">IF(OR(AJ315&lt;0,AK315="+",AL315="+",AM315="+",AN315="+",AO315="+"),0,AJ315)</f>
        <v>26.3</v>
      </c>
      <c r="AQ315" s="24"/>
      <c r="AR315" s="24">
        <f t="shared" ref="AR315:AR378" si="124">ROUND(AP315-AQ315,1)</f>
        <v>26.3</v>
      </c>
      <c r="AS315" s="76"/>
      <c r="AT315" s="1"/>
      <c r="AU315" s="1"/>
      <c r="AV315" s="38"/>
      <c r="AW315" s="38"/>
      <c r="AZ315" s="1"/>
      <c r="BA315" s="1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9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9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9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9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9"/>
      <c r="GH315" s="8"/>
      <c r="GI315" s="8"/>
    </row>
    <row r="316" spans="1:191" s="2" customFormat="1" ht="17.100000000000001" customHeight="1">
      <c r="A316" s="33" t="s">
        <v>293</v>
      </c>
      <c r="B316" s="24">
        <v>5289.8</v>
      </c>
      <c r="C316" s="24">
        <v>3038.9</v>
      </c>
      <c r="D316" s="4">
        <f t="shared" si="118"/>
        <v>0.57448296721993275</v>
      </c>
      <c r="E316" s="10">
        <v>15</v>
      </c>
      <c r="F316" s="5">
        <v>1</v>
      </c>
      <c r="G316" s="5">
        <v>10</v>
      </c>
      <c r="H316" s="5"/>
      <c r="I316" s="5"/>
      <c r="J316" s="4">
        <f t="shared" si="116"/>
        <v>0.85686129066440608</v>
      </c>
      <c r="K316" s="5">
        <v>10</v>
      </c>
      <c r="L316" s="5" t="s">
        <v>394</v>
      </c>
      <c r="M316" s="5" t="s">
        <v>394</v>
      </c>
      <c r="N316" s="4" t="s">
        <v>394</v>
      </c>
      <c r="O316" s="5"/>
      <c r="P316" s="5" t="s">
        <v>394</v>
      </c>
      <c r="Q316" s="5" t="s">
        <v>394</v>
      </c>
      <c r="R316" s="5" t="s">
        <v>394</v>
      </c>
      <c r="S316" s="5"/>
      <c r="T316" s="5" t="s">
        <v>394</v>
      </c>
      <c r="U316" s="5" t="s">
        <v>394</v>
      </c>
      <c r="V316" s="5" t="s">
        <v>394</v>
      </c>
      <c r="W316" s="5"/>
      <c r="X316" s="5"/>
      <c r="Y316" s="5"/>
      <c r="Z316" s="4">
        <f t="shared" si="117"/>
        <v>0.78036025566531098</v>
      </c>
      <c r="AA316" s="5">
        <v>15</v>
      </c>
      <c r="AB316" s="31">
        <f t="shared" si="119"/>
        <v>0.7778252249984543</v>
      </c>
      <c r="AC316" s="32">
        <v>68</v>
      </c>
      <c r="AD316" s="24">
        <f t="shared" si="120"/>
        <v>18.545454545454547</v>
      </c>
      <c r="AE316" s="24">
        <f t="shared" si="115"/>
        <v>14.4</v>
      </c>
      <c r="AF316" s="24">
        <f t="shared" si="121"/>
        <v>-4.1454545454545464</v>
      </c>
      <c r="AG316" s="24"/>
      <c r="AH316" s="24">
        <v>5.2</v>
      </c>
      <c r="AI316" s="24">
        <v>5.0999999999999996</v>
      </c>
      <c r="AJ316" s="24">
        <f t="shared" si="122"/>
        <v>4.0999999999999996</v>
      </c>
      <c r="AK316" s="40"/>
      <c r="AL316" s="40"/>
      <c r="AM316" s="40"/>
      <c r="AN316" s="68"/>
      <c r="AO316" s="68"/>
      <c r="AP316" s="24">
        <f t="shared" si="123"/>
        <v>4.0999999999999996</v>
      </c>
      <c r="AQ316" s="24"/>
      <c r="AR316" s="24">
        <f t="shared" si="124"/>
        <v>4.0999999999999996</v>
      </c>
      <c r="AS316" s="76"/>
      <c r="AT316" s="1"/>
      <c r="AU316" s="1"/>
      <c r="AV316" s="38"/>
      <c r="AW316" s="38"/>
      <c r="AZ316" s="1"/>
      <c r="BA316" s="1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9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9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9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9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9"/>
      <c r="GH316" s="8"/>
      <c r="GI316" s="8"/>
    </row>
    <row r="317" spans="1:191" s="2" customFormat="1" ht="17.100000000000001" customHeight="1">
      <c r="A317" s="17" t="s">
        <v>294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76"/>
      <c r="AT317" s="1"/>
      <c r="AU317" s="1"/>
      <c r="AV317" s="38"/>
      <c r="AW317" s="38"/>
      <c r="AY317" s="1"/>
      <c r="AZ317" s="1"/>
      <c r="BA317" s="1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9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9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9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9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9"/>
      <c r="GH317" s="8"/>
      <c r="GI317" s="8"/>
    </row>
    <row r="318" spans="1:191" s="2" customFormat="1" ht="17.100000000000001" customHeight="1">
      <c r="A318" s="33" t="s">
        <v>295</v>
      </c>
      <c r="B318" s="24">
        <v>2276.4</v>
      </c>
      <c r="C318" s="24">
        <v>2064</v>
      </c>
      <c r="D318" s="4">
        <f t="shared" si="118"/>
        <v>0.90669478123352654</v>
      </c>
      <c r="E318" s="10">
        <v>15</v>
      </c>
      <c r="F318" s="5">
        <v>1</v>
      </c>
      <c r="G318" s="5">
        <v>10</v>
      </c>
      <c r="H318" s="5"/>
      <c r="I318" s="5"/>
      <c r="J318" s="4">
        <f>J$52</f>
        <v>1.0239445494643982</v>
      </c>
      <c r="K318" s="5">
        <v>10</v>
      </c>
      <c r="L318" s="5" t="s">
        <v>394</v>
      </c>
      <c r="M318" s="5" t="s">
        <v>394</v>
      </c>
      <c r="N318" s="4" t="s">
        <v>394</v>
      </c>
      <c r="O318" s="5"/>
      <c r="P318" s="5" t="s">
        <v>394</v>
      </c>
      <c r="Q318" s="5" t="s">
        <v>394</v>
      </c>
      <c r="R318" s="5" t="s">
        <v>394</v>
      </c>
      <c r="S318" s="5"/>
      <c r="T318" s="5" t="s">
        <v>394</v>
      </c>
      <c r="U318" s="5" t="s">
        <v>394</v>
      </c>
      <c r="V318" s="5" t="s">
        <v>394</v>
      </c>
      <c r="W318" s="5"/>
      <c r="X318" s="5"/>
      <c r="Y318" s="5"/>
      <c r="Z318" s="4">
        <f>Z$52</f>
        <v>0.60504201680672265</v>
      </c>
      <c r="AA318" s="5">
        <v>15</v>
      </c>
      <c r="AB318" s="31">
        <f t="shared" si="119"/>
        <v>0.85830994930495452</v>
      </c>
      <c r="AC318" s="32">
        <v>34</v>
      </c>
      <c r="AD318" s="24">
        <f t="shared" si="120"/>
        <v>9.2727272727272734</v>
      </c>
      <c r="AE318" s="24">
        <f t="shared" ref="AE318:AE332" si="125">ROUND(AB318*AD318,1)</f>
        <v>8</v>
      </c>
      <c r="AF318" s="24">
        <f t="shared" si="121"/>
        <v>-1.2727272727272734</v>
      </c>
      <c r="AG318" s="24"/>
      <c r="AH318" s="24">
        <v>2.9</v>
      </c>
      <c r="AI318" s="24">
        <v>3</v>
      </c>
      <c r="AJ318" s="24">
        <f t="shared" si="122"/>
        <v>2.1</v>
      </c>
      <c r="AK318" s="40"/>
      <c r="AL318" s="40"/>
      <c r="AM318" s="40"/>
      <c r="AN318" s="68"/>
      <c r="AO318" s="68"/>
      <c r="AP318" s="24">
        <f t="shared" si="123"/>
        <v>2.1</v>
      </c>
      <c r="AQ318" s="24">
        <f>MIN(AP318,1.5)</f>
        <v>1.5</v>
      </c>
      <c r="AR318" s="24">
        <f t="shared" si="124"/>
        <v>0.6</v>
      </c>
      <c r="AS318" s="76"/>
      <c r="AT318" s="1"/>
      <c r="AU318" s="1"/>
      <c r="AV318" s="38"/>
      <c r="AW318" s="38"/>
      <c r="AX318" s="1"/>
      <c r="AY318" s="1"/>
      <c r="AZ318" s="1"/>
      <c r="BA318" s="1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9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9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9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9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9"/>
      <c r="GH318" s="8"/>
      <c r="GI318" s="8"/>
    </row>
    <row r="319" spans="1:191" s="2" customFormat="1" ht="17.100000000000001" customHeight="1">
      <c r="A319" s="33" t="s">
        <v>296</v>
      </c>
      <c r="B319" s="24">
        <v>4574.6000000000004</v>
      </c>
      <c r="C319" s="24">
        <v>2369.6</v>
      </c>
      <c r="D319" s="4">
        <f t="shared" si="118"/>
        <v>0.51799064399073136</v>
      </c>
      <c r="E319" s="10">
        <v>15</v>
      </c>
      <c r="F319" s="5">
        <v>1</v>
      </c>
      <c r="G319" s="5">
        <v>10</v>
      </c>
      <c r="H319" s="5"/>
      <c r="I319" s="5"/>
      <c r="J319" s="4">
        <f t="shared" ref="J319:J332" si="126">J$52</f>
        <v>1.0239445494643982</v>
      </c>
      <c r="K319" s="5">
        <v>10</v>
      </c>
      <c r="L319" s="5" t="s">
        <v>394</v>
      </c>
      <c r="M319" s="5" t="s">
        <v>394</v>
      </c>
      <c r="N319" s="4" t="s">
        <v>394</v>
      </c>
      <c r="O319" s="5"/>
      <c r="P319" s="5" t="s">
        <v>394</v>
      </c>
      <c r="Q319" s="5" t="s">
        <v>394</v>
      </c>
      <c r="R319" s="5" t="s">
        <v>394</v>
      </c>
      <c r="S319" s="5"/>
      <c r="T319" s="5" t="s">
        <v>394</v>
      </c>
      <c r="U319" s="5" t="s">
        <v>394</v>
      </c>
      <c r="V319" s="5" t="s">
        <v>394</v>
      </c>
      <c r="W319" s="5"/>
      <c r="X319" s="5"/>
      <c r="Y319" s="5"/>
      <c r="Z319" s="4">
        <f t="shared" ref="Z319:Z332" si="127">Z$52</f>
        <v>0.60504201680672265</v>
      </c>
      <c r="AA319" s="5">
        <v>15</v>
      </c>
      <c r="AB319" s="31">
        <f t="shared" si="119"/>
        <v>0.74169870813211591</v>
      </c>
      <c r="AC319" s="32">
        <v>106</v>
      </c>
      <c r="AD319" s="24">
        <f t="shared" si="120"/>
        <v>28.90909090909091</v>
      </c>
      <c r="AE319" s="24">
        <f t="shared" si="125"/>
        <v>21.4</v>
      </c>
      <c r="AF319" s="24">
        <f t="shared" si="121"/>
        <v>-7.5090909090909115</v>
      </c>
      <c r="AG319" s="24"/>
      <c r="AH319" s="24">
        <v>7.5</v>
      </c>
      <c r="AI319" s="24">
        <v>7.4</v>
      </c>
      <c r="AJ319" s="24">
        <f t="shared" si="122"/>
        <v>6.5</v>
      </c>
      <c r="AK319" s="40"/>
      <c r="AL319" s="40"/>
      <c r="AM319" s="40"/>
      <c r="AN319" s="68"/>
      <c r="AO319" s="68"/>
      <c r="AP319" s="24">
        <f t="shared" si="123"/>
        <v>6.5</v>
      </c>
      <c r="AQ319" s="24">
        <f>MIN(AP319,4)</f>
        <v>4</v>
      </c>
      <c r="AR319" s="24">
        <f t="shared" si="124"/>
        <v>2.5</v>
      </c>
      <c r="AS319" s="76"/>
      <c r="AT319" s="1"/>
      <c r="AU319" s="1"/>
      <c r="AV319" s="38"/>
      <c r="AW319" s="38"/>
      <c r="AY319" s="1"/>
      <c r="AZ319" s="1"/>
      <c r="BA319" s="1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9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9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9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9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9"/>
      <c r="GH319" s="8"/>
      <c r="GI319" s="8"/>
    </row>
    <row r="320" spans="1:191" s="2" customFormat="1" ht="17.100000000000001" customHeight="1">
      <c r="A320" s="33" t="s">
        <v>297</v>
      </c>
      <c r="B320" s="24">
        <v>884.8</v>
      </c>
      <c r="C320" s="24">
        <v>939.2</v>
      </c>
      <c r="D320" s="4">
        <f t="shared" si="118"/>
        <v>1.0614828209764919</v>
      </c>
      <c r="E320" s="10">
        <v>15</v>
      </c>
      <c r="F320" s="5">
        <v>1</v>
      </c>
      <c r="G320" s="5">
        <v>10</v>
      </c>
      <c r="H320" s="5"/>
      <c r="I320" s="5"/>
      <c r="J320" s="4">
        <f t="shared" si="126"/>
        <v>1.0239445494643982</v>
      </c>
      <c r="K320" s="5">
        <v>10</v>
      </c>
      <c r="L320" s="5" t="s">
        <v>394</v>
      </c>
      <c r="M320" s="5" t="s">
        <v>394</v>
      </c>
      <c r="N320" s="4" t="s">
        <v>394</v>
      </c>
      <c r="O320" s="5"/>
      <c r="P320" s="5" t="s">
        <v>394</v>
      </c>
      <c r="Q320" s="5" t="s">
        <v>394</v>
      </c>
      <c r="R320" s="5" t="s">
        <v>394</v>
      </c>
      <c r="S320" s="5"/>
      <c r="T320" s="5" t="s">
        <v>394</v>
      </c>
      <c r="U320" s="5" t="s">
        <v>394</v>
      </c>
      <c r="V320" s="5" t="s">
        <v>394</v>
      </c>
      <c r="W320" s="5"/>
      <c r="X320" s="5"/>
      <c r="Y320" s="5"/>
      <c r="Z320" s="4">
        <f t="shared" si="127"/>
        <v>0.60504201680672265</v>
      </c>
      <c r="AA320" s="5">
        <v>15</v>
      </c>
      <c r="AB320" s="31">
        <f t="shared" si="119"/>
        <v>0.90474636122784402</v>
      </c>
      <c r="AC320" s="32">
        <v>225</v>
      </c>
      <c r="AD320" s="24">
        <f t="shared" si="120"/>
        <v>61.36363636363636</v>
      </c>
      <c r="AE320" s="24">
        <f t="shared" si="125"/>
        <v>55.5</v>
      </c>
      <c r="AF320" s="24">
        <f t="shared" si="121"/>
        <v>-5.8636363636363598</v>
      </c>
      <c r="AG320" s="24"/>
      <c r="AH320" s="24">
        <v>19.399999999999999</v>
      </c>
      <c r="AI320" s="24">
        <v>19.899999999999999</v>
      </c>
      <c r="AJ320" s="24">
        <f t="shared" si="122"/>
        <v>16.2</v>
      </c>
      <c r="AK320" s="68"/>
      <c r="AL320" s="40"/>
      <c r="AM320" s="40"/>
      <c r="AN320" s="68"/>
      <c r="AO320" s="68"/>
      <c r="AP320" s="24">
        <f t="shared" si="123"/>
        <v>16.2</v>
      </c>
      <c r="AQ320" s="24">
        <f>MIN(AP320,10.2)</f>
        <v>10.199999999999999</v>
      </c>
      <c r="AR320" s="24">
        <f t="shared" si="124"/>
        <v>6</v>
      </c>
      <c r="AS320" s="76"/>
      <c r="AT320" s="1"/>
      <c r="AU320" s="1"/>
      <c r="AV320" s="38"/>
      <c r="AW320" s="38"/>
      <c r="AY320" s="1"/>
      <c r="AZ320" s="1"/>
      <c r="BA320" s="1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9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9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9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9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9"/>
      <c r="GH320" s="8"/>
      <c r="GI320" s="8"/>
    </row>
    <row r="321" spans="1:191" s="2" customFormat="1" ht="17.100000000000001" customHeight="1">
      <c r="A321" s="33" t="s">
        <v>298</v>
      </c>
      <c r="B321" s="24">
        <v>787.6</v>
      </c>
      <c r="C321" s="24">
        <v>203</v>
      </c>
      <c r="D321" s="4">
        <f t="shared" si="118"/>
        <v>0.25774504824784156</v>
      </c>
      <c r="E321" s="10">
        <v>15</v>
      </c>
      <c r="F321" s="5">
        <v>1</v>
      </c>
      <c r="G321" s="5">
        <v>10</v>
      </c>
      <c r="H321" s="5"/>
      <c r="I321" s="5"/>
      <c r="J321" s="4">
        <f t="shared" si="126"/>
        <v>1.0239445494643982</v>
      </c>
      <c r="K321" s="5">
        <v>10</v>
      </c>
      <c r="L321" s="5" t="s">
        <v>394</v>
      </c>
      <c r="M321" s="5" t="s">
        <v>394</v>
      </c>
      <c r="N321" s="4" t="s">
        <v>394</v>
      </c>
      <c r="O321" s="5"/>
      <c r="P321" s="5" t="s">
        <v>394</v>
      </c>
      <c r="Q321" s="5" t="s">
        <v>394</v>
      </c>
      <c r="R321" s="5" t="s">
        <v>394</v>
      </c>
      <c r="S321" s="5"/>
      <c r="T321" s="5" t="s">
        <v>394</v>
      </c>
      <c r="U321" s="5" t="s">
        <v>394</v>
      </c>
      <c r="V321" s="5" t="s">
        <v>394</v>
      </c>
      <c r="W321" s="5"/>
      <c r="X321" s="5"/>
      <c r="Y321" s="5"/>
      <c r="Z321" s="4">
        <f t="shared" si="127"/>
        <v>0.60504201680672265</v>
      </c>
      <c r="AA321" s="5">
        <v>15</v>
      </c>
      <c r="AB321" s="31">
        <f t="shared" si="119"/>
        <v>0.66362502940924883</v>
      </c>
      <c r="AC321" s="32">
        <v>1273</v>
      </c>
      <c r="AD321" s="24">
        <f t="shared" si="120"/>
        <v>347.18181818181819</v>
      </c>
      <c r="AE321" s="24">
        <f t="shared" si="125"/>
        <v>230.4</v>
      </c>
      <c r="AF321" s="24">
        <f t="shared" si="121"/>
        <v>-116.78181818181818</v>
      </c>
      <c r="AG321" s="24"/>
      <c r="AH321" s="24">
        <v>71.2</v>
      </c>
      <c r="AI321" s="24">
        <v>59.9</v>
      </c>
      <c r="AJ321" s="24">
        <f t="shared" si="122"/>
        <v>99.3</v>
      </c>
      <c r="AK321" s="68"/>
      <c r="AL321" s="40"/>
      <c r="AM321" s="40"/>
      <c r="AN321" s="68"/>
      <c r="AO321" s="68"/>
      <c r="AP321" s="24">
        <f t="shared" si="123"/>
        <v>99.3</v>
      </c>
      <c r="AQ321" s="24"/>
      <c r="AR321" s="24">
        <f t="shared" si="124"/>
        <v>99.3</v>
      </c>
      <c r="AS321" s="76"/>
      <c r="AT321" s="1"/>
      <c r="AU321" s="1"/>
      <c r="AV321" s="38"/>
      <c r="AW321" s="38"/>
      <c r="AX321" s="1"/>
      <c r="AY321" s="1"/>
      <c r="AZ321" s="1"/>
      <c r="BA321" s="1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9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9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9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9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9"/>
      <c r="GH321" s="8"/>
      <c r="GI321" s="8"/>
    </row>
    <row r="322" spans="1:191" s="2" customFormat="1" ht="17.100000000000001" customHeight="1">
      <c r="A322" s="33" t="s">
        <v>299</v>
      </c>
      <c r="B322" s="24">
        <v>306.89999999999998</v>
      </c>
      <c r="C322" s="24">
        <v>201.7</v>
      </c>
      <c r="D322" s="4">
        <f t="shared" si="118"/>
        <v>0.65721733463668952</v>
      </c>
      <c r="E322" s="10">
        <v>15</v>
      </c>
      <c r="F322" s="5">
        <v>1</v>
      </c>
      <c r="G322" s="5">
        <v>10</v>
      </c>
      <c r="H322" s="5"/>
      <c r="I322" s="5"/>
      <c r="J322" s="4">
        <f t="shared" si="126"/>
        <v>1.0239445494643982</v>
      </c>
      <c r="K322" s="5">
        <v>10</v>
      </c>
      <c r="L322" s="5" t="s">
        <v>394</v>
      </c>
      <c r="M322" s="5" t="s">
        <v>394</v>
      </c>
      <c r="N322" s="4" t="s">
        <v>394</v>
      </c>
      <c r="O322" s="5"/>
      <c r="P322" s="5" t="s">
        <v>394</v>
      </c>
      <c r="Q322" s="5" t="s">
        <v>394</v>
      </c>
      <c r="R322" s="5" t="s">
        <v>394</v>
      </c>
      <c r="S322" s="5"/>
      <c r="T322" s="5" t="s">
        <v>394</v>
      </c>
      <c r="U322" s="5" t="s">
        <v>394</v>
      </c>
      <c r="V322" s="5" t="s">
        <v>394</v>
      </c>
      <c r="W322" s="5"/>
      <c r="X322" s="5"/>
      <c r="Y322" s="5"/>
      <c r="Z322" s="4">
        <f t="shared" si="127"/>
        <v>0.60504201680672265</v>
      </c>
      <c r="AA322" s="5">
        <v>15</v>
      </c>
      <c r="AB322" s="31">
        <f t="shared" si="119"/>
        <v>0.7834667153259034</v>
      </c>
      <c r="AC322" s="32">
        <v>1223</v>
      </c>
      <c r="AD322" s="24">
        <f t="shared" si="120"/>
        <v>333.54545454545456</v>
      </c>
      <c r="AE322" s="24">
        <f t="shared" si="125"/>
        <v>261.3</v>
      </c>
      <c r="AF322" s="24">
        <f t="shared" si="121"/>
        <v>-72.24545454545455</v>
      </c>
      <c r="AG322" s="24"/>
      <c r="AH322" s="24">
        <v>71</v>
      </c>
      <c r="AI322" s="24">
        <v>101.2</v>
      </c>
      <c r="AJ322" s="24">
        <f t="shared" si="122"/>
        <v>89.1</v>
      </c>
      <c r="AK322" s="68"/>
      <c r="AL322" s="40"/>
      <c r="AM322" s="40"/>
      <c r="AN322" s="68"/>
      <c r="AO322" s="68"/>
      <c r="AP322" s="24">
        <f t="shared" si="123"/>
        <v>89.1</v>
      </c>
      <c r="AQ322" s="24">
        <f>MIN(AP322,24.2)</f>
        <v>24.2</v>
      </c>
      <c r="AR322" s="24">
        <f t="shared" si="124"/>
        <v>64.900000000000006</v>
      </c>
      <c r="AS322" s="76"/>
      <c r="AT322" s="1"/>
      <c r="AU322" s="1"/>
      <c r="AV322" s="38"/>
      <c r="AW322" s="38"/>
      <c r="AZ322" s="1"/>
      <c r="BA322" s="1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9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9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9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9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9"/>
      <c r="GH322" s="8"/>
      <c r="GI322" s="8"/>
    </row>
    <row r="323" spans="1:191" s="2" customFormat="1" ht="17.100000000000001" customHeight="1">
      <c r="A323" s="33" t="s">
        <v>300</v>
      </c>
      <c r="B323" s="24">
        <v>564.79999999999995</v>
      </c>
      <c r="C323" s="24">
        <v>783.4</v>
      </c>
      <c r="D323" s="4">
        <f t="shared" si="118"/>
        <v>1.2187039660056658</v>
      </c>
      <c r="E323" s="10">
        <v>15</v>
      </c>
      <c r="F323" s="5">
        <v>1</v>
      </c>
      <c r="G323" s="5">
        <v>10</v>
      </c>
      <c r="H323" s="5"/>
      <c r="I323" s="5"/>
      <c r="J323" s="4">
        <f t="shared" si="126"/>
        <v>1.0239445494643982</v>
      </c>
      <c r="K323" s="5">
        <v>10</v>
      </c>
      <c r="L323" s="5" t="s">
        <v>394</v>
      </c>
      <c r="M323" s="5" t="s">
        <v>394</v>
      </c>
      <c r="N323" s="4" t="s">
        <v>394</v>
      </c>
      <c r="O323" s="5"/>
      <c r="P323" s="5" t="s">
        <v>394</v>
      </c>
      <c r="Q323" s="5" t="s">
        <v>394</v>
      </c>
      <c r="R323" s="5" t="s">
        <v>394</v>
      </c>
      <c r="S323" s="5"/>
      <c r="T323" s="5" t="s">
        <v>394</v>
      </c>
      <c r="U323" s="5" t="s">
        <v>394</v>
      </c>
      <c r="V323" s="5" t="s">
        <v>394</v>
      </c>
      <c r="W323" s="5"/>
      <c r="X323" s="5"/>
      <c r="Y323" s="5"/>
      <c r="Z323" s="4">
        <f t="shared" si="127"/>
        <v>0.60504201680672265</v>
      </c>
      <c r="AA323" s="5">
        <v>15</v>
      </c>
      <c r="AB323" s="31">
        <f t="shared" si="119"/>
        <v>0.95191270473659617</v>
      </c>
      <c r="AC323" s="32">
        <v>573</v>
      </c>
      <c r="AD323" s="24">
        <f t="shared" si="120"/>
        <v>156.27272727272728</v>
      </c>
      <c r="AE323" s="24">
        <f t="shared" si="125"/>
        <v>148.80000000000001</v>
      </c>
      <c r="AF323" s="24">
        <f t="shared" si="121"/>
        <v>-7.4727272727272691</v>
      </c>
      <c r="AG323" s="24"/>
      <c r="AH323" s="24">
        <v>56.9</v>
      </c>
      <c r="AI323" s="24">
        <v>61.5</v>
      </c>
      <c r="AJ323" s="24">
        <f t="shared" si="122"/>
        <v>30.4</v>
      </c>
      <c r="AK323" s="68"/>
      <c r="AL323" s="40"/>
      <c r="AM323" s="40"/>
      <c r="AN323" s="68"/>
      <c r="AO323" s="68"/>
      <c r="AP323" s="24">
        <f t="shared" si="123"/>
        <v>30.4</v>
      </c>
      <c r="AQ323" s="24">
        <f>MIN(AP323,19.3)</f>
        <v>19.3</v>
      </c>
      <c r="AR323" s="24">
        <f t="shared" si="124"/>
        <v>11.1</v>
      </c>
      <c r="AS323" s="76"/>
      <c r="AT323" s="1"/>
      <c r="AU323" s="1"/>
      <c r="AV323" s="38"/>
      <c r="AW323" s="38"/>
      <c r="AX323" s="1"/>
      <c r="AY323" s="1"/>
      <c r="AZ323" s="1"/>
      <c r="BA323" s="1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9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9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9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9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9"/>
      <c r="GH323" s="8"/>
      <c r="GI323" s="8"/>
    </row>
    <row r="324" spans="1:191" s="2" customFormat="1" ht="17.100000000000001" customHeight="1">
      <c r="A324" s="33" t="s">
        <v>301</v>
      </c>
      <c r="B324" s="24">
        <v>844.1</v>
      </c>
      <c r="C324" s="24">
        <v>749.1</v>
      </c>
      <c r="D324" s="4">
        <f t="shared" si="118"/>
        <v>0.88745409311692924</v>
      </c>
      <c r="E324" s="10">
        <v>15</v>
      </c>
      <c r="F324" s="5">
        <v>1</v>
      </c>
      <c r="G324" s="5">
        <v>10</v>
      </c>
      <c r="H324" s="5"/>
      <c r="I324" s="5"/>
      <c r="J324" s="4">
        <f t="shared" si="126"/>
        <v>1.0239445494643982</v>
      </c>
      <c r="K324" s="5">
        <v>10</v>
      </c>
      <c r="L324" s="5" t="s">
        <v>394</v>
      </c>
      <c r="M324" s="5" t="s">
        <v>394</v>
      </c>
      <c r="N324" s="4" t="s">
        <v>394</v>
      </c>
      <c r="O324" s="5"/>
      <c r="P324" s="5" t="s">
        <v>394</v>
      </c>
      <c r="Q324" s="5" t="s">
        <v>394</v>
      </c>
      <c r="R324" s="5" t="s">
        <v>394</v>
      </c>
      <c r="S324" s="5"/>
      <c r="T324" s="5" t="s">
        <v>394</v>
      </c>
      <c r="U324" s="5" t="s">
        <v>394</v>
      </c>
      <c r="V324" s="5" t="s">
        <v>394</v>
      </c>
      <c r="W324" s="5"/>
      <c r="X324" s="5"/>
      <c r="Y324" s="5"/>
      <c r="Z324" s="4">
        <f t="shared" si="127"/>
        <v>0.60504201680672265</v>
      </c>
      <c r="AA324" s="5">
        <v>15</v>
      </c>
      <c r="AB324" s="31">
        <f t="shared" si="119"/>
        <v>0.8525377428699753</v>
      </c>
      <c r="AC324" s="32">
        <v>9</v>
      </c>
      <c r="AD324" s="24">
        <f t="shared" si="120"/>
        <v>2.4545454545454546</v>
      </c>
      <c r="AE324" s="24">
        <f t="shared" si="125"/>
        <v>2.1</v>
      </c>
      <c r="AF324" s="24">
        <f t="shared" si="121"/>
        <v>-0.3545454545454545</v>
      </c>
      <c r="AG324" s="24"/>
      <c r="AH324" s="24">
        <v>0.9</v>
      </c>
      <c r="AI324" s="24">
        <v>0.6</v>
      </c>
      <c r="AJ324" s="24">
        <f t="shared" si="122"/>
        <v>0.6</v>
      </c>
      <c r="AK324" s="40"/>
      <c r="AL324" s="40"/>
      <c r="AM324" s="40"/>
      <c r="AN324" s="68"/>
      <c r="AO324" s="68"/>
      <c r="AP324" s="24">
        <f t="shared" si="123"/>
        <v>0.6</v>
      </c>
      <c r="AQ324" s="24"/>
      <c r="AR324" s="24">
        <f t="shared" si="124"/>
        <v>0.6</v>
      </c>
      <c r="AS324" s="76"/>
      <c r="AT324" s="1"/>
      <c r="AU324" s="1"/>
      <c r="AV324" s="38"/>
      <c r="AW324" s="38"/>
      <c r="AX324" s="1"/>
      <c r="AY324" s="1"/>
      <c r="AZ324" s="1"/>
      <c r="BA324" s="1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9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9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9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9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9"/>
      <c r="GH324" s="8"/>
      <c r="GI324" s="8"/>
    </row>
    <row r="325" spans="1:191" s="2" customFormat="1" ht="17.100000000000001" customHeight="1">
      <c r="A325" s="33" t="s">
        <v>302</v>
      </c>
      <c r="B325" s="24">
        <v>514.1</v>
      </c>
      <c r="C325" s="24">
        <v>676.2</v>
      </c>
      <c r="D325" s="4">
        <f t="shared" si="118"/>
        <v>1.2115308305777086</v>
      </c>
      <c r="E325" s="10">
        <v>15</v>
      </c>
      <c r="F325" s="5">
        <v>1</v>
      </c>
      <c r="G325" s="5">
        <v>10</v>
      </c>
      <c r="H325" s="5"/>
      <c r="I325" s="5"/>
      <c r="J325" s="4">
        <f t="shared" si="126"/>
        <v>1.0239445494643982</v>
      </c>
      <c r="K325" s="5">
        <v>10</v>
      </c>
      <c r="L325" s="5" t="s">
        <v>394</v>
      </c>
      <c r="M325" s="5" t="s">
        <v>394</v>
      </c>
      <c r="N325" s="4" t="s">
        <v>394</v>
      </c>
      <c r="O325" s="5"/>
      <c r="P325" s="5" t="s">
        <v>394</v>
      </c>
      <c r="Q325" s="5" t="s">
        <v>394</v>
      </c>
      <c r="R325" s="5" t="s">
        <v>394</v>
      </c>
      <c r="S325" s="5"/>
      <c r="T325" s="5" t="s">
        <v>394</v>
      </c>
      <c r="U325" s="5" t="s">
        <v>394</v>
      </c>
      <c r="V325" s="5" t="s">
        <v>394</v>
      </c>
      <c r="W325" s="5"/>
      <c r="X325" s="5"/>
      <c r="Y325" s="5"/>
      <c r="Z325" s="4">
        <f t="shared" si="127"/>
        <v>0.60504201680672265</v>
      </c>
      <c r="AA325" s="5">
        <v>15</v>
      </c>
      <c r="AB325" s="31">
        <f t="shared" si="119"/>
        <v>0.94976076410820898</v>
      </c>
      <c r="AC325" s="32">
        <v>528</v>
      </c>
      <c r="AD325" s="24">
        <f t="shared" si="120"/>
        <v>144</v>
      </c>
      <c r="AE325" s="24">
        <f t="shared" si="125"/>
        <v>136.80000000000001</v>
      </c>
      <c r="AF325" s="24">
        <f t="shared" si="121"/>
        <v>-7.1999999999999886</v>
      </c>
      <c r="AG325" s="24"/>
      <c r="AH325" s="24">
        <v>27.1</v>
      </c>
      <c r="AI325" s="24">
        <v>39.700000000000003</v>
      </c>
      <c r="AJ325" s="24">
        <f t="shared" si="122"/>
        <v>70</v>
      </c>
      <c r="AK325" s="68"/>
      <c r="AL325" s="40"/>
      <c r="AM325" s="40"/>
      <c r="AN325" s="68"/>
      <c r="AO325" s="68"/>
      <c r="AP325" s="24">
        <f t="shared" si="123"/>
        <v>70</v>
      </c>
      <c r="AQ325" s="24">
        <f>MIN(AP325,8.8)</f>
        <v>8.8000000000000007</v>
      </c>
      <c r="AR325" s="24">
        <f t="shared" si="124"/>
        <v>61.2</v>
      </c>
      <c r="AS325" s="76"/>
      <c r="AT325" s="1"/>
      <c r="AU325" s="1"/>
      <c r="AV325" s="38"/>
      <c r="AW325" s="38"/>
      <c r="AX325" s="1"/>
      <c r="AY325" s="1"/>
      <c r="AZ325" s="1"/>
      <c r="BA325" s="1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9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9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9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9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9"/>
      <c r="GH325" s="8"/>
      <c r="GI325" s="8"/>
    </row>
    <row r="326" spans="1:191" s="2" customFormat="1" ht="17.100000000000001" customHeight="1">
      <c r="A326" s="33" t="s">
        <v>303</v>
      </c>
      <c r="B326" s="24">
        <v>486.5</v>
      </c>
      <c r="C326" s="24">
        <v>464.4</v>
      </c>
      <c r="D326" s="4">
        <f t="shared" si="118"/>
        <v>0.95457348406988685</v>
      </c>
      <c r="E326" s="10">
        <v>15</v>
      </c>
      <c r="F326" s="5">
        <v>1</v>
      </c>
      <c r="G326" s="5">
        <v>10</v>
      </c>
      <c r="H326" s="5"/>
      <c r="I326" s="5"/>
      <c r="J326" s="4">
        <f t="shared" si="126"/>
        <v>1.0239445494643982</v>
      </c>
      <c r="K326" s="5">
        <v>10</v>
      </c>
      <c r="L326" s="5" t="s">
        <v>394</v>
      </c>
      <c r="M326" s="5" t="s">
        <v>394</v>
      </c>
      <c r="N326" s="4" t="s">
        <v>394</v>
      </c>
      <c r="O326" s="5"/>
      <c r="P326" s="5" t="s">
        <v>394</v>
      </c>
      <c r="Q326" s="5" t="s">
        <v>394</v>
      </c>
      <c r="R326" s="5" t="s">
        <v>394</v>
      </c>
      <c r="S326" s="5"/>
      <c r="T326" s="5" t="s">
        <v>394</v>
      </c>
      <c r="U326" s="5" t="s">
        <v>394</v>
      </c>
      <c r="V326" s="5" t="s">
        <v>394</v>
      </c>
      <c r="W326" s="5"/>
      <c r="X326" s="5"/>
      <c r="Y326" s="5"/>
      <c r="Z326" s="4">
        <f t="shared" si="127"/>
        <v>0.60504201680672265</v>
      </c>
      <c r="AA326" s="5">
        <v>15</v>
      </c>
      <c r="AB326" s="31">
        <f t="shared" si="119"/>
        <v>0.87267356015586239</v>
      </c>
      <c r="AC326" s="32">
        <v>1126</v>
      </c>
      <c r="AD326" s="24">
        <f t="shared" si="120"/>
        <v>307.09090909090907</v>
      </c>
      <c r="AE326" s="24">
        <f t="shared" si="125"/>
        <v>268</v>
      </c>
      <c r="AF326" s="24">
        <f t="shared" si="121"/>
        <v>-39.090909090909065</v>
      </c>
      <c r="AG326" s="24"/>
      <c r="AH326" s="24">
        <v>75.8</v>
      </c>
      <c r="AI326" s="24">
        <v>115.4</v>
      </c>
      <c r="AJ326" s="24">
        <f t="shared" si="122"/>
        <v>76.8</v>
      </c>
      <c r="AK326" s="68"/>
      <c r="AL326" s="40"/>
      <c r="AM326" s="40"/>
      <c r="AN326" s="68"/>
      <c r="AO326" s="68"/>
      <c r="AP326" s="24">
        <f t="shared" si="123"/>
        <v>76.8</v>
      </c>
      <c r="AQ326" s="24">
        <f>MIN(AP326,51.2)</f>
        <v>51.2</v>
      </c>
      <c r="AR326" s="24">
        <f t="shared" si="124"/>
        <v>25.6</v>
      </c>
      <c r="AS326" s="76"/>
      <c r="AT326" s="1"/>
      <c r="AU326" s="1"/>
      <c r="AV326" s="38"/>
      <c r="AW326" s="38"/>
      <c r="AX326" s="1"/>
      <c r="AY326" s="1"/>
      <c r="AZ326" s="1"/>
      <c r="BA326" s="1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9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9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9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9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9"/>
      <c r="GH326" s="8"/>
      <c r="GI326" s="8"/>
    </row>
    <row r="327" spans="1:191" s="2" customFormat="1" ht="17.100000000000001" customHeight="1">
      <c r="A327" s="33" t="s">
        <v>304</v>
      </c>
      <c r="B327" s="24">
        <v>1120.3</v>
      </c>
      <c r="C327" s="24">
        <v>795.9</v>
      </c>
      <c r="D327" s="4">
        <f t="shared" si="118"/>
        <v>0.71043470498973493</v>
      </c>
      <c r="E327" s="10">
        <v>15</v>
      </c>
      <c r="F327" s="5">
        <v>1</v>
      </c>
      <c r="G327" s="5">
        <v>10</v>
      </c>
      <c r="H327" s="5"/>
      <c r="I327" s="5"/>
      <c r="J327" s="4">
        <f t="shared" si="126"/>
        <v>1.0239445494643982</v>
      </c>
      <c r="K327" s="5">
        <v>10</v>
      </c>
      <c r="L327" s="5" t="s">
        <v>394</v>
      </c>
      <c r="M327" s="5" t="s">
        <v>394</v>
      </c>
      <c r="N327" s="4" t="s">
        <v>394</v>
      </c>
      <c r="O327" s="5"/>
      <c r="P327" s="5" t="s">
        <v>394</v>
      </c>
      <c r="Q327" s="5" t="s">
        <v>394</v>
      </c>
      <c r="R327" s="5" t="s">
        <v>394</v>
      </c>
      <c r="S327" s="5"/>
      <c r="T327" s="5" t="s">
        <v>394</v>
      </c>
      <c r="U327" s="5" t="s">
        <v>394</v>
      </c>
      <c r="V327" s="5" t="s">
        <v>394</v>
      </c>
      <c r="W327" s="5"/>
      <c r="X327" s="5"/>
      <c r="Y327" s="5"/>
      <c r="Z327" s="4">
        <f t="shared" si="127"/>
        <v>0.60504201680672265</v>
      </c>
      <c r="AA327" s="5">
        <v>15</v>
      </c>
      <c r="AB327" s="31">
        <f t="shared" si="119"/>
        <v>0.79943192643181693</v>
      </c>
      <c r="AC327" s="32">
        <v>230</v>
      </c>
      <c r="AD327" s="24">
        <f t="shared" si="120"/>
        <v>62.727272727272734</v>
      </c>
      <c r="AE327" s="24">
        <f t="shared" si="125"/>
        <v>50.1</v>
      </c>
      <c r="AF327" s="24">
        <f t="shared" si="121"/>
        <v>-12.627272727272732</v>
      </c>
      <c r="AG327" s="24"/>
      <c r="AH327" s="24">
        <v>23.8</v>
      </c>
      <c r="AI327" s="24">
        <v>19.7</v>
      </c>
      <c r="AJ327" s="24">
        <f t="shared" si="122"/>
        <v>6.6</v>
      </c>
      <c r="AK327" s="68"/>
      <c r="AL327" s="40"/>
      <c r="AM327" s="40"/>
      <c r="AN327" s="68"/>
      <c r="AO327" s="68"/>
      <c r="AP327" s="24">
        <f t="shared" si="123"/>
        <v>6.6</v>
      </c>
      <c r="AQ327" s="24">
        <f>MIN(AP327,5.9)</f>
        <v>5.9</v>
      </c>
      <c r="AR327" s="24">
        <f t="shared" si="124"/>
        <v>0.7</v>
      </c>
      <c r="AS327" s="76"/>
      <c r="AT327" s="1"/>
      <c r="AU327" s="1"/>
      <c r="AV327" s="38"/>
      <c r="AW327" s="38"/>
      <c r="AX327" s="1"/>
      <c r="AY327" s="1"/>
      <c r="AZ327" s="1"/>
      <c r="BA327" s="1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9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9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9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9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9"/>
      <c r="GH327" s="8"/>
      <c r="GI327" s="8"/>
    </row>
    <row r="328" spans="1:191" s="2" customFormat="1" ht="17.100000000000001" customHeight="1">
      <c r="A328" s="33" t="s">
        <v>305</v>
      </c>
      <c r="B328" s="24">
        <v>125.7</v>
      </c>
      <c r="C328" s="24">
        <v>118.8</v>
      </c>
      <c r="D328" s="4">
        <f t="shared" si="118"/>
        <v>0.94510739856801906</v>
      </c>
      <c r="E328" s="10">
        <v>15</v>
      </c>
      <c r="F328" s="5">
        <v>1</v>
      </c>
      <c r="G328" s="5">
        <v>10</v>
      </c>
      <c r="H328" s="5"/>
      <c r="I328" s="5"/>
      <c r="J328" s="4">
        <f t="shared" si="126"/>
        <v>1.0239445494643982</v>
      </c>
      <c r="K328" s="5">
        <v>10</v>
      </c>
      <c r="L328" s="5" t="s">
        <v>394</v>
      </c>
      <c r="M328" s="5" t="s">
        <v>394</v>
      </c>
      <c r="N328" s="4" t="s">
        <v>394</v>
      </c>
      <c r="O328" s="5"/>
      <c r="P328" s="5" t="s">
        <v>394</v>
      </c>
      <c r="Q328" s="5" t="s">
        <v>394</v>
      </c>
      <c r="R328" s="5" t="s">
        <v>394</v>
      </c>
      <c r="S328" s="5"/>
      <c r="T328" s="5" t="s">
        <v>394</v>
      </c>
      <c r="U328" s="5" t="s">
        <v>394</v>
      </c>
      <c r="V328" s="5" t="s">
        <v>394</v>
      </c>
      <c r="W328" s="5"/>
      <c r="X328" s="5"/>
      <c r="Y328" s="5"/>
      <c r="Z328" s="4">
        <f t="shared" si="127"/>
        <v>0.60504201680672265</v>
      </c>
      <c r="AA328" s="5">
        <v>15</v>
      </c>
      <c r="AB328" s="31">
        <f t="shared" si="119"/>
        <v>0.86983373450530221</v>
      </c>
      <c r="AC328" s="32">
        <v>1311</v>
      </c>
      <c r="AD328" s="24">
        <f t="shared" si="120"/>
        <v>357.54545454545456</v>
      </c>
      <c r="AE328" s="24">
        <f t="shared" si="125"/>
        <v>311</v>
      </c>
      <c r="AF328" s="24">
        <f t="shared" si="121"/>
        <v>-46.545454545454561</v>
      </c>
      <c r="AG328" s="24"/>
      <c r="AH328" s="24">
        <v>135</v>
      </c>
      <c r="AI328" s="24">
        <v>94.7</v>
      </c>
      <c r="AJ328" s="24">
        <f t="shared" si="122"/>
        <v>81.3</v>
      </c>
      <c r="AK328" s="68"/>
      <c r="AL328" s="40"/>
      <c r="AM328" s="40"/>
      <c r="AN328" s="68"/>
      <c r="AO328" s="68"/>
      <c r="AP328" s="24">
        <f t="shared" si="123"/>
        <v>81.3</v>
      </c>
      <c r="AQ328" s="24">
        <f>MIN(AP328,22.5)</f>
        <v>22.5</v>
      </c>
      <c r="AR328" s="24">
        <f t="shared" si="124"/>
        <v>58.8</v>
      </c>
      <c r="AS328" s="76"/>
      <c r="AT328" s="1"/>
      <c r="AU328" s="1"/>
      <c r="AV328" s="38"/>
      <c r="AW328" s="38"/>
      <c r="AX328" s="1"/>
      <c r="AY328" s="1"/>
      <c r="AZ328" s="1"/>
      <c r="BA328" s="1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9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9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9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9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9"/>
      <c r="GH328" s="8"/>
      <c r="GI328" s="8"/>
    </row>
    <row r="329" spans="1:191" s="2" customFormat="1" ht="17.100000000000001" customHeight="1">
      <c r="A329" s="33" t="s">
        <v>306</v>
      </c>
      <c r="B329" s="24">
        <v>437.5</v>
      </c>
      <c r="C329" s="24">
        <v>252.6</v>
      </c>
      <c r="D329" s="4">
        <f t="shared" si="118"/>
        <v>0.57737142857142854</v>
      </c>
      <c r="E329" s="10">
        <v>15</v>
      </c>
      <c r="F329" s="5">
        <v>1</v>
      </c>
      <c r="G329" s="5">
        <v>10</v>
      </c>
      <c r="H329" s="5"/>
      <c r="I329" s="5"/>
      <c r="J329" s="4">
        <f t="shared" si="126"/>
        <v>1.0239445494643982</v>
      </c>
      <c r="K329" s="5">
        <v>10</v>
      </c>
      <c r="L329" s="5" t="s">
        <v>394</v>
      </c>
      <c r="M329" s="5" t="s">
        <v>394</v>
      </c>
      <c r="N329" s="4" t="s">
        <v>394</v>
      </c>
      <c r="O329" s="5"/>
      <c r="P329" s="5" t="s">
        <v>394</v>
      </c>
      <c r="Q329" s="5" t="s">
        <v>394</v>
      </c>
      <c r="R329" s="5" t="s">
        <v>394</v>
      </c>
      <c r="S329" s="5"/>
      <c r="T329" s="5" t="s">
        <v>394</v>
      </c>
      <c r="U329" s="5" t="s">
        <v>394</v>
      </c>
      <c r="V329" s="5" t="s">
        <v>394</v>
      </c>
      <c r="W329" s="5"/>
      <c r="X329" s="5"/>
      <c r="Y329" s="5"/>
      <c r="Z329" s="4">
        <f t="shared" si="127"/>
        <v>0.60504201680672265</v>
      </c>
      <c r="AA329" s="5">
        <v>15</v>
      </c>
      <c r="AB329" s="31">
        <f t="shared" si="119"/>
        <v>0.75951294350632503</v>
      </c>
      <c r="AC329" s="32">
        <v>1479</v>
      </c>
      <c r="AD329" s="24">
        <f t="shared" si="120"/>
        <v>403.36363636363637</v>
      </c>
      <c r="AE329" s="24">
        <f t="shared" si="125"/>
        <v>306.39999999999998</v>
      </c>
      <c r="AF329" s="24">
        <f t="shared" si="121"/>
        <v>-96.963636363636397</v>
      </c>
      <c r="AG329" s="24"/>
      <c r="AH329" s="24">
        <v>77</v>
      </c>
      <c r="AI329" s="24">
        <v>97.9</v>
      </c>
      <c r="AJ329" s="24">
        <f t="shared" si="122"/>
        <v>131.5</v>
      </c>
      <c r="AK329" s="68"/>
      <c r="AL329" s="40"/>
      <c r="AM329" s="40"/>
      <c r="AN329" s="68"/>
      <c r="AO329" s="68"/>
      <c r="AP329" s="24">
        <f t="shared" si="123"/>
        <v>131.5</v>
      </c>
      <c r="AQ329" s="24">
        <f>MIN(AP329,38.2)</f>
        <v>38.200000000000003</v>
      </c>
      <c r="AR329" s="24">
        <f t="shared" si="124"/>
        <v>93.3</v>
      </c>
      <c r="AS329" s="76"/>
      <c r="AT329" s="1"/>
      <c r="AU329" s="1"/>
      <c r="AV329" s="38"/>
      <c r="AW329" s="38"/>
      <c r="AX329" s="1"/>
      <c r="AY329" s="1"/>
      <c r="AZ329" s="1"/>
      <c r="BA329" s="1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9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9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9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9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9"/>
      <c r="GH329" s="8"/>
      <c r="GI329" s="8"/>
    </row>
    <row r="330" spans="1:191" s="2" customFormat="1" ht="17.100000000000001" customHeight="1">
      <c r="A330" s="33" t="s">
        <v>307</v>
      </c>
      <c r="B330" s="24">
        <v>229.7</v>
      </c>
      <c r="C330" s="24">
        <v>79.5</v>
      </c>
      <c r="D330" s="4">
        <f t="shared" si="118"/>
        <v>0.34610361340879409</v>
      </c>
      <c r="E330" s="10">
        <v>15</v>
      </c>
      <c r="F330" s="5">
        <v>1</v>
      </c>
      <c r="G330" s="5">
        <v>10</v>
      </c>
      <c r="H330" s="5"/>
      <c r="I330" s="5"/>
      <c r="J330" s="4">
        <f t="shared" si="126"/>
        <v>1.0239445494643982</v>
      </c>
      <c r="K330" s="5">
        <v>10</v>
      </c>
      <c r="L330" s="5" t="s">
        <v>394</v>
      </c>
      <c r="M330" s="5" t="s">
        <v>394</v>
      </c>
      <c r="N330" s="4" t="s">
        <v>394</v>
      </c>
      <c r="O330" s="5"/>
      <c r="P330" s="5" t="s">
        <v>394</v>
      </c>
      <c r="Q330" s="5" t="s">
        <v>394</v>
      </c>
      <c r="R330" s="5" t="s">
        <v>394</v>
      </c>
      <c r="S330" s="5"/>
      <c r="T330" s="5" t="s">
        <v>394</v>
      </c>
      <c r="U330" s="5" t="s">
        <v>394</v>
      </c>
      <c r="V330" s="5" t="s">
        <v>394</v>
      </c>
      <c r="W330" s="5"/>
      <c r="X330" s="5"/>
      <c r="Y330" s="5"/>
      <c r="Z330" s="4">
        <f t="shared" si="127"/>
        <v>0.60504201680672265</v>
      </c>
      <c r="AA330" s="5">
        <v>15</v>
      </c>
      <c r="AB330" s="31">
        <f t="shared" si="119"/>
        <v>0.69013259895753465</v>
      </c>
      <c r="AC330" s="32">
        <v>1185</v>
      </c>
      <c r="AD330" s="24">
        <f t="shared" si="120"/>
        <v>323.18181818181819</v>
      </c>
      <c r="AE330" s="24">
        <f t="shared" si="125"/>
        <v>223</v>
      </c>
      <c r="AF330" s="24">
        <f t="shared" si="121"/>
        <v>-100.18181818181819</v>
      </c>
      <c r="AG330" s="24"/>
      <c r="AH330" s="24">
        <v>91.8</v>
      </c>
      <c r="AI330" s="24">
        <v>63.1</v>
      </c>
      <c r="AJ330" s="24">
        <f t="shared" si="122"/>
        <v>68.099999999999994</v>
      </c>
      <c r="AK330" s="68"/>
      <c r="AL330" s="40"/>
      <c r="AM330" s="40"/>
      <c r="AN330" s="68"/>
      <c r="AO330" s="68"/>
      <c r="AP330" s="24">
        <f t="shared" si="123"/>
        <v>68.099999999999994</v>
      </c>
      <c r="AQ330" s="24">
        <f>MIN(AP330,1.4)</f>
        <v>1.4</v>
      </c>
      <c r="AR330" s="24">
        <f t="shared" si="124"/>
        <v>66.7</v>
      </c>
      <c r="AS330" s="76"/>
      <c r="AT330" s="1"/>
      <c r="AU330" s="1"/>
      <c r="AV330" s="38"/>
      <c r="AW330" s="38"/>
      <c r="AX330" s="1"/>
      <c r="AY330" s="1"/>
      <c r="AZ330" s="1"/>
      <c r="BA330" s="1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9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9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9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9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9"/>
      <c r="GH330" s="8"/>
      <c r="GI330" s="8"/>
    </row>
    <row r="331" spans="1:191" s="2" customFormat="1" ht="17.100000000000001" customHeight="1">
      <c r="A331" s="33" t="s">
        <v>308</v>
      </c>
      <c r="B331" s="24">
        <v>1157.5999999999999</v>
      </c>
      <c r="C331" s="24">
        <v>954.4</v>
      </c>
      <c r="D331" s="4">
        <f t="shared" si="118"/>
        <v>0.82446440912232211</v>
      </c>
      <c r="E331" s="10">
        <v>15</v>
      </c>
      <c r="F331" s="5">
        <v>1</v>
      </c>
      <c r="G331" s="5">
        <v>10</v>
      </c>
      <c r="H331" s="5"/>
      <c r="I331" s="5"/>
      <c r="J331" s="4">
        <f t="shared" si="126"/>
        <v>1.0239445494643982</v>
      </c>
      <c r="K331" s="5">
        <v>10</v>
      </c>
      <c r="L331" s="5" t="s">
        <v>394</v>
      </c>
      <c r="M331" s="5" t="s">
        <v>394</v>
      </c>
      <c r="N331" s="4" t="s">
        <v>394</v>
      </c>
      <c r="O331" s="5"/>
      <c r="P331" s="5" t="s">
        <v>394</v>
      </c>
      <c r="Q331" s="5" t="s">
        <v>394</v>
      </c>
      <c r="R331" s="5" t="s">
        <v>394</v>
      </c>
      <c r="S331" s="5"/>
      <c r="T331" s="5" t="s">
        <v>394</v>
      </c>
      <c r="U331" s="5" t="s">
        <v>394</v>
      </c>
      <c r="V331" s="5" t="s">
        <v>394</v>
      </c>
      <c r="W331" s="5"/>
      <c r="X331" s="5"/>
      <c r="Y331" s="5"/>
      <c r="Z331" s="4">
        <f t="shared" si="127"/>
        <v>0.60504201680672265</v>
      </c>
      <c r="AA331" s="5">
        <v>15</v>
      </c>
      <c r="AB331" s="31">
        <f t="shared" si="119"/>
        <v>0.83364083767159314</v>
      </c>
      <c r="AC331" s="32">
        <v>1403</v>
      </c>
      <c r="AD331" s="24">
        <f t="shared" si="120"/>
        <v>382.63636363636363</v>
      </c>
      <c r="AE331" s="24">
        <f t="shared" si="125"/>
        <v>319</v>
      </c>
      <c r="AF331" s="24">
        <f t="shared" si="121"/>
        <v>-63.636363636363626</v>
      </c>
      <c r="AG331" s="24"/>
      <c r="AH331" s="24">
        <v>127.9</v>
      </c>
      <c r="AI331" s="24">
        <v>142.19999999999999</v>
      </c>
      <c r="AJ331" s="24">
        <f t="shared" si="122"/>
        <v>48.9</v>
      </c>
      <c r="AK331" s="68"/>
      <c r="AL331" s="40"/>
      <c r="AM331" s="40"/>
      <c r="AN331" s="68"/>
      <c r="AO331" s="68"/>
      <c r="AP331" s="24">
        <f t="shared" si="123"/>
        <v>48.9</v>
      </c>
      <c r="AQ331" s="24">
        <f>MIN(AP331,63.8)</f>
        <v>48.9</v>
      </c>
      <c r="AR331" s="24">
        <f t="shared" si="124"/>
        <v>0</v>
      </c>
      <c r="AS331" s="76"/>
      <c r="AT331" s="76"/>
      <c r="AU331" s="1"/>
      <c r="AV331" s="38"/>
      <c r="AW331" s="38"/>
      <c r="AX331" s="1"/>
      <c r="AY331" s="1"/>
      <c r="AZ331" s="1"/>
      <c r="BA331" s="1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9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9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9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9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9"/>
      <c r="GH331" s="8"/>
      <c r="GI331" s="8"/>
    </row>
    <row r="332" spans="1:191" s="2" customFormat="1" ht="17.100000000000001" customHeight="1">
      <c r="A332" s="33" t="s">
        <v>309</v>
      </c>
      <c r="B332" s="24">
        <v>261.5</v>
      </c>
      <c r="C332" s="24">
        <v>112.6</v>
      </c>
      <c r="D332" s="4">
        <f t="shared" si="118"/>
        <v>0.43059273422562139</v>
      </c>
      <c r="E332" s="10">
        <v>15</v>
      </c>
      <c r="F332" s="5">
        <v>1</v>
      </c>
      <c r="G332" s="5">
        <v>10</v>
      </c>
      <c r="H332" s="5"/>
      <c r="I332" s="5"/>
      <c r="J332" s="4">
        <f t="shared" si="126"/>
        <v>1.0239445494643982</v>
      </c>
      <c r="K332" s="5">
        <v>10</v>
      </c>
      <c r="L332" s="5" t="s">
        <v>394</v>
      </c>
      <c r="M332" s="5" t="s">
        <v>394</v>
      </c>
      <c r="N332" s="4" t="s">
        <v>394</v>
      </c>
      <c r="O332" s="5"/>
      <c r="P332" s="5" t="s">
        <v>394</v>
      </c>
      <c r="Q332" s="5" t="s">
        <v>394</v>
      </c>
      <c r="R332" s="5" t="s">
        <v>394</v>
      </c>
      <c r="S332" s="5"/>
      <c r="T332" s="5" t="s">
        <v>394</v>
      </c>
      <c r="U332" s="5" t="s">
        <v>394</v>
      </c>
      <c r="V332" s="5" t="s">
        <v>394</v>
      </c>
      <c r="W332" s="5"/>
      <c r="X332" s="5"/>
      <c r="Y332" s="5"/>
      <c r="Z332" s="4">
        <f t="shared" si="127"/>
        <v>0.60504201680672265</v>
      </c>
      <c r="AA332" s="5">
        <v>15</v>
      </c>
      <c r="AB332" s="31">
        <f t="shared" si="119"/>
        <v>0.71547933520258278</v>
      </c>
      <c r="AC332" s="32">
        <v>857</v>
      </c>
      <c r="AD332" s="24">
        <f t="shared" si="120"/>
        <v>233.72727272727272</v>
      </c>
      <c r="AE332" s="24">
        <f t="shared" si="125"/>
        <v>167.2</v>
      </c>
      <c r="AF332" s="24">
        <f t="shared" si="121"/>
        <v>-66.527272727272731</v>
      </c>
      <c r="AG332" s="24"/>
      <c r="AH332" s="24">
        <v>62.5</v>
      </c>
      <c r="AI332" s="24">
        <v>48.8</v>
      </c>
      <c r="AJ332" s="24">
        <f t="shared" si="122"/>
        <v>55.9</v>
      </c>
      <c r="AK332" s="68"/>
      <c r="AL332" s="40"/>
      <c r="AM332" s="40"/>
      <c r="AN332" s="68"/>
      <c r="AO332" s="68"/>
      <c r="AP332" s="24">
        <f t="shared" si="123"/>
        <v>55.9</v>
      </c>
      <c r="AQ332" s="24"/>
      <c r="AR332" s="24">
        <f t="shared" si="124"/>
        <v>55.9</v>
      </c>
      <c r="AS332" s="76"/>
      <c r="AT332" s="1"/>
      <c r="AU332" s="1"/>
      <c r="AV332" s="38"/>
      <c r="AW332" s="38"/>
      <c r="AX332" s="1"/>
      <c r="AY332" s="1"/>
      <c r="AZ332" s="1"/>
      <c r="BA332" s="1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9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9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9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9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9"/>
      <c r="GH332" s="8"/>
      <c r="GI332" s="8"/>
    </row>
    <row r="333" spans="1:191" s="2" customFormat="1" ht="17.100000000000001" customHeight="1">
      <c r="A333" s="17" t="s">
        <v>310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76"/>
      <c r="AT333" s="1"/>
      <c r="AU333" s="1"/>
      <c r="AV333" s="38"/>
      <c r="AW333" s="38"/>
      <c r="AX333" s="1"/>
      <c r="AY333" s="1"/>
      <c r="AZ333" s="1"/>
      <c r="BA333" s="1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9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9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9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9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9"/>
      <c r="GH333" s="8"/>
      <c r="GI333" s="8"/>
    </row>
    <row r="334" spans="1:191" s="2" customFormat="1" ht="17.100000000000001" customHeight="1">
      <c r="A334" s="13" t="s">
        <v>311</v>
      </c>
      <c r="B334" s="24">
        <v>85</v>
      </c>
      <c r="C334" s="24">
        <v>32.299999999999997</v>
      </c>
      <c r="D334" s="4">
        <f t="shared" si="118"/>
        <v>0.37999999999999995</v>
      </c>
      <c r="E334" s="10">
        <v>15</v>
      </c>
      <c r="F334" s="5">
        <v>1</v>
      </c>
      <c r="G334" s="5">
        <v>10</v>
      </c>
      <c r="H334" s="5"/>
      <c r="I334" s="5"/>
      <c r="J334" s="4">
        <f>J$53</f>
        <v>0.93751698513800419</v>
      </c>
      <c r="K334" s="5">
        <v>10</v>
      </c>
      <c r="L334" s="5" t="s">
        <v>394</v>
      </c>
      <c r="M334" s="5" t="s">
        <v>394</v>
      </c>
      <c r="N334" s="4" t="s">
        <v>394</v>
      </c>
      <c r="O334" s="5"/>
      <c r="P334" s="5" t="s">
        <v>394</v>
      </c>
      <c r="Q334" s="5" t="s">
        <v>394</v>
      </c>
      <c r="R334" s="5" t="s">
        <v>394</v>
      </c>
      <c r="S334" s="5"/>
      <c r="T334" s="5" t="s">
        <v>394</v>
      </c>
      <c r="U334" s="5" t="s">
        <v>394</v>
      </c>
      <c r="V334" s="5" t="s">
        <v>394</v>
      </c>
      <c r="W334" s="5"/>
      <c r="X334" s="5"/>
      <c r="Y334" s="5"/>
      <c r="Z334" s="4">
        <f>Z$53</f>
        <v>0.79259259259259252</v>
      </c>
      <c r="AA334" s="5">
        <v>15</v>
      </c>
      <c r="AB334" s="31">
        <f t="shared" si="119"/>
        <v>0.73928117480537847</v>
      </c>
      <c r="AC334" s="32">
        <v>2167</v>
      </c>
      <c r="AD334" s="24">
        <f t="shared" si="120"/>
        <v>591</v>
      </c>
      <c r="AE334" s="24">
        <f t="shared" ref="AE334:AE344" si="128">ROUND(AB334*AD334,1)</f>
        <v>436.9</v>
      </c>
      <c r="AF334" s="24">
        <f t="shared" si="121"/>
        <v>-154.10000000000002</v>
      </c>
      <c r="AG334" s="24"/>
      <c r="AH334" s="24">
        <v>148.69999999999999</v>
      </c>
      <c r="AI334" s="24">
        <v>142.19999999999999</v>
      </c>
      <c r="AJ334" s="24">
        <f t="shared" si="122"/>
        <v>146</v>
      </c>
      <c r="AK334" s="68"/>
      <c r="AL334" s="40"/>
      <c r="AM334" s="40"/>
      <c r="AN334" s="68"/>
      <c r="AO334" s="68"/>
      <c r="AP334" s="24">
        <f t="shared" si="123"/>
        <v>146</v>
      </c>
      <c r="AQ334" s="24">
        <f>MIN(AP334,98.5)</f>
        <v>98.5</v>
      </c>
      <c r="AR334" s="24">
        <f t="shared" si="124"/>
        <v>47.5</v>
      </c>
      <c r="AS334" s="76"/>
      <c r="AT334" s="1"/>
      <c r="AU334" s="1"/>
      <c r="AV334" s="38"/>
      <c r="AW334" s="38"/>
      <c r="AX334" s="1"/>
      <c r="AY334" s="1"/>
      <c r="AZ334" s="1"/>
      <c r="BA334" s="1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9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9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9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9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9"/>
      <c r="GH334" s="8"/>
      <c r="GI334" s="8"/>
    </row>
    <row r="335" spans="1:191" s="2" customFormat="1" ht="17.100000000000001" customHeight="1">
      <c r="A335" s="13" t="s">
        <v>312</v>
      </c>
      <c r="B335" s="24">
        <v>573.20000000000005</v>
      </c>
      <c r="C335" s="24">
        <v>592</v>
      </c>
      <c r="D335" s="4">
        <f t="shared" si="118"/>
        <v>1.0327983251919051</v>
      </c>
      <c r="E335" s="10">
        <v>15</v>
      </c>
      <c r="F335" s="5">
        <v>1</v>
      </c>
      <c r="G335" s="5">
        <v>10</v>
      </c>
      <c r="H335" s="5"/>
      <c r="I335" s="5"/>
      <c r="J335" s="4">
        <f t="shared" ref="J335:J344" si="129">J$53</f>
        <v>0.93751698513800419</v>
      </c>
      <c r="K335" s="5">
        <v>10</v>
      </c>
      <c r="L335" s="5" t="s">
        <v>394</v>
      </c>
      <c r="M335" s="5" t="s">
        <v>394</v>
      </c>
      <c r="N335" s="4" t="s">
        <v>394</v>
      </c>
      <c r="O335" s="5"/>
      <c r="P335" s="5" t="s">
        <v>394</v>
      </c>
      <c r="Q335" s="5" t="s">
        <v>394</v>
      </c>
      <c r="R335" s="5" t="s">
        <v>394</v>
      </c>
      <c r="S335" s="5"/>
      <c r="T335" s="5" t="s">
        <v>394</v>
      </c>
      <c r="U335" s="5" t="s">
        <v>394</v>
      </c>
      <c r="V335" s="5" t="s">
        <v>394</v>
      </c>
      <c r="W335" s="5"/>
      <c r="X335" s="5"/>
      <c r="Y335" s="5"/>
      <c r="Z335" s="4">
        <f t="shared" ref="Z335:Z344" si="130">Z$53</f>
        <v>0.79259259259259252</v>
      </c>
      <c r="AA335" s="5">
        <v>15</v>
      </c>
      <c r="AB335" s="31">
        <f t="shared" si="119"/>
        <v>0.93512067236295016</v>
      </c>
      <c r="AC335" s="32">
        <v>1854</v>
      </c>
      <c r="AD335" s="24">
        <f t="shared" si="120"/>
        <v>505.63636363636363</v>
      </c>
      <c r="AE335" s="24">
        <f t="shared" si="128"/>
        <v>472.8</v>
      </c>
      <c r="AF335" s="24">
        <f t="shared" si="121"/>
        <v>-32.836363636363615</v>
      </c>
      <c r="AG335" s="24"/>
      <c r="AH335" s="24">
        <v>158.30000000000001</v>
      </c>
      <c r="AI335" s="24">
        <v>198.2</v>
      </c>
      <c r="AJ335" s="24">
        <f t="shared" si="122"/>
        <v>116.3</v>
      </c>
      <c r="AK335" s="40"/>
      <c r="AL335" s="40"/>
      <c r="AM335" s="40"/>
      <c r="AN335" s="68"/>
      <c r="AO335" s="68"/>
      <c r="AP335" s="24">
        <f t="shared" si="123"/>
        <v>116.3</v>
      </c>
      <c r="AQ335" s="24">
        <f>MIN(AP335,84.3)</f>
        <v>84.3</v>
      </c>
      <c r="AR335" s="24">
        <f t="shared" si="124"/>
        <v>32</v>
      </c>
      <c r="AS335" s="76"/>
      <c r="AT335" s="1"/>
      <c r="AU335" s="1"/>
      <c r="AV335" s="38"/>
      <c r="AW335" s="38"/>
      <c r="AX335" s="1"/>
      <c r="AY335" s="1"/>
      <c r="AZ335" s="1"/>
      <c r="BA335" s="1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9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9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9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9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9"/>
      <c r="GH335" s="8"/>
      <c r="GI335" s="8"/>
    </row>
    <row r="336" spans="1:191" s="2" customFormat="1" ht="17.100000000000001" customHeight="1">
      <c r="A336" s="13" t="s">
        <v>265</v>
      </c>
      <c r="B336" s="24">
        <v>146.4</v>
      </c>
      <c r="C336" s="24">
        <v>85.1</v>
      </c>
      <c r="D336" s="4">
        <f t="shared" si="118"/>
        <v>0.58128415300546443</v>
      </c>
      <c r="E336" s="10">
        <v>15</v>
      </c>
      <c r="F336" s="5">
        <v>1</v>
      </c>
      <c r="G336" s="5">
        <v>10</v>
      </c>
      <c r="H336" s="5"/>
      <c r="I336" s="5"/>
      <c r="J336" s="4">
        <f t="shared" si="129"/>
        <v>0.93751698513800419</v>
      </c>
      <c r="K336" s="5">
        <v>10</v>
      </c>
      <c r="L336" s="5" t="s">
        <v>394</v>
      </c>
      <c r="M336" s="5" t="s">
        <v>394</v>
      </c>
      <c r="N336" s="4" t="s">
        <v>394</v>
      </c>
      <c r="O336" s="5"/>
      <c r="P336" s="5" t="s">
        <v>394</v>
      </c>
      <c r="Q336" s="5" t="s">
        <v>394</v>
      </c>
      <c r="R336" s="5" t="s">
        <v>394</v>
      </c>
      <c r="S336" s="5"/>
      <c r="T336" s="5" t="s">
        <v>394</v>
      </c>
      <c r="U336" s="5" t="s">
        <v>394</v>
      </c>
      <c r="V336" s="5" t="s">
        <v>394</v>
      </c>
      <c r="W336" s="5"/>
      <c r="X336" s="5"/>
      <c r="Y336" s="5"/>
      <c r="Z336" s="4">
        <f t="shared" si="130"/>
        <v>0.79259259259259252</v>
      </c>
      <c r="AA336" s="5">
        <v>15</v>
      </c>
      <c r="AB336" s="31">
        <f t="shared" si="119"/>
        <v>0.79966642070701799</v>
      </c>
      <c r="AC336" s="32">
        <v>1635</v>
      </c>
      <c r="AD336" s="24">
        <f t="shared" si="120"/>
        <v>445.90909090909088</v>
      </c>
      <c r="AE336" s="24">
        <f t="shared" si="128"/>
        <v>356.6</v>
      </c>
      <c r="AF336" s="24">
        <f t="shared" si="121"/>
        <v>-89.309090909090855</v>
      </c>
      <c r="AG336" s="24"/>
      <c r="AH336" s="24">
        <v>92.3</v>
      </c>
      <c r="AI336" s="24">
        <v>175.4</v>
      </c>
      <c r="AJ336" s="24">
        <f t="shared" si="122"/>
        <v>88.9</v>
      </c>
      <c r="AK336" s="68"/>
      <c r="AL336" s="40"/>
      <c r="AM336" s="40"/>
      <c r="AN336" s="68"/>
      <c r="AO336" s="68"/>
      <c r="AP336" s="24">
        <f t="shared" si="123"/>
        <v>88.9</v>
      </c>
      <c r="AQ336" s="24">
        <f>MIN(AP336,74.3)</f>
        <v>74.3</v>
      </c>
      <c r="AR336" s="24">
        <f t="shared" si="124"/>
        <v>14.6</v>
      </c>
      <c r="AS336" s="76"/>
      <c r="AT336" s="1"/>
      <c r="AU336" s="1"/>
      <c r="AV336" s="38"/>
      <c r="AW336" s="38"/>
      <c r="AX336" s="1"/>
      <c r="AY336" s="1"/>
      <c r="AZ336" s="1"/>
      <c r="BA336" s="1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9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9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9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9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9"/>
      <c r="GH336" s="8"/>
      <c r="GI336" s="8"/>
    </row>
    <row r="337" spans="1:191" s="2" customFormat="1" ht="17.100000000000001" customHeight="1">
      <c r="A337" s="13" t="s">
        <v>313</v>
      </c>
      <c r="B337" s="24">
        <v>77.599999999999994</v>
      </c>
      <c r="C337" s="24">
        <v>131</v>
      </c>
      <c r="D337" s="4">
        <f t="shared" si="118"/>
        <v>1.2488144329896906</v>
      </c>
      <c r="E337" s="10">
        <v>15</v>
      </c>
      <c r="F337" s="5">
        <v>1</v>
      </c>
      <c r="G337" s="5">
        <v>10</v>
      </c>
      <c r="H337" s="5"/>
      <c r="I337" s="5"/>
      <c r="J337" s="4">
        <f t="shared" si="129"/>
        <v>0.93751698513800419</v>
      </c>
      <c r="K337" s="5">
        <v>10</v>
      </c>
      <c r="L337" s="5" t="s">
        <v>394</v>
      </c>
      <c r="M337" s="5" t="s">
        <v>394</v>
      </c>
      <c r="N337" s="4" t="s">
        <v>394</v>
      </c>
      <c r="O337" s="5"/>
      <c r="P337" s="5" t="s">
        <v>394</v>
      </c>
      <c r="Q337" s="5" t="s">
        <v>394</v>
      </c>
      <c r="R337" s="5" t="s">
        <v>394</v>
      </c>
      <c r="S337" s="5"/>
      <c r="T337" s="5" t="s">
        <v>394</v>
      </c>
      <c r="U337" s="5" t="s">
        <v>394</v>
      </c>
      <c r="V337" s="5" t="s">
        <v>394</v>
      </c>
      <c r="W337" s="5"/>
      <c r="X337" s="5"/>
      <c r="Y337" s="5"/>
      <c r="Z337" s="4">
        <f t="shared" si="130"/>
        <v>0.79259259259259252</v>
      </c>
      <c r="AA337" s="5">
        <v>15</v>
      </c>
      <c r="AB337" s="31">
        <f t="shared" si="119"/>
        <v>0.99992550470228581</v>
      </c>
      <c r="AC337" s="32">
        <v>2826</v>
      </c>
      <c r="AD337" s="24">
        <f t="shared" si="120"/>
        <v>770.72727272727275</v>
      </c>
      <c r="AE337" s="24">
        <f t="shared" si="128"/>
        <v>770.7</v>
      </c>
      <c r="AF337" s="24">
        <f t="shared" si="121"/>
        <v>-2.7272727272702468E-2</v>
      </c>
      <c r="AG337" s="24"/>
      <c r="AH337" s="24">
        <v>256.89999999999998</v>
      </c>
      <c r="AI337" s="24">
        <v>295.60000000000002</v>
      </c>
      <c r="AJ337" s="24">
        <f t="shared" si="122"/>
        <v>218.2</v>
      </c>
      <c r="AK337" s="68"/>
      <c r="AL337" s="40"/>
      <c r="AM337" s="40"/>
      <c r="AN337" s="68"/>
      <c r="AO337" s="68"/>
      <c r="AP337" s="24">
        <f t="shared" si="123"/>
        <v>218.2</v>
      </c>
      <c r="AQ337" s="24">
        <f>MIN(AP337,128.5)</f>
        <v>128.5</v>
      </c>
      <c r="AR337" s="24">
        <f t="shared" si="124"/>
        <v>89.7</v>
      </c>
      <c r="AS337" s="76"/>
      <c r="AT337" s="1"/>
      <c r="AU337" s="1"/>
      <c r="AV337" s="38"/>
      <c r="AW337" s="38"/>
      <c r="AX337" s="1"/>
      <c r="AY337" s="1"/>
      <c r="AZ337" s="1"/>
      <c r="BA337" s="1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9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9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9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9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9"/>
      <c r="GH337" s="8"/>
      <c r="GI337" s="8"/>
    </row>
    <row r="338" spans="1:191" s="2" customFormat="1" ht="17.100000000000001" customHeight="1">
      <c r="A338" s="13" t="s">
        <v>314</v>
      </c>
      <c r="B338" s="24">
        <v>768.6</v>
      </c>
      <c r="C338" s="24">
        <v>481.7</v>
      </c>
      <c r="D338" s="4">
        <f t="shared" si="118"/>
        <v>0.62672391360915947</v>
      </c>
      <c r="E338" s="10">
        <v>15</v>
      </c>
      <c r="F338" s="5">
        <v>1</v>
      </c>
      <c r="G338" s="5">
        <v>10</v>
      </c>
      <c r="H338" s="5"/>
      <c r="I338" s="5"/>
      <c r="J338" s="4">
        <f t="shared" si="129"/>
        <v>0.93751698513800419</v>
      </c>
      <c r="K338" s="5">
        <v>10</v>
      </c>
      <c r="L338" s="5" t="s">
        <v>394</v>
      </c>
      <c r="M338" s="5" t="s">
        <v>394</v>
      </c>
      <c r="N338" s="4" t="s">
        <v>394</v>
      </c>
      <c r="O338" s="5"/>
      <c r="P338" s="5" t="s">
        <v>394</v>
      </c>
      <c r="Q338" s="5" t="s">
        <v>394</v>
      </c>
      <c r="R338" s="5" t="s">
        <v>394</v>
      </c>
      <c r="S338" s="5"/>
      <c r="T338" s="5" t="s">
        <v>394</v>
      </c>
      <c r="U338" s="5" t="s">
        <v>394</v>
      </c>
      <c r="V338" s="5" t="s">
        <v>394</v>
      </c>
      <c r="W338" s="5"/>
      <c r="X338" s="5"/>
      <c r="Y338" s="5"/>
      <c r="Z338" s="4">
        <f t="shared" si="130"/>
        <v>0.79259259259259252</v>
      </c>
      <c r="AA338" s="5">
        <v>15</v>
      </c>
      <c r="AB338" s="31">
        <f t="shared" si="119"/>
        <v>0.81329834888812647</v>
      </c>
      <c r="AC338" s="32">
        <v>2798</v>
      </c>
      <c r="AD338" s="24">
        <f t="shared" si="120"/>
        <v>763.09090909090912</v>
      </c>
      <c r="AE338" s="24">
        <f t="shared" si="128"/>
        <v>620.6</v>
      </c>
      <c r="AF338" s="24">
        <f t="shared" si="121"/>
        <v>-142.4909090909091</v>
      </c>
      <c r="AG338" s="24"/>
      <c r="AH338" s="24">
        <v>207</v>
      </c>
      <c r="AI338" s="24">
        <v>200.5</v>
      </c>
      <c r="AJ338" s="24">
        <f t="shared" si="122"/>
        <v>213.1</v>
      </c>
      <c r="AK338" s="40"/>
      <c r="AL338" s="40"/>
      <c r="AM338" s="40"/>
      <c r="AN338" s="68"/>
      <c r="AO338" s="68"/>
      <c r="AP338" s="24">
        <f t="shared" si="123"/>
        <v>213.1</v>
      </c>
      <c r="AQ338" s="24">
        <f>MIN(AP338,127.2)</f>
        <v>127.2</v>
      </c>
      <c r="AR338" s="24">
        <f t="shared" si="124"/>
        <v>85.9</v>
      </c>
      <c r="AS338" s="76"/>
      <c r="AT338" s="1"/>
      <c r="AU338" s="1"/>
      <c r="AV338" s="38"/>
      <c r="AW338" s="38"/>
      <c r="AZ338" s="1"/>
      <c r="BA338" s="1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9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9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9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9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9"/>
      <c r="GH338" s="8"/>
      <c r="GI338" s="8"/>
    </row>
    <row r="339" spans="1:191" s="2" customFormat="1" ht="17.100000000000001" customHeight="1">
      <c r="A339" s="13" t="s">
        <v>315</v>
      </c>
      <c r="B339" s="24">
        <v>524.29999999999995</v>
      </c>
      <c r="C339" s="24">
        <v>474.5</v>
      </c>
      <c r="D339" s="4">
        <f t="shared" si="118"/>
        <v>0.90501621209231364</v>
      </c>
      <c r="E339" s="10">
        <v>15</v>
      </c>
      <c r="F339" s="5">
        <v>1</v>
      </c>
      <c r="G339" s="5">
        <v>10</v>
      </c>
      <c r="H339" s="5"/>
      <c r="I339" s="5"/>
      <c r="J339" s="4">
        <f t="shared" si="129"/>
        <v>0.93751698513800419</v>
      </c>
      <c r="K339" s="5">
        <v>10</v>
      </c>
      <c r="L339" s="5" t="s">
        <v>394</v>
      </c>
      <c r="M339" s="5" t="s">
        <v>394</v>
      </c>
      <c r="N339" s="4" t="s">
        <v>394</v>
      </c>
      <c r="O339" s="5"/>
      <c r="P339" s="5" t="s">
        <v>394</v>
      </c>
      <c r="Q339" s="5" t="s">
        <v>394</v>
      </c>
      <c r="R339" s="5" t="s">
        <v>394</v>
      </c>
      <c r="S339" s="5"/>
      <c r="T339" s="5" t="s">
        <v>394</v>
      </c>
      <c r="U339" s="5" t="s">
        <v>394</v>
      </c>
      <c r="V339" s="5" t="s">
        <v>394</v>
      </c>
      <c r="W339" s="5"/>
      <c r="X339" s="5"/>
      <c r="Y339" s="5"/>
      <c r="Z339" s="4">
        <f t="shared" si="130"/>
        <v>0.79259259259259252</v>
      </c>
      <c r="AA339" s="5">
        <v>15</v>
      </c>
      <c r="AB339" s="31">
        <f t="shared" si="119"/>
        <v>0.8967860384330727</v>
      </c>
      <c r="AC339" s="32">
        <v>2771</v>
      </c>
      <c r="AD339" s="24">
        <f t="shared" si="120"/>
        <v>755.72727272727275</v>
      </c>
      <c r="AE339" s="24">
        <f t="shared" si="128"/>
        <v>677.7</v>
      </c>
      <c r="AF339" s="24">
        <f t="shared" si="121"/>
        <v>-78.027272727272702</v>
      </c>
      <c r="AG339" s="24"/>
      <c r="AH339" s="24">
        <v>297.3</v>
      </c>
      <c r="AI339" s="24">
        <v>117.9</v>
      </c>
      <c r="AJ339" s="24">
        <f t="shared" si="122"/>
        <v>262.5</v>
      </c>
      <c r="AK339" s="68"/>
      <c r="AL339" s="40"/>
      <c r="AM339" s="40"/>
      <c r="AN339" s="68"/>
      <c r="AO339" s="68"/>
      <c r="AP339" s="24">
        <f t="shared" si="123"/>
        <v>262.5</v>
      </c>
      <c r="AQ339" s="24">
        <f>MIN(AP339,126)</f>
        <v>126</v>
      </c>
      <c r="AR339" s="24">
        <f t="shared" si="124"/>
        <v>136.5</v>
      </c>
      <c r="AS339" s="76"/>
      <c r="AT339" s="1"/>
      <c r="AU339" s="1"/>
      <c r="AV339" s="38"/>
      <c r="AW339" s="38"/>
      <c r="AY339" s="1"/>
      <c r="AZ339" s="1"/>
      <c r="BA339" s="1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9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9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9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9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9"/>
      <c r="GH339" s="8"/>
      <c r="GI339" s="8"/>
    </row>
    <row r="340" spans="1:191" s="2" customFormat="1" ht="17.100000000000001" customHeight="1">
      <c r="A340" s="13" t="s">
        <v>316</v>
      </c>
      <c r="B340" s="24">
        <v>974.1</v>
      </c>
      <c r="C340" s="24">
        <v>954.6</v>
      </c>
      <c r="D340" s="4">
        <f t="shared" si="118"/>
        <v>0.97998152140437322</v>
      </c>
      <c r="E340" s="10">
        <v>15</v>
      </c>
      <c r="F340" s="5">
        <v>1</v>
      </c>
      <c r="G340" s="5">
        <v>10</v>
      </c>
      <c r="H340" s="5"/>
      <c r="I340" s="5"/>
      <c r="J340" s="4">
        <f t="shared" si="129"/>
        <v>0.93751698513800419</v>
      </c>
      <c r="K340" s="5">
        <v>10</v>
      </c>
      <c r="L340" s="5" t="s">
        <v>394</v>
      </c>
      <c r="M340" s="5" t="s">
        <v>394</v>
      </c>
      <c r="N340" s="4" t="s">
        <v>394</v>
      </c>
      <c r="O340" s="5"/>
      <c r="P340" s="5" t="s">
        <v>394</v>
      </c>
      <c r="Q340" s="5" t="s">
        <v>394</v>
      </c>
      <c r="R340" s="5" t="s">
        <v>394</v>
      </c>
      <c r="S340" s="5"/>
      <c r="T340" s="5" t="s">
        <v>394</v>
      </c>
      <c r="U340" s="5" t="s">
        <v>394</v>
      </c>
      <c r="V340" s="5" t="s">
        <v>394</v>
      </c>
      <c r="W340" s="5"/>
      <c r="X340" s="5"/>
      <c r="Y340" s="5"/>
      <c r="Z340" s="4">
        <f t="shared" si="130"/>
        <v>0.79259259259259252</v>
      </c>
      <c r="AA340" s="5">
        <v>15</v>
      </c>
      <c r="AB340" s="31">
        <f t="shared" si="119"/>
        <v>0.91927563122669054</v>
      </c>
      <c r="AC340" s="32">
        <v>2042</v>
      </c>
      <c r="AD340" s="24">
        <f t="shared" si="120"/>
        <v>556.90909090909088</v>
      </c>
      <c r="AE340" s="24">
        <f t="shared" si="128"/>
        <v>512</v>
      </c>
      <c r="AF340" s="24">
        <f t="shared" si="121"/>
        <v>-44.909090909090878</v>
      </c>
      <c r="AG340" s="24"/>
      <c r="AH340" s="24">
        <v>172.1</v>
      </c>
      <c r="AI340" s="24">
        <v>208</v>
      </c>
      <c r="AJ340" s="24">
        <f t="shared" si="122"/>
        <v>131.9</v>
      </c>
      <c r="AK340" s="40"/>
      <c r="AL340" s="40"/>
      <c r="AM340" s="40"/>
      <c r="AN340" s="68"/>
      <c r="AO340" s="68"/>
      <c r="AP340" s="24">
        <f t="shared" si="123"/>
        <v>131.9</v>
      </c>
      <c r="AQ340" s="24">
        <f>MIN(AP340,92.8)</f>
        <v>92.8</v>
      </c>
      <c r="AR340" s="24">
        <f t="shared" si="124"/>
        <v>39.1</v>
      </c>
      <c r="AS340" s="76"/>
      <c r="AT340" s="1"/>
      <c r="AU340" s="1"/>
      <c r="AV340" s="38"/>
      <c r="AW340" s="38"/>
      <c r="AX340" s="1"/>
      <c r="AY340" s="1"/>
      <c r="AZ340" s="1"/>
      <c r="BA340" s="1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9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9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9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9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9"/>
      <c r="GH340" s="8"/>
      <c r="GI340" s="8"/>
    </row>
    <row r="341" spans="1:191" s="2" customFormat="1" ht="17.100000000000001" customHeight="1">
      <c r="A341" s="13" t="s">
        <v>317</v>
      </c>
      <c r="B341" s="24">
        <v>141.6</v>
      </c>
      <c r="C341" s="24">
        <v>221.1</v>
      </c>
      <c r="D341" s="4">
        <f t="shared" si="118"/>
        <v>1.23614406779661</v>
      </c>
      <c r="E341" s="10">
        <v>15</v>
      </c>
      <c r="F341" s="5">
        <v>1</v>
      </c>
      <c r="G341" s="5">
        <v>10</v>
      </c>
      <c r="H341" s="5"/>
      <c r="I341" s="5"/>
      <c r="J341" s="4">
        <f t="shared" si="129"/>
        <v>0.93751698513800419</v>
      </c>
      <c r="K341" s="5">
        <v>10</v>
      </c>
      <c r="L341" s="5" t="s">
        <v>394</v>
      </c>
      <c r="M341" s="5" t="s">
        <v>394</v>
      </c>
      <c r="N341" s="4" t="s">
        <v>394</v>
      </c>
      <c r="O341" s="5"/>
      <c r="P341" s="5" t="s">
        <v>394</v>
      </c>
      <c r="Q341" s="5" t="s">
        <v>394</v>
      </c>
      <c r="R341" s="5" t="s">
        <v>394</v>
      </c>
      <c r="S341" s="5"/>
      <c r="T341" s="5" t="s">
        <v>394</v>
      </c>
      <c r="U341" s="5" t="s">
        <v>394</v>
      </c>
      <c r="V341" s="5" t="s">
        <v>394</v>
      </c>
      <c r="W341" s="5"/>
      <c r="X341" s="5"/>
      <c r="Y341" s="5"/>
      <c r="Z341" s="4">
        <f t="shared" si="130"/>
        <v>0.79259259259259252</v>
      </c>
      <c r="AA341" s="5">
        <v>15</v>
      </c>
      <c r="AB341" s="31">
        <f t="shared" si="119"/>
        <v>0.99612439514436157</v>
      </c>
      <c r="AC341" s="32">
        <v>1877</v>
      </c>
      <c r="AD341" s="24">
        <f t="shared" si="120"/>
        <v>511.90909090909088</v>
      </c>
      <c r="AE341" s="24">
        <f t="shared" si="128"/>
        <v>509.9</v>
      </c>
      <c r="AF341" s="24">
        <f t="shared" si="121"/>
        <v>-2.0090909090909008</v>
      </c>
      <c r="AG341" s="24"/>
      <c r="AH341" s="24">
        <v>113.1</v>
      </c>
      <c r="AI341" s="24">
        <v>201.4</v>
      </c>
      <c r="AJ341" s="24">
        <f t="shared" si="122"/>
        <v>195.4</v>
      </c>
      <c r="AK341" s="68"/>
      <c r="AL341" s="40"/>
      <c r="AM341" s="40"/>
      <c r="AN341" s="68"/>
      <c r="AO341" s="68"/>
      <c r="AP341" s="24">
        <f t="shared" si="123"/>
        <v>195.4</v>
      </c>
      <c r="AQ341" s="24">
        <f>MIN(AP341,85.3)</f>
        <v>85.3</v>
      </c>
      <c r="AR341" s="24">
        <f t="shared" si="124"/>
        <v>110.1</v>
      </c>
      <c r="AS341" s="76"/>
      <c r="AT341" s="1"/>
      <c r="AU341" s="1"/>
      <c r="AV341" s="38"/>
      <c r="AW341" s="38"/>
      <c r="AX341" s="1"/>
      <c r="AY341" s="1"/>
      <c r="AZ341" s="1"/>
      <c r="BA341" s="1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9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9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9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9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9"/>
      <c r="GH341" s="8"/>
      <c r="GI341" s="8"/>
    </row>
    <row r="342" spans="1:191" s="2" customFormat="1" ht="17.100000000000001" customHeight="1">
      <c r="A342" s="13" t="s">
        <v>318</v>
      </c>
      <c r="B342" s="24">
        <v>66.900000000000006</v>
      </c>
      <c r="C342" s="24">
        <v>153.80000000000001</v>
      </c>
      <c r="D342" s="4">
        <f t="shared" si="118"/>
        <v>1.3</v>
      </c>
      <c r="E342" s="10">
        <v>15</v>
      </c>
      <c r="F342" s="5">
        <v>1</v>
      </c>
      <c r="G342" s="5">
        <v>10</v>
      </c>
      <c r="H342" s="5"/>
      <c r="I342" s="5"/>
      <c r="J342" s="4">
        <f t="shared" si="129"/>
        <v>0.93751698513800419</v>
      </c>
      <c r="K342" s="5">
        <v>10</v>
      </c>
      <c r="L342" s="5" t="s">
        <v>394</v>
      </c>
      <c r="M342" s="5" t="s">
        <v>394</v>
      </c>
      <c r="N342" s="4" t="s">
        <v>394</v>
      </c>
      <c r="O342" s="5"/>
      <c r="P342" s="5" t="s">
        <v>394</v>
      </c>
      <c r="Q342" s="5" t="s">
        <v>394</v>
      </c>
      <c r="R342" s="5" t="s">
        <v>394</v>
      </c>
      <c r="S342" s="5"/>
      <c r="T342" s="5" t="s">
        <v>394</v>
      </c>
      <c r="U342" s="5" t="s">
        <v>394</v>
      </c>
      <c r="V342" s="5" t="s">
        <v>394</v>
      </c>
      <c r="W342" s="5"/>
      <c r="X342" s="5"/>
      <c r="Y342" s="5"/>
      <c r="Z342" s="4">
        <f t="shared" si="130"/>
        <v>0.79259259259259252</v>
      </c>
      <c r="AA342" s="5">
        <v>15</v>
      </c>
      <c r="AB342" s="31">
        <f t="shared" si="119"/>
        <v>1.0152811748053785</v>
      </c>
      <c r="AC342" s="32">
        <v>1664</v>
      </c>
      <c r="AD342" s="24">
        <f t="shared" si="120"/>
        <v>453.81818181818187</v>
      </c>
      <c r="AE342" s="24">
        <f t="shared" si="128"/>
        <v>460.8</v>
      </c>
      <c r="AF342" s="24">
        <f t="shared" si="121"/>
        <v>6.9818181818181415</v>
      </c>
      <c r="AG342" s="24"/>
      <c r="AH342" s="24">
        <v>175.6</v>
      </c>
      <c r="AI342" s="24">
        <v>178.5</v>
      </c>
      <c r="AJ342" s="24">
        <f t="shared" si="122"/>
        <v>106.7</v>
      </c>
      <c r="AK342" s="68"/>
      <c r="AL342" s="40"/>
      <c r="AM342" s="40"/>
      <c r="AN342" s="68"/>
      <c r="AO342" s="68"/>
      <c r="AP342" s="24">
        <f t="shared" si="123"/>
        <v>106.7</v>
      </c>
      <c r="AQ342" s="24">
        <f>MIN(AP342,75.6)</f>
        <v>75.599999999999994</v>
      </c>
      <c r="AR342" s="24">
        <f t="shared" si="124"/>
        <v>31.1</v>
      </c>
      <c r="AS342" s="76"/>
      <c r="AT342" s="1"/>
      <c r="AU342" s="1"/>
      <c r="AV342" s="38"/>
      <c r="AW342" s="38"/>
      <c r="AX342" s="1"/>
      <c r="AY342" s="1"/>
      <c r="AZ342" s="1"/>
      <c r="BA342" s="1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9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9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9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9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9"/>
      <c r="GH342" s="8"/>
      <c r="GI342" s="8"/>
    </row>
    <row r="343" spans="1:191" s="2" customFormat="1" ht="17.100000000000001" customHeight="1">
      <c r="A343" s="13" t="s">
        <v>319</v>
      </c>
      <c r="B343" s="24">
        <v>198.9</v>
      </c>
      <c r="C343" s="24">
        <v>235.6</v>
      </c>
      <c r="D343" s="4">
        <f t="shared" si="118"/>
        <v>1.1845148315736551</v>
      </c>
      <c r="E343" s="10">
        <v>15</v>
      </c>
      <c r="F343" s="5">
        <v>1</v>
      </c>
      <c r="G343" s="5">
        <v>10</v>
      </c>
      <c r="H343" s="5"/>
      <c r="I343" s="5"/>
      <c r="J343" s="4">
        <f t="shared" si="129"/>
        <v>0.93751698513800419</v>
      </c>
      <c r="K343" s="5">
        <v>10</v>
      </c>
      <c r="L343" s="5" t="s">
        <v>394</v>
      </c>
      <c r="M343" s="5" t="s">
        <v>394</v>
      </c>
      <c r="N343" s="4" t="s">
        <v>394</v>
      </c>
      <c r="O343" s="5"/>
      <c r="P343" s="5" t="s">
        <v>394</v>
      </c>
      <c r="Q343" s="5" t="s">
        <v>394</v>
      </c>
      <c r="R343" s="5" t="s">
        <v>394</v>
      </c>
      <c r="S343" s="5"/>
      <c r="T343" s="5" t="s">
        <v>394</v>
      </c>
      <c r="U343" s="5" t="s">
        <v>394</v>
      </c>
      <c r="V343" s="5" t="s">
        <v>394</v>
      </c>
      <c r="W343" s="5"/>
      <c r="X343" s="5"/>
      <c r="Y343" s="5"/>
      <c r="Z343" s="4">
        <f t="shared" si="130"/>
        <v>0.79259259259259252</v>
      </c>
      <c r="AA343" s="5">
        <v>15</v>
      </c>
      <c r="AB343" s="31">
        <f t="shared" si="119"/>
        <v>0.98063562427747508</v>
      </c>
      <c r="AC343" s="32">
        <v>2079</v>
      </c>
      <c r="AD343" s="24">
        <f t="shared" si="120"/>
        <v>567</v>
      </c>
      <c r="AE343" s="24">
        <f t="shared" si="128"/>
        <v>556</v>
      </c>
      <c r="AF343" s="24">
        <f t="shared" si="121"/>
        <v>-11</v>
      </c>
      <c r="AG343" s="24"/>
      <c r="AH343" s="24">
        <v>138.80000000000001</v>
      </c>
      <c r="AI343" s="24">
        <v>201.1</v>
      </c>
      <c r="AJ343" s="24">
        <f t="shared" si="122"/>
        <v>216.1</v>
      </c>
      <c r="AK343" s="40"/>
      <c r="AL343" s="40"/>
      <c r="AM343" s="40"/>
      <c r="AN343" s="68"/>
      <c r="AO343" s="68"/>
      <c r="AP343" s="24">
        <f t="shared" si="123"/>
        <v>216.1</v>
      </c>
      <c r="AQ343" s="24">
        <f>MIN(AP343,94.5)</f>
        <v>94.5</v>
      </c>
      <c r="AR343" s="24">
        <f t="shared" si="124"/>
        <v>121.6</v>
      </c>
      <c r="AS343" s="76"/>
      <c r="AT343" s="1"/>
      <c r="AU343" s="1"/>
      <c r="AV343" s="38"/>
      <c r="AW343" s="38"/>
      <c r="AY343" s="1"/>
      <c r="AZ343" s="1"/>
      <c r="BA343" s="1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9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9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9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9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9"/>
      <c r="GH343" s="8"/>
      <c r="GI343" s="8"/>
    </row>
    <row r="344" spans="1:191" s="2" customFormat="1" ht="17.100000000000001" customHeight="1">
      <c r="A344" s="13" t="s">
        <v>320</v>
      </c>
      <c r="B344" s="24">
        <v>3367.7</v>
      </c>
      <c r="C344" s="24">
        <v>3592.2</v>
      </c>
      <c r="D344" s="4">
        <f t="shared" si="118"/>
        <v>1.0666627074858213</v>
      </c>
      <c r="E344" s="10">
        <v>15</v>
      </c>
      <c r="F344" s="5">
        <v>1</v>
      </c>
      <c r="G344" s="5">
        <v>10</v>
      </c>
      <c r="H344" s="5"/>
      <c r="I344" s="5"/>
      <c r="J344" s="4">
        <f t="shared" si="129"/>
        <v>0.93751698513800419</v>
      </c>
      <c r="K344" s="5">
        <v>10</v>
      </c>
      <c r="L344" s="5" t="s">
        <v>394</v>
      </c>
      <c r="M344" s="5" t="s">
        <v>394</v>
      </c>
      <c r="N344" s="4" t="s">
        <v>394</v>
      </c>
      <c r="O344" s="5"/>
      <c r="P344" s="5" t="s">
        <v>394</v>
      </c>
      <c r="Q344" s="5" t="s">
        <v>394</v>
      </c>
      <c r="R344" s="5" t="s">
        <v>394</v>
      </c>
      <c r="S344" s="5"/>
      <c r="T344" s="5" t="s">
        <v>394</v>
      </c>
      <c r="U344" s="5" t="s">
        <v>394</v>
      </c>
      <c r="V344" s="5" t="s">
        <v>394</v>
      </c>
      <c r="W344" s="5"/>
      <c r="X344" s="5"/>
      <c r="Y344" s="5"/>
      <c r="Z344" s="4">
        <f t="shared" si="130"/>
        <v>0.79259259259259252</v>
      </c>
      <c r="AA344" s="5">
        <v>15</v>
      </c>
      <c r="AB344" s="31">
        <f t="shared" si="119"/>
        <v>0.94527998705112493</v>
      </c>
      <c r="AC344" s="32">
        <v>4388</v>
      </c>
      <c r="AD344" s="24">
        <f t="shared" si="120"/>
        <v>1196.7272727272727</v>
      </c>
      <c r="AE344" s="24">
        <f t="shared" si="128"/>
        <v>1131.2</v>
      </c>
      <c r="AF344" s="24">
        <f t="shared" si="121"/>
        <v>-65.527272727272702</v>
      </c>
      <c r="AG344" s="24"/>
      <c r="AH344" s="24">
        <v>433.8</v>
      </c>
      <c r="AI344" s="24">
        <v>356.6</v>
      </c>
      <c r="AJ344" s="24">
        <f t="shared" si="122"/>
        <v>340.8</v>
      </c>
      <c r="AK344" s="40"/>
      <c r="AL344" s="40"/>
      <c r="AM344" s="40"/>
      <c r="AN344" s="68"/>
      <c r="AO344" s="68"/>
      <c r="AP344" s="24">
        <f t="shared" si="123"/>
        <v>340.8</v>
      </c>
      <c r="AQ344" s="24">
        <f>MIN(AP344,199.5)</f>
        <v>199.5</v>
      </c>
      <c r="AR344" s="24">
        <f t="shared" si="124"/>
        <v>141.30000000000001</v>
      </c>
      <c r="AS344" s="76"/>
      <c r="AT344" s="1"/>
      <c r="AU344" s="1"/>
      <c r="AV344" s="38"/>
      <c r="AW344" s="38"/>
      <c r="AZ344" s="1"/>
      <c r="BA344" s="1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9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9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9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9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9"/>
      <c r="GH344" s="8"/>
      <c r="GI344" s="8"/>
    </row>
    <row r="345" spans="1:191" s="2" customFormat="1" ht="17.100000000000001" customHeight="1">
      <c r="A345" s="17" t="s">
        <v>321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76"/>
      <c r="AT345" s="1"/>
      <c r="AU345" s="1"/>
      <c r="AV345" s="38"/>
      <c r="AW345" s="38"/>
      <c r="AZ345" s="1"/>
      <c r="BA345" s="1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9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9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9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9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9"/>
      <c r="GH345" s="8"/>
      <c r="GI345" s="8"/>
    </row>
    <row r="346" spans="1:191" s="2" customFormat="1" ht="17.100000000000001" customHeight="1">
      <c r="A346" s="33" t="s">
        <v>322</v>
      </c>
      <c r="B346" s="24">
        <v>354</v>
      </c>
      <c r="C346" s="24">
        <v>301</v>
      </c>
      <c r="D346" s="4">
        <f t="shared" si="118"/>
        <v>0.85028248587570621</v>
      </c>
      <c r="E346" s="10">
        <v>15</v>
      </c>
      <c r="F346" s="5">
        <v>1</v>
      </c>
      <c r="G346" s="5">
        <v>10</v>
      </c>
      <c r="H346" s="5"/>
      <c r="I346" s="5"/>
      <c r="J346" s="4">
        <f>J$54</f>
        <v>1.0449425947187141</v>
      </c>
      <c r="K346" s="5">
        <v>10</v>
      </c>
      <c r="L346" s="5" t="s">
        <v>394</v>
      </c>
      <c r="M346" s="5" t="s">
        <v>394</v>
      </c>
      <c r="N346" s="4" t="s">
        <v>394</v>
      </c>
      <c r="O346" s="5"/>
      <c r="P346" s="5" t="s">
        <v>394</v>
      </c>
      <c r="Q346" s="5" t="s">
        <v>394</v>
      </c>
      <c r="R346" s="5" t="s">
        <v>394</v>
      </c>
      <c r="S346" s="5"/>
      <c r="T346" s="5" t="s">
        <v>394</v>
      </c>
      <c r="U346" s="5" t="s">
        <v>394</v>
      </c>
      <c r="V346" s="5" t="s">
        <v>394</v>
      </c>
      <c r="W346" s="5"/>
      <c r="X346" s="5"/>
      <c r="Y346" s="5"/>
      <c r="Z346" s="4">
        <f>Z$54</f>
        <v>0.91935483870967738</v>
      </c>
      <c r="AA346" s="5">
        <v>15</v>
      </c>
      <c r="AB346" s="31">
        <f t="shared" si="119"/>
        <v>0.93987971631935796</v>
      </c>
      <c r="AC346" s="32">
        <v>1462</v>
      </c>
      <c r="AD346" s="24">
        <f t="shared" si="120"/>
        <v>398.72727272727275</v>
      </c>
      <c r="AE346" s="24">
        <f t="shared" ref="AE346:AE356" si="131">ROUND(AB346*AD346,1)</f>
        <v>374.8</v>
      </c>
      <c r="AF346" s="24">
        <f t="shared" si="121"/>
        <v>-23.927272727272737</v>
      </c>
      <c r="AG346" s="24"/>
      <c r="AH346" s="24">
        <v>98.4</v>
      </c>
      <c r="AI346" s="24">
        <v>153.9</v>
      </c>
      <c r="AJ346" s="24">
        <f t="shared" si="122"/>
        <v>122.5</v>
      </c>
      <c r="AK346" s="68"/>
      <c r="AL346" s="40"/>
      <c r="AM346" s="40"/>
      <c r="AN346" s="68"/>
      <c r="AO346" s="68"/>
      <c r="AP346" s="24">
        <f t="shared" si="123"/>
        <v>122.5</v>
      </c>
      <c r="AQ346" s="24"/>
      <c r="AR346" s="24">
        <f t="shared" si="124"/>
        <v>122.5</v>
      </c>
      <c r="AS346" s="76"/>
      <c r="AT346" s="1"/>
      <c r="AU346" s="1"/>
      <c r="AV346" s="38"/>
      <c r="AW346" s="38"/>
      <c r="AX346" s="1"/>
      <c r="AY346" s="1"/>
      <c r="AZ346" s="1"/>
      <c r="BA346" s="1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9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9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9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9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9"/>
      <c r="GH346" s="8"/>
      <c r="GI346" s="8"/>
    </row>
    <row r="347" spans="1:191" s="2" customFormat="1" ht="17.100000000000001" customHeight="1">
      <c r="A347" s="33" t="s">
        <v>323</v>
      </c>
      <c r="B347" s="24">
        <v>145.1</v>
      </c>
      <c r="C347" s="24">
        <v>128.5</v>
      </c>
      <c r="D347" s="4">
        <f t="shared" si="118"/>
        <v>0.88559614059269476</v>
      </c>
      <c r="E347" s="10">
        <v>15</v>
      </c>
      <c r="F347" s="5">
        <v>1</v>
      </c>
      <c r="G347" s="5">
        <v>10</v>
      </c>
      <c r="H347" s="5"/>
      <c r="I347" s="5"/>
      <c r="J347" s="4">
        <f t="shared" ref="J347:J355" si="132">J$54</f>
        <v>1.0449425947187141</v>
      </c>
      <c r="K347" s="5">
        <v>10</v>
      </c>
      <c r="L347" s="5" t="s">
        <v>394</v>
      </c>
      <c r="M347" s="5" t="s">
        <v>394</v>
      </c>
      <c r="N347" s="4" t="s">
        <v>394</v>
      </c>
      <c r="O347" s="5"/>
      <c r="P347" s="5" t="s">
        <v>394</v>
      </c>
      <c r="Q347" s="5" t="s">
        <v>394</v>
      </c>
      <c r="R347" s="5" t="s">
        <v>394</v>
      </c>
      <c r="S347" s="5"/>
      <c r="T347" s="5" t="s">
        <v>394</v>
      </c>
      <c r="U347" s="5" t="s">
        <v>394</v>
      </c>
      <c r="V347" s="5" t="s">
        <v>394</v>
      </c>
      <c r="W347" s="5"/>
      <c r="X347" s="5"/>
      <c r="Y347" s="5"/>
      <c r="Z347" s="4">
        <f t="shared" ref="Z347:Z355" si="133">Z$54</f>
        <v>0.91935483870967738</v>
      </c>
      <c r="AA347" s="5">
        <v>15</v>
      </c>
      <c r="AB347" s="31">
        <f t="shared" si="119"/>
        <v>0.95047381273445453</v>
      </c>
      <c r="AC347" s="32">
        <v>1606</v>
      </c>
      <c r="AD347" s="24">
        <f t="shared" si="120"/>
        <v>438</v>
      </c>
      <c r="AE347" s="24">
        <f t="shared" si="131"/>
        <v>416.3</v>
      </c>
      <c r="AF347" s="24">
        <f t="shared" si="121"/>
        <v>-21.699999999999989</v>
      </c>
      <c r="AG347" s="24"/>
      <c r="AH347" s="24">
        <v>172.3</v>
      </c>
      <c r="AI347" s="24">
        <v>131.9</v>
      </c>
      <c r="AJ347" s="24">
        <f t="shared" si="122"/>
        <v>112.1</v>
      </c>
      <c r="AK347" s="68"/>
      <c r="AL347" s="40"/>
      <c r="AM347" s="40"/>
      <c r="AN347" s="68"/>
      <c r="AO347" s="68"/>
      <c r="AP347" s="24">
        <f t="shared" si="123"/>
        <v>112.1</v>
      </c>
      <c r="AQ347" s="24"/>
      <c r="AR347" s="24">
        <f t="shared" si="124"/>
        <v>112.1</v>
      </c>
      <c r="AS347" s="76"/>
      <c r="AT347" s="1"/>
      <c r="AU347" s="1"/>
      <c r="AV347" s="38"/>
      <c r="AW347" s="38"/>
      <c r="AX347" s="1"/>
      <c r="AY347" s="1"/>
      <c r="AZ347" s="1"/>
      <c r="BA347" s="1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9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9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9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9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9"/>
      <c r="GH347" s="8"/>
      <c r="GI347" s="8"/>
    </row>
    <row r="348" spans="1:191" s="2" customFormat="1" ht="17.100000000000001" customHeight="1">
      <c r="A348" s="33" t="s">
        <v>324</v>
      </c>
      <c r="B348" s="24">
        <v>264.10000000000002</v>
      </c>
      <c r="C348" s="24">
        <v>277.60000000000002</v>
      </c>
      <c r="D348" s="4">
        <f t="shared" si="118"/>
        <v>1.0511170011359334</v>
      </c>
      <c r="E348" s="10">
        <v>15</v>
      </c>
      <c r="F348" s="5">
        <v>1</v>
      </c>
      <c r="G348" s="5">
        <v>10</v>
      </c>
      <c r="H348" s="5"/>
      <c r="I348" s="5"/>
      <c r="J348" s="4">
        <f t="shared" si="132"/>
        <v>1.0449425947187141</v>
      </c>
      <c r="K348" s="5">
        <v>10</v>
      </c>
      <c r="L348" s="5" t="s">
        <v>394</v>
      </c>
      <c r="M348" s="5" t="s">
        <v>394</v>
      </c>
      <c r="N348" s="4" t="s">
        <v>394</v>
      </c>
      <c r="O348" s="5"/>
      <c r="P348" s="5" t="s">
        <v>394</v>
      </c>
      <c r="Q348" s="5" t="s">
        <v>394</v>
      </c>
      <c r="R348" s="5" t="s">
        <v>394</v>
      </c>
      <c r="S348" s="5"/>
      <c r="T348" s="5" t="s">
        <v>394</v>
      </c>
      <c r="U348" s="5" t="s">
        <v>394</v>
      </c>
      <c r="V348" s="5" t="s">
        <v>394</v>
      </c>
      <c r="W348" s="5"/>
      <c r="X348" s="5"/>
      <c r="Y348" s="5"/>
      <c r="Z348" s="4">
        <f t="shared" si="133"/>
        <v>0.91935483870967738</v>
      </c>
      <c r="AA348" s="5">
        <v>15</v>
      </c>
      <c r="AB348" s="31">
        <f t="shared" si="119"/>
        <v>1.0001300708974261</v>
      </c>
      <c r="AC348" s="32">
        <v>2087</v>
      </c>
      <c r="AD348" s="24">
        <f t="shared" si="120"/>
        <v>569.18181818181813</v>
      </c>
      <c r="AE348" s="24">
        <f t="shared" si="131"/>
        <v>569.29999999999995</v>
      </c>
      <c r="AF348" s="24">
        <f t="shared" si="121"/>
        <v>0.11818181818182438</v>
      </c>
      <c r="AG348" s="24"/>
      <c r="AH348" s="24">
        <v>215.1</v>
      </c>
      <c r="AI348" s="24">
        <v>200.1</v>
      </c>
      <c r="AJ348" s="24">
        <f t="shared" si="122"/>
        <v>154.1</v>
      </c>
      <c r="AK348" s="68"/>
      <c r="AL348" s="40"/>
      <c r="AM348" s="40"/>
      <c r="AN348" s="68"/>
      <c r="AO348" s="68"/>
      <c r="AP348" s="24">
        <f t="shared" si="123"/>
        <v>154.1</v>
      </c>
      <c r="AQ348" s="24"/>
      <c r="AR348" s="24">
        <f t="shared" si="124"/>
        <v>154.1</v>
      </c>
      <c r="AS348" s="76"/>
      <c r="AT348" s="1"/>
      <c r="AU348" s="1"/>
      <c r="AV348" s="38"/>
      <c r="AW348" s="38"/>
      <c r="AX348" s="1"/>
      <c r="AY348" s="1"/>
      <c r="AZ348" s="1"/>
      <c r="BA348" s="1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9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9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9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9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9"/>
      <c r="GH348" s="8"/>
      <c r="GI348" s="8"/>
    </row>
    <row r="349" spans="1:191" s="2" customFormat="1" ht="17.100000000000001" customHeight="1">
      <c r="A349" s="33" t="s">
        <v>325</v>
      </c>
      <c r="B349" s="24">
        <v>136.9</v>
      </c>
      <c r="C349" s="24">
        <v>91</v>
      </c>
      <c r="D349" s="4">
        <f t="shared" si="118"/>
        <v>0.66471877282688085</v>
      </c>
      <c r="E349" s="10">
        <v>15</v>
      </c>
      <c r="F349" s="5">
        <v>1</v>
      </c>
      <c r="G349" s="5">
        <v>10</v>
      </c>
      <c r="H349" s="5"/>
      <c r="I349" s="5"/>
      <c r="J349" s="4">
        <f t="shared" si="132"/>
        <v>1.0449425947187141</v>
      </c>
      <c r="K349" s="5">
        <v>10</v>
      </c>
      <c r="L349" s="5" t="s">
        <v>394</v>
      </c>
      <c r="M349" s="5" t="s">
        <v>394</v>
      </c>
      <c r="N349" s="4" t="s">
        <v>394</v>
      </c>
      <c r="O349" s="5"/>
      <c r="P349" s="5" t="s">
        <v>394</v>
      </c>
      <c r="Q349" s="5" t="s">
        <v>394</v>
      </c>
      <c r="R349" s="5" t="s">
        <v>394</v>
      </c>
      <c r="S349" s="5"/>
      <c r="T349" s="5" t="s">
        <v>394</v>
      </c>
      <c r="U349" s="5" t="s">
        <v>394</v>
      </c>
      <c r="V349" s="5" t="s">
        <v>394</v>
      </c>
      <c r="W349" s="5"/>
      <c r="X349" s="5"/>
      <c r="Y349" s="5"/>
      <c r="Z349" s="4">
        <f t="shared" si="133"/>
        <v>0.91935483870967738</v>
      </c>
      <c r="AA349" s="5">
        <v>15</v>
      </c>
      <c r="AB349" s="31">
        <f t="shared" si="119"/>
        <v>0.88421060240471039</v>
      </c>
      <c r="AC349" s="32">
        <v>1999</v>
      </c>
      <c r="AD349" s="24">
        <f t="shared" si="120"/>
        <v>545.18181818181813</v>
      </c>
      <c r="AE349" s="24">
        <f t="shared" si="131"/>
        <v>482.1</v>
      </c>
      <c r="AF349" s="24">
        <f t="shared" si="121"/>
        <v>-63.081818181818107</v>
      </c>
      <c r="AG349" s="24"/>
      <c r="AH349" s="24">
        <v>146.80000000000001</v>
      </c>
      <c r="AI349" s="24">
        <v>139</v>
      </c>
      <c r="AJ349" s="24">
        <f t="shared" si="122"/>
        <v>196.3</v>
      </c>
      <c r="AK349" s="68"/>
      <c r="AL349" s="40"/>
      <c r="AM349" s="40"/>
      <c r="AN349" s="68"/>
      <c r="AO349" s="68"/>
      <c r="AP349" s="24">
        <f t="shared" si="123"/>
        <v>196.3</v>
      </c>
      <c r="AQ349" s="24"/>
      <c r="AR349" s="24">
        <f t="shared" si="124"/>
        <v>196.3</v>
      </c>
      <c r="AS349" s="76"/>
      <c r="AT349" s="1"/>
      <c r="AU349" s="1"/>
      <c r="AV349" s="38"/>
      <c r="AW349" s="38"/>
      <c r="AX349" s="1"/>
      <c r="AY349" s="1"/>
      <c r="AZ349" s="1"/>
      <c r="BA349" s="1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9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9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9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9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9"/>
      <c r="GH349" s="8"/>
      <c r="GI349" s="8"/>
    </row>
    <row r="350" spans="1:191" s="2" customFormat="1" ht="17.100000000000001" customHeight="1">
      <c r="A350" s="33" t="s">
        <v>326</v>
      </c>
      <c r="B350" s="24">
        <v>327.5</v>
      </c>
      <c r="C350" s="24">
        <v>243.2</v>
      </c>
      <c r="D350" s="4">
        <f t="shared" si="118"/>
        <v>0.74259541984732824</v>
      </c>
      <c r="E350" s="10">
        <v>15</v>
      </c>
      <c r="F350" s="5">
        <v>1</v>
      </c>
      <c r="G350" s="5">
        <v>10</v>
      </c>
      <c r="H350" s="5"/>
      <c r="I350" s="5"/>
      <c r="J350" s="4">
        <f t="shared" si="132"/>
        <v>1.0449425947187141</v>
      </c>
      <c r="K350" s="5">
        <v>10</v>
      </c>
      <c r="L350" s="5" t="s">
        <v>394</v>
      </c>
      <c r="M350" s="5" t="s">
        <v>394</v>
      </c>
      <c r="N350" s="4" t="s">
        <v>394</v>
      </c>
      <c r="O350" s="5"/>
      <c r="P350" s="5" t="s">
        <v>394</v>
      </c>
      <c r="Q350" s="5" t="s">
        <v>394</v>
      </c>
      <c r="R350" s="5" t="s">
        <v>394</v>
      </c>
      <c r="S350" s="5"/>
      <c r="T350" s="5" t="s">
        <v>394</v>
      </c>
      <c r="U350" s="5" t="s">
        <v>394</v>
      </c>
      <c r="V350" s="5" t="s">
        <v>394</v>
      </c>
      <c r="W350" s="5"/>
      <c r="X350" s="5"/>
      <c r="Y350" s="5"/>
      <c r="Z350" s="4">
        <f t="shared" si="133"/>
        <v>0.91935483870967738</v>
      </c>
      <c r="AA350" s="5">
        <v>15</v>
      </c>
      <c r="AB350" s="31">
        <f t="shared" si="119"/>
        <v>0.90757359651084446</v>
      </c>
      <c r="AC350" s="32">
        <v>1154</v>
      </c>
      <c r="AD350" s="24">
        <f t="shared" si="120"/>
        <v>314.72727272727275</v>
      </c>
      <c r="AE350" s="24">
        <f t="shared" si="131"/>
        <v>285.60000000000002</v>
      </c>
      <c r="AF350" s="24">
        <f t="shared" si="121"/>
        <v>-29.127272727272725</v>
      </c>
      <c r="AG350" s="24"/>
      <c r="AH350" s="24">
        <v>85.4</v>
      </c>
      <c r="AI350" s="24">
        <v>97.9</v>
      </c>
      <c r="AJ350" s="24">
        <f t="shared" si="122"/>
        <v>102.3</v>
      </c>
      <c r="AK350" s="68"/>
      <c r="AL350" s="40"/>
      <c r="AM350" s="40"/>
      <c r="AN350" s="68"/>
      <c r="AO350" s="68"/>
      <c r="AP350" s="24">
        <f t="shared" si="123"/>
        <v>102.3</v>
      </c>
      <c r="AQ350" s="24"/>
      <c r="AR350" s="24">
        <f t="shared" si="124"/>
        <v>102.3</v>
      </c>
      <c r="AS350" s="76"/>
      <c r="AT350" s="1"/>
      <c r="AU350" s="1"/>
      <c r="AV350" s="38"/>
      <c r="AW350" s="38"/>
      <c r="AX350" s="1"/>
      <c r="AY350" s="1"/>
      <c r="AZ350" s="1"/>
      <c r="BA350" s="1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9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9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9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9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9"/>
      <c r="GH350" s="8"/>
      <c r="GI350" s="8"/>
    </row>
    <row r="351" spans="1:191" s="2" customFormat="1" ht="17.100000000000001" customHeight="1">
      <c r="A351" s="33" t="s">
        <v>327</v>
      </c>
      <c r="B351" s="24">
        <v>360.6</v>
      </c>
      <c r="C351" s="24">
        <v>234.6</v>
      </c>
      <c r="D351" s="4">
        <f t="shared" si="118"/>
        <v>0.65058236272878534</v>
      </c>
      <c r="E351" s="10">
        <v>15</v>
      </c>
      <c r="F351" s="5">
        <v>1</v>
      </c>
      <c r="G351" s="5">
        <v>10</v>
      </c>
      <c r="H351" s="5"/>
      <c r="I351" s="5"/>
      <c r="J351" s="4">
        <f t="shared" si="132"/>
        <v>1.0449425947187141</v>
      </c>
      <c r="K351" s="5">
        <v>10</v>
      </c>
      <c r="L351" s="5" t="s">
        <v>394</v>
      </c>
      <c r="M351" s="5" t="s">
        <v>394</v>
      </c>
      <c r="N351" s="4" t="s">
        <v>394</v>
      </c>
      <c r="O351" s="5"/>
      <c r="P351" s="5" t="s">
        <v>394</v>
      </c>
      <c r="Q351" s="5" t="s">
        <v>394</v>
      </c>
      <c r="R351" s="5" t="s">
        <v>394</v>
      </c>
      <c r="S351" s="5"/>
      <c r="T351" s="5" t="s">
        <v>394</v>
      </c>
      <c r="U351" s="5" t="s">
        <v>394</v>
      </c>
      <c r="V351" s="5" t="s">
        <v>394</v>
      </c>
      <c r="W351" s="5"/>
      <c r="X351" s="5"/>
      <c r="Y351" s="5"/>
      <c r="Z351" s="4">
        <f t="shared" si="133"/>
        <v>0.91935483870967738</v>
      </c>
      <c r="AA351" s="5">
        <v>15</v>
      </c>
      <c r="AB351" s="31">
        <f t="shared" si="119"/>
        <v>0.87996967937528159</v>
      </c>
      <c r="AC351" s="32">
        <v>1534</v>
      </c>
      <c r="AD351" s="24">
        <f t="shared" si="120"/>
        <v>418.36363636363637</v>
      </c>
      <c r="AE351" s="24">
        <f t="shared" si="131"/>
        <v>368.1</v>
      </c>
      <c r="AF351" s="24">
        <f t="shared" si="121"/>
        <v>-50.263636363636351</v>
      </c>
      <c r="AG351" s="24"/>
      <c r="AH351" s="24">
        <v>121.5</v>
      </c>
      <c r="AI351" s="24">
        <v>114.1</v>
      </c>
      <c r="AJ351" s="24">
        <f t="shared" si="122"/>
        <v>132.5</v>
      </c>
      <c r="AK351" s="68"/>
      <c r="AL351" s="40"/>
      <c r="AM351" s="40"/>
      <c r="AN351" s="68"/>
      <c r="AO351" s="68"/>
      <c r="AP351" s="24">
        <f t="shared" si="123"/>
        <v>132.5</v>
      </c>
      <c r="AQ351" s="24"/>
      <c r="AR351" s="24">
        <f t="shared" si="124"/>
        <v>132.5</v>
      </c>
      <c r="AS351" s="76"/>
      <c r="AT351" s="1"/>
      <c r="AU351" s="1"/>
      <c r="AV351" s="38"/>
      <c r="AW351" s="38"/>
      <c r="AX351" s="1"/>
      <c r="AY351" s="1"/>
      <c r="AZ351" s="1"/>
      <c r="BA351" s="1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9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9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9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9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9"/>
      <c r="GH351" s="8"/>
      <c r="GI351" s="8"/>
    </row>
    <row r="352" spans="1:191" s="2" customFormat="1" ht="17.100000000000001" customHeight="1">
      <c r="A352" s="33" t="s">
        <v>328</v>
      </c>
      <c r="B352" s="24">
        <v>203.7</v>
      </c>
      <c r="C352" s="24">
        <v>172.4</v>
      </c>
      <c r="D352" s="4">
        <f t="shared" si="118"/>
        <v>0.84634266077565057</v>
      </c>
      <c r="E352" s="10">
        <v>15</v>
      </c>
      <c r="F352" s="5">
        <v>1</v>
      </c>
      <c r="G352" s="5">
        <v>10</v>
      </c>
      <c r="H352" s="5"/>
      <c r="I352" s="5"/>
      <c r="J352" s="4">
        <f t="shared" si="132"/>
        <v>1.0449425947187141</v>
      </c>
      <c r="K352" s="5">
        <v>10</v>
      </c>
      <c r="L352" s="5" t="s">
        <v>394</v>
      </c>
      <c r="M352" s="5" t="s">
        <v>394</v>
      </c>
      <c r="N352" s="4" t="s">
        <v>394</v>
      </c>
      <c r="O352" s="5"/>
      <c r="P352" s="5" t="s">
        <v>394</v>
      </c>
      <c r="Q352" s="5" t="s">
        <v>394</v>
      </c>
      <c r="R352" s="5" t="s">
        <v>394</v>
      </c>
      <c r="S352" s="5"/>
      <c r="T352" s="5" t="s">
        <v>394</v>
      </c>
      <c r="U352" s="5" t="s">
        <v>394</v>
      </c>
      <c r="V352" s="5" t="s">
        <v>394</v>
      </c>
      <c r="W352" s="5"/>
      <c r="X352" s="5"/>
      <c r="Y352" s="5"/>
      <c r="Z352" s="4">
        <f t="shared" si="133"/>
        <v>0.91935483870967738</v>
      </c>
      <c r="AA352" s="5">
        <v>15</v>
      </c>
      <c r="AB352" s="31">
        <f t="shared" si="119"/>
        <v>0.93869776878934119</v>
      </c>
      <c r="AC352" s="32">
        <v>1693</v>
      </c>
      <c r="AD352" s="24">
        <f t="shared" si="120"/>
        <v>461.72727272727275</v>
      </c>
      <c r="AE352" s="24">
        <f t="shared" si="131"/>
        <v>433.4</v>
      </c>
      <c r="AF352" s="24">
        <f t="shared" si="121"/>
        <v>-28.327272727272771</v>
      </c>
      <c r="AG352" s="24"/>
      <c r="AH352" s="24">
        <v>139.30000000000001</v>
      </c>
      <c r="AI352" s="24">
        <v>106.8</v>
      </c>
      <c r="AJ352" s="24">
        <f t="shared" si="122"/>
        <v>187.3</v>
      </c>
      <c r="AK352" s="68"/>
      <c r="AL352" s="40"/>
      <c r="AM352" s="40"/>
      <c r="AN352" s="68"/>
      <c r="AO352" s="68"/>
      <c r="AP352" s="24">
        <f t="shared" si="123"/>
        <v>187.3</v>
      </c>
      <c r="AQ352" s="24"/>
      <c r="AR352" s="24">
        <f t="shared" si="124"/>
        <v>187.3</v>
      </c>
      <c r="AS352" s="76"/>
      <c r="AT352" s="1"/>
      <c r="AU352" s="1"/>
      <c r="AV352" s="38"/>
      <c r="AW352" s="38"/>
      <c r="AX352" s="1"/>
      <c r="AY352" s="1"/>
      <c r="AZ352" s="1"/>
      <c r="BA352" s="1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9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9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9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9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9"/>
      <c r="GH352" s="8"/>
      <c r="GI352" s="8"/>
    </row>
    <row r="353" spans="1:191" s="2" customFormat="1" ht="17.100000000000001" customHeight="1">
      <c r="A353" s="33" t="s">
        <v>329</v>
      </c>
      <c r="B353" s="24">
        <v>171.9</v>
      </c>
      <c r="C353" s="24">
        <v>75.3</v>
      </c>
      <c r="D353" s="4">
        <f t="shared" si="118"/>
        <v>0.43804537521815007</v>
      </c>
      <c r="E353" s="10">
        <v>15</v>
      </c>
      <c r="F353" s="5">
        <v>1</v>
      </c>
      <c r="G353" s="5">
        <v>10</v>
      </c>
      <c r="H353" s="5"/>
      <c r="I353" s="5"/>
      <c r="J353" s="4">
        <f t="shared" si="132"/>
        <v>1.0449425947187141</v>
      </c>
      <c r="K353" s="5">
        <v>10</v>
      </c>
      <c r="L353" s="5" t="s">
        <v>394</v>
      </c>
      <c r="M353" s="5" t="s">
        <v>394</v>
      </c>
      <c r="N353" s="4" t="s">
        <v>394</v>
      </c>
      <c r="O353" s="5"/>
      <c r="P353" s="5" t="s">
        <v>394</v>
      </c>
      <c r="Q353" s="5" t="s">
        <v>394</v>
      </c>
      <c r="R353" s="5" t="s">
        <v>394</v>
      </c>
      <c r="S353" s="5"/>
      <c r="T353" s="5" t="s">
        <v>394</v>
      </c>
      <c r="U353" s="5" t="s">
        <v>394</v>
      </c>
      <c r="V353" s="5" t="s">
        <v>394</v>
      </c>
      <c r="W353" s="5"/>
      <c r="X353" s="5"/>
      <c r="Y353" s="5"/>
      <c r="Z353" s="4">
        <f t="shared" si="133"/>
        <v>0.91935483870967738</v>
      </c>
      <c r="AA353" s="5">
        <v>15</v>
      </c>
      <c r="AB353" s="31">
        <f t="shared" si="119"/>
        <v>0.81620858312209099</v>
      </c>
      <c r="AC353" s="32">
        <v>1186</v>
      </c>
      <c r="AD353" s="24">
        <f t="shared" si="120"/>
        <v>323.45454545454544</v>
      </c>
      <c r="AE353" s="24">
        <f t="shared" si="131"/>
        <v>264</v>
      </c>
      <c r="AF353" s="24">
        <f t="shared" si="121"/>
        <v>-59.454545454545439</v>
      </c>
      <c r="AG353" s="24"/>
      <c r="AH353" s="24">
        <v>92.9</v>
      </c>
      <c r="AI353" s="24">
        <v>53.5</v>
      </c>
      <c r="AJ353" s="24">
        <f t="shared" si="122"/>
        <v>117.6</v>
      </c>
      <c r="AK353" s="68"/>
      <c r="AL353" s="40"/>
      <c r="AM353" s="40"/>
      <c r="AN353" s="68"/>
      <c r="AO353" s="68"/>
      <c r="AP353" s="24">
        <f t="shared" si="123"/>
        <v>117.6</v>
      </c>
      <c r="AQ353" s="24"/>
      <c r="AR353" s="24">
        <f t="shared" si="124"/>
        <v>117.6</v>
      </c>
      <c r="AS353" s="76"/>
      <c r="AT353" s="1"/>
      <c r="AU353" s="1"/>
      <c r="AV353" s="38"/>
      <c r="AW353" s="38"/>
      <c r="AX353" s="1"/>
      <c r="AY353" s="1"/>
      <c r="AZ353" s="1"/>
      <c r="BA353" s="1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9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9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9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9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9"/>
      <c r="GH353" s="8"/>
      <c r="GI353" s="8"/>
    </row>
    <row r="354" spans="1:191" s="2" customFormat="1" ht="17.100000000000001" customHeight="1">
      <c r="A354" s="33" t="s">
        <v>330</v>
      </c>
      <c r="B354" s="24">
        <v>2421.5</v>
      </c>
      <c r="C354" s="24">
        <v>1993.4</v>
      </c>
      <c r="D354" s="4">
        <f t="shared" si="118"/>
        <v>0.82320875490398515</v>
      </c>
      <c r="E354" s="10">
        <v>15</v>
      </c>
      <c r="F354" s="5">
        <v>1</v>
      </c>
      <c r="G354" s="5">
        <v>10</v>
      </c>
      <c r="H354" s="5"/>
      <c r="I354" s="5"/>
      <c r="J354" s="4">
        <f t="shared" si="132"/>
        <v>1.0449425947187141</v>
      </c>
      <c r="K354" s="5">
        <v>10</v>
      </c>
      <c r="L354" s="5" t="s">
        <v>394</v>
      </c>
      <c r="M354" s="5" t="s">
        <v>394</v>
      </c>
      <c r="N354" s="4" t="s">
        <v>394</v>
      </c>
      <c r="O354" s="5"/>
      <c r="P354" s="5" t="s">
        <v>394</v>
      </c>
      <c r="Q354" s="5" t="s">
        <v>394</v>
      </c>
      <c r="R354" s="5" t="s">
        <v>394</v>
      </c>
      <c r="S354" s="5"/>
      <c r="T354" s="5" t="s">
        <v>394</v>
      </c>
      <c r="U354" s="5" t="s">
        <v>394</v>
      </c>
      <c r="V354" s="5" t="s">
        <v>394</v>
      </c>
      <c r="W354" s="5"/>
      <c r="X354" s="5"/>
      <c r="Y354" s="5"/>
      <c r="Z354" s="4">
        <f t="shared" si="133"/>
        <v>0.91935483870967738</v>
      </c>
      <c r="AA354" s="5">
        <v>15</v>
      </c>
      <c r="AB354" s="31">
        <f t="shared" si="119"/>
        <v>0.93175759702784167</v>
      </c>
      <c r="AC354" s="32">
        <v>1844</v>
      </c>
      <c r="AD354" s="24">
        <f t="shared" si="120"/>
        <v>502.90909090909088</v>
      </c>
      <c r="AE354" s="24">
        <f t="shared" si="131"/>
        <v>468.6</v>
      </c>
      <c r="AF354" s="24">
        <f t="shared" si="121"/>
        <v>-34.309090909090855</v>
      </c>
      <c r="AG354" s="24"/>
      <c r="AH354" s="24">
        <v>162.19999999999999</v>
      </c>
      <c r="AI354" s="24">
        <v>148.19999999999999</v>
      </c>
      <c r="AJ354" s="24">
        <f t="shared" si="122"/>
        <v>158.19999999999999</v>
      </c>
      <c r="AK354" s="68"/>
      <c r="AL354" s="40"/>
      <c r="AM354" s="40"/>
      <c r="AN354" s="68"/>
      <c r="AO354" s="68"/>
      <c r="AP354" s="24">
        <f t="shared" si="123"/>
        <v>158.19999999999999</v>
      </c>
      <c r="AQ354" s="24"/>
      <c r="AR354" s="24">
        <f t="shared" si="124"/>
        <v>158.19999999999999</v>
      </c>
      <c r="AS354" s="76"/>
      <c r="AT354" s="1"/>
      <c r="AU354" s="1"/>
      <c r="AV354" s="38"/>
      <c r="AW354" s="38"/>
      <c r="AX354" s="1"/>
      <c r="AY354" s="1"/>
      <c r="AZ354" s="1"/>
      <c r="BA354" s="1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9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9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9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9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9"/>
      <c r="GH354" s="8"/>
      <c r="GI354" s="8"/>
    </row>
    <row r="355" spans="1:191" s="2" customFormat="1" ht="17.100000000000001" customHeight="1">
      <c r="A355" s="33" t="s">
        <v>331</v>
      </c>
      <c r="B355" s="24">
        <v>88.8</v>
      </c>
      <c r="C355" s="24">
        <v>89.5</v>
      </c>
      <c r="D355" s="4">
        <f t="shared" si="118"/>
        <v>1.007882882882883</v>
      </c>
      <c r="E355" s="10">
        <v>15</v>
      </c>
      <c r="F355" s="5">
        <v>1</v>
      </c>
      <c r="G355" s="5">
        <v>10</v>
      </c>
      <c r="H355" s="5"/>
      <c r="I355" s="5"/>
      <c r="J355" s="4">
        <f t="shared" si="132"/>
        <v>1.0449425947187141</v>
      </c>
      <c r="K355" s="5">
        <v>10</v>
      </c>
      <c r="L355" s="5" t="s">
        <v>394</v>
      </c>
      <c r="M355" s="5" t="s">
        <v>394</v>
      </c>
      <c r="N355" s="4" t="s">
        <v>394</v>
      </c>
      <c r="O355" s="5"/>
      <c r="P355" s="5" t="s">
        <v>394</v>
      </c>
      <c r="Q355" s="5" t="s">
        <v>394</v>
      </c>
      <c r="R355" s="5" t="s">
        <v>394</v>
      </c>
      <c r="S355" s="5"/>
      <c r="T355" s="5" t="s">
        <v>394</v>
      </c>
      <c r="U355" s="5" t="s">
        <v>394</v>
      </c>
      <c r="V355" s="5" t="s">
        <v>394</v>
      </c>
      <c r="W355" s="5"/>
      <c r="X355" s="5"/>
      <c r="Y355" s="5"/>
      <c r="Z355" s="4">
        <f t="shared" si="133"/>
        <v>0.91935483870967738</v>
      </c>
      <c r="AA355" s="5">
        <v>15</v>
      </c>
      <c r="AB355" s="31">
        <f t="shared" si="119"/>
        <v>0.98715983542151076</v>
      </c>
      <c r="AC355" s="32">
        <v>1086</v>
      </c>
      <c r="AD355" s="24">
        <f t="shared" si="120"/>
        <v>296.18181818181819</v>
      </c>
      <c r="AE355" s="24">
        <f t="shared" si="131"/>
        <v>292.39999999999998</v>
      </c>
      <c r="AF355" s="24">
        <f t="shared" si="121"/>
        <v>-3.7818181818182097</v>
      </c>
      <c r="AG355" s="24"/>
      <c r="AH355" s="24">
        <v>74.7</v>
      </c>
      <c r="AI355" s="24">
        <v>116.5</v>
      </c>
      <c r="AJ355" s="24">
        <f t="shared" si="122"/>
        <v>101.2</v>
      </c>
      <c r="AK355" s="68"/>
      <c r="AL355" s="40"/>
      <c r="AM355" s="40"/>
      <c r="AN355" s="68"/>
      <c r="AO355" s="68"/>
      <c r="AP355" s="24">
        <f t="shared" si="123"/>
        <v>101.2</v>
      </c>
      <c r="AQ355" s="24"/>
      <c r="AR355" s="24">
        <f t="shared" si="124"/>
        <v>101.2</v>
      </c>
      <c r="AS355" s="76"/>
      <c r="AT355" s="1"/>
      <c r="AU355" s="1"/>
      <c r="AV355" s="38"/>
      <c r="AW355" s="38"/>
      <c r="AX355" s="1"/>
      <c r="AY355" s="1"/>
      <c r="AZ355" s="1"/>
      <c r="BA355" s="1"/>
    </row>
    <row r="356" spans="1:191" s="2" customFormat="1" ht="17.100000000000001" customHeight="1">
      <c r="A356" s="33" t="s">
        <v>332</v>
      </c>
      <c r="B356" s="24">
        <v>197.8</v>
      </c>
      <c r="C356" s="24">
        <v>367</v>
      </c>
      <c r="D356" s="4">
        <f t="shared" si="118"/>
        <v>1.265540950455005</v>
      </c>
      <c r="E356" s="10">
        <v>15</v>
      </c>
      <c r="F356" s="5">
        <v>1</v>
      </c>
      <c r="G356" s="5">
        <v>10</v>
      </c>
      <c r="H356" s="5"/>
      <c r="I356" s="5"/>
      <c r="J356" s="4">
        <f>J$54</f>
        <v>1.0449425947187141</v>
      </c>
      <c r="K356" s="5">
        <v>10</v>
      </c>
      <c r="L356" s="5" t="s">
        <v>394</v>
      </c>
      <c r="M356" s="5" t="s">
        <v>394</v>
      </c>
      <c r="N356" s="4" t="s">
        <v>394</v>
      </c>
      <c r="O356" s="5"/>
      <c r="P356" s="5" t="s">
        <v>394</v>
      </c>
      <c r="Q356" s="5" t="s">
        <v>394</v>
      </c>
      <c r="R356" s="5" t="s">
        <v>394</v>
      </c>
      <c r="S356" s="5"/>
      <c r="T356" s="5" t="s">
        <v>394</v>
      </c>
      <c r="U356" s="5" t="s">
        <v>394</v>
      </c>
      <c r="V356" s="5" t="s">
        <v>394</v>
      </c>
      <c r="W356" s="5"/>
      <c r="X356" s="5"/>
      <c r="Y356" s="5"/>
      <c r="Z356" s="4">
        <f>Z$54</f>
        <v>0.91935483870967738</v>
      </c>
      <c r="AA356" s="5">
        <v>15</v>
      </c>
      <c r="AB356" s="31">
        <f t="shared" si="119"/>
        <v>1.0644572556931475</v>
      </c>
      <c r="AC356" s="32">
        <v>1538</v>
      </c>
      <c r="AD356" s="24">
        <f t="shared" si="120"/>
        <v>419.45454545454544</v>
      </c>
      <c r="AE356" s="24">
        <f t="shared" si="131"/>
        <v>446.5</v>
      </c>
      <c r="AF356" s="24">
        <f t="shared" si="121"/>
        <v>27.045454545454561</v>
      </c>
      <c r="AG356" s="24"/>
      <c r="AH356" s="24">
        <v>165</v>
      </c>
      <c r="AI356" s="24">
        <v>165</v>
      </c>
      <c r="AJ356" s="24">
        <f t="shared" si="122"/>
        <v>116.5</v>
      </c>
      <c r="AK356" s="68"/>
      <c r="AL356" s="40"/>
      <c r="AM356" s="40"/>
      <c r="AN356" s="68"/>
      <c r="AO356" s="68"/>
      <c r="AP356" s="24">
        <f t="shared" si="123"/>
        <v>116.5</v>
      </c>
      <c r="AQ356" s="24"/>
      <c r="AR356" s="24">
        <f t="shared" si="124"/>
        <v>116.5</v>
      </c>
      <c r="AS356" s="76"/>
      <c r="AT356" s="1"/>
      <c r="AU356" s="1"/>
      <c r="AV356" s="38"/>
      <c r="AW356" s="38"/>
      <c r="AX356" s="1"/>
      <c r="AY356" s="1"/>
      <c r="AZ356" s="1"/>
      <c r="BA356" s="1"/>
    </row>
    <row r="357" spans="1:191" s="2" customFormat="1" ht="17.100000000000001" customHeight="1">
      <c r="A357" s="17" t="s">
        <v>333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76"/>
      <c r="AT357" s="1"/>
      <c r="AU357" s="1"/>
      <c r="AV357" s="38"/>
      <c r="AW357" s="38"/>
      <c r="AX357" s="1"/>
      <c r="AY357" s="1"/>
      <c r="AZ357" s="1"/>
      <c r="BA357" s="1"/>
    </row>
    <row r="358" spans="1:191" s="2" customFormat="1" ht="17.100000000000001" customHeight="1">
      <c r="A358" s="33" t="s">
        <v>334</v>
      </c>
      <c r="B358" s="24">
        <v>33.5</v>
      </c>
      <c r="C358" s="24">
        <v>308.39999999999998</v>
      </c>
      <c r="D358" s="4">
        <f t="shared" si="118"/>
        <v>1.3</v>
      </c>
      <c r="E358" s="10">
        <v>15</v>
      </c>
      <c r="F358" s="5">
        <v>1</v>
      </c>
      <c r="G358" s="5">
        <v>10</v>
      </c>
      <c r="H358" s="5"/>
      <c r="I358" s="5"/>
      <c r="J358" s="4">
        <f>J$55</f>
        <v>0.93045454545454553</v>
      </c>
      <c r="K358" s="5">
        <v>10</v>
      </c>
      <c r="L358" s="5" t="s">
        <v>394</v>
      </c>
      <c r="M358" s="5" t="s">
        <v>394</v>
      </c>
      <c r="N358" s="4" t="s">
        <v>394</v>
      </c>
      <c r="O358" s="5"/>
      <c r="P358" s="5" t="s">
        <v>394</v>
      </c>
      <c r="Q358" s="5" t="s">
        <v>394</v>
      </c>
      <c r="R358" s="5" t="s">
        <v>394</v>
      </c>
      <c r="S358" s="5"/>
      <c r="T358" s="5" t="s">
        <v>394</v>
      </c>
      <c r="U358" s="5" t="s">
        <v>394</v>
      </c>
      <c r="V358" s="5" t="s">
        <v>394</v>
      </c>
      <c r="W358" s="5"/>
      <c r="X358" s="5"/>
      <c r="Y358" s="5"/>
      <c r="Z358" s="4">
        <f>Z$55</f>
        <v>1.06</v>
      </c>
      <c r="AA358" s="5">
        <v>15</v>
      </c>
      <c r="AB358" s="31">
        <f t="shared" si="119"/>
        <v>1.094090909090909</v>
      </c>
      <c r="AC358" s="32">
        <v>1170</v>
      </c>
      <c r="AD358" s="24">
        <f t="shared" si="120"/>
        <v>319.09090909090907</v>
      </c>
      <c r="AE358" s="24">
        <f t="shared" ref="AE358:AE367" si="134">ROUND(AB358*AD358,1)</f>
        <v>349.1</v>
      </c>
      <c r="AF358" s="24">
        <f t="shared" si="121"/>
        <v>30.009090909090958</v>
      </c>
      <c r="AG358" s="24"/>
      <c r="AH358" s="24">
        <v>120.4</v>
      </c>
      <c r="AI358" s="24">
        <v>119.7</v>
      </c>
      <c r="AJ358" s="24">
        <f t="shared" si="122"/>
        <v>109</v>
      </c>
      <c r="AK358" s="68"/>
      <c r="AL358" s="40"/>
      <c r="AM358" s="40"/>
      <c r="AN358" s="68"/>
      <c r="AO358" s="68"/>
      <c r="AP358" s="24">
        <f t="shared" si="123"/>
        <v>109</v>
      </c>
      <c r="AQ358" s="24"/>
      <c r="AR358" s="24">
        <f t="shared" si="124"/>
        <v>109</v>
      </c>
      <c r="AS358" s="76"/>
      <c r="AT358" s="1"/>
      <c r="AU358" s="1"/>
      <c r="AV358" s="38"/>
      <c r="AW358" s="38"/>
      <c r="AX358" s="1"/>
      <c r="AY358" s="1"/>
      <c r="AZ358" s="1"/>
      <c r="BA358" s="1"/>
    </row>
    <row r="359" spans="1:191" s="2" customFormat="1" ht="17.100000000000001" customHeight="1">
      <c r="A359" s="33" t="s">
        <v>49</v>
      </c>
      <c r="B359" s="24">
        <v>307.60000000000002</v>
      </c>
      <c r="C359" s="24">
        <v>515.4</v>
      </c>
      <c r="D359" s="4">
        <f t="shared" si="118"/>
        <v>1.2475552665799738</v>
      </c>
      <c r="E359" s="10">
        <v>15</v>
      </c>
      <c r="F359" s="5">
        <v>1</v>
      </c>
      <c r="G359" s="5">
        <v>10</v>
      </c>
      <c r="H359" s="5"/>
      <c r="I359" s="5"/>
      <c r="J359" s="4">
        <f t="shared" ref="J359:J367" si="135">J$55</f>
        <v>0.93045454545454553</v>
      </c>
      <c r="K359" s="5">
        <v>10</v>
      </c>
      <c r="L359" s="5" t="s">
        <v>394</v>
      </c>
      <c r="M359" s="5" t="s">
        <v>394</v>
      </c>
      <c r="N359" s="4" t="s">
        <v>394</v>
      </c>
      <c r="O359" s="5"/>
      <c r="P359" s="5" t="s">
        <v>394</v>
      </c>
      <c r="Q359" s="5" t="s">
        <v>394</v>
      </c>
      <c r="R359" s="5" t="s">
        <v>394</v>
      </c>
      <c r="S359" s="5"/>
      <c r="T359" s="5" t="s">
        <v>394</v>
      </c>
      <c r="U359" s="5" t="s">
        <v>394</v>
      </c>
      <c r="V359" s="5" t="s">
        <v>394</v>
      </c>
      <c r="W359" s="5"/>
      <c r="X359" s="5"/>
      <c r="Y359" s="5"/>
      <c r="Z359" s="4">
        <f t="shared" ref="Z359:Z367" si="136">Z$55</f>
        <v>1.06</v>
      </c>
      <c r="AA359" s="5">
        <v>15</v>
      </c>
      <c r="AB359" s="31">
        <f t="shared" si="119"/>
        <v>1.0783574890649013</v>
      </c>
      <c r="AC359" s="32">
        <v>2672</v>
      </c>
      <c r="AD359" s="24">
        <f t="shared" si="120"/>
        <v>728.72727272727275</v>
      </c>
      <c r="AE359" s="24">
        <f t="shared" si="134"/>
        <v>785.8</v>
      </c>
      <c r="AF359" s="24">
        <f t="shared" si="121"/>
        <v>57.072727272727207</v>
      </c>
      <c r="AG359" s="24"/>
      <c r="AH359" s="24">
        <v>197.8</v>
      </c>
      <c r="AI359" s="24">
        <v>286.60000000000002</v>
      </c>
      <c r="AJ359" s="24">
        <f t="shared" si="122"/>
        <v>301.39999999999998</v>
      </c>
      <c r="AK359" s="68"/>
      <c r="AL359" s="40"/>
      <c r="AM359" s="40"/>
      <c r="AN359" s="68"/>
      <c r="AO359" s="68"/>
      <c r="AP359" s="24">
        <f t="shared" si="123"/>
        <v>301.39999999999998</v>
      </c>
      <c r="AQ359" s="24"/>
      <c r="AR359" s="24">
        <f t="shared" si="124"/>
        <v>301.39999999999998</v>
      </c>
      <c r="AS359" s="76"/>
      <c r="AT359" s="1"/>
      <c r="AU359" s="1"/>
      <c r="AV359" s="38"/>
      <c r="AW359" s="38"/>
      <c r="BA359" s="1"/>
    </row>
    <row r="360" spans="1:191" s="2" customFormat="1" ht="17.100000000000001" customHeight="1">
      <c r="A360" s="33" t="s">
        <v>335</v>
      </c>
      <c r="B360" s="24">
        <v>176.6</v>
      </c>
      <c r="C360" s="24">
        <v>173.2</v>
      </c>
      <c r="D360" s="4">
        <f t="shared" si="118"/>
        <v>0.98074745186862966</v>
      </c>
      <c r="E360" s="10">
        <v>15</v>
      </c>
      <c r="F360" s="5">
        <v>1</v>
      </c>
      <c r="G360" s="5">
        <v>10</v>
      </c>
      <c r="H360" s="5"/>
      <c r="I360" s="5"/>
      <c r="J360" s="4">
        <f t="shared" si="135"/>
        <v>0.93045454545454553</v>
      </c>
      <c r="K360" s="5">
        <v>10</v>
      </c>
      <c r="L360" s="5" t="s">
        <v>394</v>
      </c>
      <c r="M360" s="5" t="s">
        <v>394</v>
      </c>
      <c r="N360" s="4" t="s">
        <v>394</v>
      </c>
      <c r="O360" s="5"/>
      <c r="P360" s="5" t="s">
        <v>394</v>
      </c>
      <c r="Q360" s="5" t="s">
        <v>394</v>
      </c>
      <c r="R360" s="5" t="s">
        <v>394</v>
      </c>
      <c r="S360" s="5"/>
      <c r="T360" s="5" t="s">
        <v>394</v>
      </c>
      <c r="U360" s="5" t="s">
        <v>394</v>
      </c>
      <c r="V360" s="5" t="s">
        <v>394</v>
      </c>
      <c r="W360" s="5"/>
      <c r="X360" s="5"/>
      <c r="Y360" s="5"/>
      <c r="Z360" s="4">
        <f t="shared" si="136"/>
        <v>1.06</v>
      </c>
      <c r="AA360" s="5">
        <v>15</v>
      </c>
      <c r="AB360" s="31">
        <f t="shared" si="119"/>
        <v>0.99831514465149795</v>
      </c>
      <c r="AC360" s="32">
        <v>1378</v>
      </c>
      <c r="AD360" s="24">
        <f t="shared" si="120"/>
        <v>375.81818181818181</v>
      </c>
      <c r="AE360" s="24">
        <f t="shared" si="134"/>
        <v>375.2</v>
      </c>
      <c r="AF360" s="24">
        <f t="shared" si="121"/>
        <v>-0.61818181818182438</v>
      </c>
      <c r="AG360" s="24"/>
      <c r="AH360" s="24">
        <v>108.2</v>
      </c>
      <c r="AI360" s="24">
        <v>133.4</v>
      </c>
      <c r="AJ360" s="24">
        <f t="shared" si="122"/>
        <v>133.6</v>
      </c>
      <c r="AK360" s="68"/>
      <c r="AL360" s="40"/>
      <c r="AM360" s="40"/>
      <c r="AN360" s="68"/>
      <c r="AO360" s="68"/>
      <c r="AP360" s="24">
        <f t="shared" si="123"/>
        <v>133.6</v>
      </c>
      <c r="AQ360" s="24"/>
      <c r="AR360" s="24">
        <f t="shared" si="124"/>
        <v>133.6</v>
      </c>
      <c r="AS360" s="76"/>
      <c r="AT360" s="1"/>
      <c r="AU360" s="1"/>
      <c r="AV360" s="38"/>
      <c r="AW360" s="38"/>
      <c r="AY360" s="1"/>
      <c r="AZ360" s="1"/>
      <c r="BA360" s="1"/>
    </row>
    <row r="361" spans="1:191" s="2" customFormat="1" ht="17.100000000000001" customHeight="1">
      <c r="A361" s="33" t="s">
        <v>336</v>
      </c>
      <c r="B361" s="24">
        <v>338.7</v>
      </c>
      <c r="C361" s="24">
        <v>263.89999999999998</v>
      </c>
      <c r="D361" s="4">
        <f t="shared" si="118"/>
        <v>0.77915559492175968</v>
      </c>
      <c r="E361" s="10">
        <v>15</v>
      </c>
      <c r="F361" s="5">
        <v>1</v>
      </c>
      <c r="G361" s="5">
        <v>10</v>
      </c>
      <c r="H361" s="5"/>
      <c r="I361" s="5"/>
      <c r="J361" s="4">
        <f t="shared" si="135"/>
        <v>0.93045454545454553</v>
      </c>
      <c r="K361" s="5">
        <v>10</v>
      </c>
      <c r="L361" s="5" t="s">
        <v>394</v>
      </c>
      <c r="M361" s="5" t="s">
        <v>394</v>
      </c>
      <c r="N361" s="4" t="s">
        <v>394</v>
      </c>
      <c r="O361" s="5"/>
      <c r="P361" s="5" t="s">
        <v>394</v>
      </c>
      <c r="Q361" s="5" t="s">
        <v>394</v>
      </c>
      <c r="R361" s="5" t="s">
        <v>394</v>
      </c>
      <c r="S361" s="5"/>
      <c r="T361" s="5" t="s">
        <v>394</v>
      </c>
      <c r="U361" s="5" t="s">
        <v>394</v>
      </c>
      <c r="V361" s="5" t="s">
        <v>394</v>
      </c>
      <c r="W361" s="5"/>
      <c r="X361" s="5"/>
      <c r="Y361" s="5"/>
      <c r="Z361" s="4">
        <f t="shared" si="136"/>
        <v>1.06</v>
      </c>
      <c r="AA361" s="5">
        <v>15</v>
      </c>
      <c r="AB361" s="31">
        <f t="shared" si="119"/>
        <v>0.93783758756743696</v>
      </c>
      <c r="AC361" s="32">
        <v>1146</v>
      </c>
      <c r="AD361" s="24">
        <f t="shared" si="120"/>
        <v>312.54545454545456</v>
      </c>
      <c r="AE361" s="24">
        <f t="shared" si="134"/>
        <v>293.10000000000002</v>
      </c>
      <c r="AF361" s="24">
        <f t="shared" si="121"/>
        <v>-19.445454545454538</v>
      </c>
      <c r="AG361" s="24"/>
      <c r="AH361" s="24">
        <v>102.7</v>
      </c>
      <c r="AI361" s="24">
        <v>89.4</v>
      </c>
      <c r="AJ361" s="24">
        <f t="shared" si="122"/>
        <v>101</v>
      </c>
      <c r="AK361" s="68"/>
      <c r="AL361" s="40"/>
      <c r="AM361" s="40"/>
      <c r="AN361" s="68"/>
      <c r="AO361" s="68"/>
      <c r="AP361" s="24">
        <f t="shared" si="123"/>
        <v>101</v>
      </c>
      <c r="AQ361" s="24">
        <f>MIN(AP361,38.1)</f>
        <v>38.1</v>
      </c>
      <c r="AR361" s="24">
        <f t="shared" si="124"/>
        <v>62.9</v>
      </c>
      <c r="AS361" s="76"/>
      <c r="AT361" s="1"/>
      <c r="AU361" s="1"/>
      <c r="AV361" s="38"/>
      <c r="AW361" s="38"/>
      <c r="AX361" s="1"/>
      <c r="AY361" s="1"/>
      <c r="AZ361" s="1"/>
      <c r="BA361" s="1"/>
    </row>
    <row r="362" spans="1:191" s="2" customFormat="1" ht="17.100000000000001" customHeight="1">
      <c r="A362" s="33" t="s">
        <v>337</v>
      </c>
      <c r="B362" s="24">
        <v>274.2</v>
      </c>
      <c r="C362" s="24">
        <v>434.2</v>
      </c>
      <c r="D362" s="4">
        <f t="shared" si="118"/>
        <v>1.2383515681983952</v>
      </c>
      <c r="E362" s="10">
        <v>15</v>
      </c>
      <c r="F362" s="5">
        <v>1</v>
      </c>
      <c r="G362" s="5">
        <v>10</v>
      </c>
      <c r="H362" s="5"/>
      <c r="I362" s="5"/>
      <c r="J362" s="4">
        <f t="shared" si="135"/>
        <v>0.93045454545454553</v>
      </c>
      <c r="K362" s="5">
        <v>10</v>
      </c>
      <c r="L362" s="5" t="s">
        <v>394</v>
      </c>
      <c r="M362" s="5" t="s">
        <v>394</v>
      </c>
      <c r="N362" s="4" t="s">
        <v>394</v>
      </c>
      <c r="O362" s="5"/>
      <c r="P362" s="5" t="s">
        <v>394</v>
      </c>
      <c r="Q362" s="5" t="s">
        <v>394</v>
      </c>
      <c r="R362" s="5" t="s">
        <v>394</v>
      </c>
      <c r="S362" s="5"/>
      <c r="T362" s="5" t="s">
        <v>394</v>
      </c>
      <c r="U362" s="5" t="s">
        <v>394</v>
      </c>
      <c r="V362" s="5" t="s">
        <v>394</v>
      </c>
      <c r="W362" s="5"/>
      <c r="X362" s="5"/>
      <c r="Y362" s="5"/>
      <c r="Z362" s="4">
        <f t="shared" si="136"/>
        <v>1.06</v>
      </c>
      <c r="AA362" s="5">
        <v>15</v>
      </c>
      <c r="AB362" s="31">
        <f t="shared" si="119"/>
        <v>1.0755963795504275</v>
      </c>
      <c r="AC362" s="32">
        <v>1283</v>
      </c>
      <c r="AD362" s="24">
        <f t="shared" si="120"/>
        <v>349.90909090909093</v>
      </c>
      <c r="AE362" s="24">
        <f t="shared" si="134"/>
        <v>376.4</v>
      </c>
      <c r="AF362" s="24">
        <f t="shared" si="121"/>
        <v>26.490909090909042</v>
      </c>
      <c r="AG362" s="24"/>
      <c r="AH362" s="24">
        <v>100.6</v>
      </c>
      <c r="AI362" s="24">
        <v>137.6</v>
      </c>
      <c r="AJ362" s="24">
        <f t="shared" si="122"/>
        <v>138.19999999999999</v>
      </c>
      <c r="AK362" s="68"/>
      <c r="AL362" s="40"/>
      <c r="AM362" s="40"/>
      <c r="AN362" s="68"/>
      <c r="AO362" s="68"/>
      <c r="AP362" s="24">
        <f t="shared" si="123"/>
        <v>138.19999999999999</v>
      </c>
      <c r="AQ362" s="24"/>
      <c r="AR362" s="24">
        <f t="shared" si="124"/>
        <v>138.19999999999999</v>
      </c>
      <c r="AS362" s="76"/>
      <c r="AT362" s="1"/>
      <c r="AU362" s="1"/>
      <c r="AV362" s="38"/>
      <c r="AW362" s="38"/>
      <c r="AZ362" s="1"/>
      <c r="BA362" s="1"/>
    </row>
    <row r="363" spans="1:191" s="2" customFormat="1" ht="17.100000000000001" customHeight="1">
      <c r="A363" s="33" t="s">
        <v>338</v>
      </c>
      <c r="B363" s="24">
        <v>1066.0999999999999</v>
      </c>
      <c r="C363" s="24">
        <v>1508</v>
      </c>
      <c r="D363" s="4">
        <f t="shared" si="118"/>
        <v>1.2214501453897382</v>
      </c>
      <c r="E363" s="10">
        <v>15</v>
      </c>
      <c r="F363" s="5">
        <v>1</v>
      </c>
      <c r="G363" s="5">
        <v>10</v>
      </c>
      <c r="H363" s="5"/>
      <c r="I363" s="5"/>
      <c r="J363" s="4">
        <f t="shared" si="135"/>
        <v>0.93045454545454553</v>
      </c>
      <c r="K363" s="5">
        <v>10</v>
      </c>
      <c r="L363" s="5" t="s">
        <v>394</v>
      </c>
      <c r="M363" s="5" t="s">
        <v>394</v>
      </c>
      <c r="N363" s="4" t="s">
        <v>394</v>
      </c>
      <c r="O363" s="5"/>
      <c r="P363" s="5" t="s">
        <v>394</v>
      </c>
      <c r="Q363" s="5" t="s">
        <v>394</v>
      </c>
      <c r="R363" s="5" t="s">
        <v>394</v>
      </c>
      <c r="S363" s="5"/>
      <c r="T363" s="5" t="s">
        <v>394</v>
      </c>
      <c r="U363" s="5" t="s">
        <v>394</v>
      </c>
      <c r="V363" s="5" t="s">
        <v>394</v>
      </c>
      <c r="W363" s="5"/>
      <c r="X363" s="5"/>
      <c r="Y363" s="5"/>
      <c r="Z363" s="4">
        <f t="shared" si="136"/>
        <v>1.06</v>
      </c>
      <c r="AA363" s="5">
        <v>15</v>
      </c>
      <c r="AB363" s="31">
        <f t="shared" si="119"/>
        <v>1.0705259527078304</v>
      </c>
      <c r="AC363" s="32">
        <v>77</v>
      </c>
      <c r="AD363" s="24">
        <f t="shared" si="120"/>
        <v>21</v>
      </c>
      <c r="AE363" s="24">
        <f t="shared" si="134"/>
        <v>22.5</v>
      </c>
      <c r="AF363" s="24">
        <f t="shared" si="121"/>
        <v>1.5</v>
      </c>
      <c r="AG363" s="24"/>
      <c r="AH363" s="24">
        <v>5.9</v>
      </c>
      <c r="AI363" s="24">
        <v>5.8</v>
      </c>
      <c r="AJ363" s="24">
        <f t="shared" si="122"/>
        <v>10.8</v>
      </c>
      <c r="AK363" s="40"/>
      <c r="AL363" s="40"/>
      <c r="AM363" s="40"/>
      <c r="AN363" s="68"/>
      <c r="AO363" s="68"/>
      <c r="AP363" s="24">
        <f t="shared" si="123"/>
        <v>10.8</v>
      </c>
      <c r="AQ363" s="24">
        <f>MIN(AP363,3.5)</f>
        <v>3.5</v>
      </c>
      <c r="AR363" s="24">
        <f t="shared" si="124"/>
        <v>7.3</v>
      </c>
      <c r="AS363" s="76"/>
      <c r="AT363" s="1"/>
      <c r="AU363" s="1"/>
      <c r="AV363" s="38"/>
      <c r="AW363" s="38"/>
      <c r="AX363" s="1"/>
      <c r="AY363" s="1"/>
      <c r="AZ363" s="1"/>
      <c r="BA363" s="1"/>
    </row>
    <row r="364" spans="1:191" s="2" customFormat="1" ht="17.100000000000001" customHeight="1">
      <c r="A364" s="33" t="s">
        <v>339</v>
      </c>
      <c r="B364" s="24">
        <v>504.9</v>
      </c>
      <c r="C364" s="24">
        <v>270.10000000000002</v>
      </c>
      <c r="D364" s="4">
        <f t="shared" si="118"/>
        <v>0.53495741731035851</v>
      </c>
      <c r="E364" s="10">
        <v>15</v>
      </c>
      <c r="F364" s="5">
        <v>1</v>
      </c>
      <c r="G364" s="5">
        <v>10</v>
      </c>
      <c r="H364" s="5"/>
      <c r="I364" s="5"/>
      <c r="J364" s="4">
        <f t="shared" si="135"/>
        <v>0.93045454545454553</v>
      </c>
      <c r="K364" s="5">
        <v>10</v>
      </c>
      <c r="L364" s="5" t="s">
        <v>394</v>
      </c>
      <c r="M364" s="5" t="s">
        <v>394</v>
      </c>
      <c r="N364" s="4" t="s">
        <v>394</v>
      </c>
      <c r="O364" s="5"/>
      <c r="P364" s="5" t="s">
        <v>394</v>
      </c>
      <c r="Q364" s="5" t="s">
        <v>394</v>
      </c>
      <c r="R364" s="5" t="s">
        <v>394</v>
      </c>
      <c r="S364" s="5"/>
      <c r="T364" s="5" t="s">
        <v>394</v>
      </c>
      <c r="U364" s="5" t="s">
        <v>394</v>
      </c>
      <c r="V364" s="5" t="s">
        <v>394</v>
      </c>
      <c r="W364" s="5"/>
      <c r="X364" s="5"/>
      <c r="Y364" s="5"/>
      <c r="Z364" s="4">
        <f t="shared" si="136"/>
        <v>1.06</v>
      </c>
      <c r="AA364" s="5">
        <v>15</v>
      </c>
      <c r="AB364" s="31">
        <f t="shared" si="119"/>
        <v>0.86457813428401664</v>
      </c>
      <c r="AC364" s="32">
        <v>1378</v>
      </c>
      <c r="AD364" s="24">
        <f t="shared" si="120"/>
        <v>375.81818181818181</v>
      </c>
      <c r="AE364" s="24">
        <f t="shared" si="134"/>
        <v>324.89999999999998</v>
      </c>
      <c r="AF364" s="24">
        <f t="shared" si="121"/>
        <v>-50.918181818181836</v>
      </c>
      <c r="AG364" s="24"/>
      <c r="AH364" s="24">
        <v>113.6</v>
      </c>
      <c r="AI364" s="24">
        <v>81.3</v>
      </c>
      <c r="AJ364" s="24">
        <f t="shared" si="122"/>
        <v>130</v>
      </c>
      <c r="AK364" s="68"/>
      <c r="AL364" s="40"/>
      <c r="AM364" s="40"/>
      <c r="AN364" s="68"/>
      <c r="AO364" s="68"/>
      <c r="AP364" s="24">
        <f t="shared" si="123"/>
        <v>130</v>
      </c>
      <c r="AQ364" s="24"/>
      <c r="AR364" s="24">
        <f t="shared" si="124"/>
        <v>130</v>
      </c>
      <c r="AS364" s="76"/>
      <c r="AT364" s="1"/>
      <c r="AU364" s="1"/>
      <c r="AV364" s="38"/>
      <c r="AW364" s="38"/>
      <c r="AX364" s="1"/>
      <c r="AY364" s="1"/>
      <c r="AZ364" s="1"/>
      <c r="BA364" s="1"/>
    </row>
    <row r="365" spans="1:191" s="2" customFormat="1" ht="17.100000000000001" customHeight="1">
      <c r="A365" s="33" t="s">
        <v>340</v>
      </c>
      <c r="B365" s="24">
        <v>284.7</v>
      </c>
      <c r="C365" s="24">
        <v>249.7</v>
      </c>
      <c r="D365" s="4">
        <f t="shared" si="118"/>
        <v>0.87706357569371263</v>
      </c>
      <c r="E365" s="10">
        <v>15</v>
      </c>
      <c r="F365" s="5">
        <v>1</v>
      </c>
      <c r="G365" s="5">
        <v>10</v>
      </c>
      <c r="H365" s="5"/>
      <c r="I365" s="5"/>
      <c r="J365" s="4">
        <f t="shared" si="135"/>
        <v>0.93045454545454553</v>
      </c>
      <c r="K365" s="5">
        <v>10</v>
      </c>
      <c r="L365" s="5" t="s">
        <v>394</v>
      </c>
      <c r="M365" s="5" t="s">
        <v>394</v>
      </c>
      <c r="N365" s="4" t="s">
        <v>394</v>
      </c>
      <c r="O365" s="5"/>
      <c r="P365" s="5" t="s">
        <v>394</v>
      </c>
      <c r="Q365" s="5" t="s">
        <v>394</v>
      </c>
      <c r="R365" s="5" t="s">
        <v>394</v>
      </c>
      <c r="S365" s="5"/>
      <c r="T365" s="5" t="s">
        <v>394</v>
      </c>
      <c r="U365" s="5" t="s">
        <v>394</v>
      </c>
      <c r="V365" s="5" t="s">
        <v>394</v>
      </c>
      <c r="W365" s="5"/>
      <c r="X365" s="5"/>
      <c r="Y365" s="5"/>
      <c r="Z365" s="4">
        <f t="shared" si="136"/>
        <v>1.06</v>
      </c>
      <c r="AA365" s="5">
        <v>15</v>
      </c>
      <c r="AB365" s="31">
        <f t="shared" si="119"/>
        <v>0.96720998179902284</v>
      </c>
      <c r="AC365" s="32">
        <v>1740</v>
      </c>
      <c r="AD365" s="24">
        <f t="shared" si="120"/>
        <v>474.54545454545456</v>
      </c>
      <c r="AE365" s="24">
        <f t="shared" si="134"/>
        <v>459</v>
      </c>
      <c r="AF365" s="24">
        <f t="shared" si="121"/>
        <v>-15.545454545454561</v>
      </c>
      <c r="AG365" s="24"/>
      <c r="AH365" s="24">
        <v>126.3</v>
      </c>
      <c r="AI365" s="24">
        <v>156.9</v>
      </c>
      <c r="AJ365" s="24">
        <f t="shared" si="122"/>
        <v>175.8</v>
      </c>
      <c r="AK365" s="68"/>
      <c r="AL365" s="40"/>
      <c r="AM365" s="40"/>
      <c r="AN365" s="68"/>
      <c r="AO365" s="68"/>
      <c r="AP365" s="24">
        <f t="shared" si="123"/>
        <v>175.8</v>
      </c>
      <c r="AQ365" s="24"/>
      <c r="AR365" s="24">
        <f t="shared" si="124"/>
        <v>175.8</v>
      </c>
      <c r="AS365" s="76"/>
      <c r="AT365" s="1"/>
      <c r="AU365" s="1"/>
      <c r="AV365" s="38"/>
      <c r="AW365" s="38"/>
      <c r="AX365" s="1"/>
      <c r="AY365" s="1"/>
      <c r="AZ365" s="1"/>
      <c r="BA365" s="1"/>
    </row>
    <row r="366" spans="1:191" s="2" customFormat="1" ht="17.100000000000001" customHeight="1">
      <c r="A366" s="33" t="s">
        <v>341</v>
      </c>
      <c r="B366" s="24">
        <v>109.5</v>
      </c>
      <c r="C366" s="24">
        <v>74.2</v>
      </c>
      <c r="D366" s="4">
        <f t="shared" si="118"/>
        <v>0.67762557077625574</v>
      </c>
      <c r="E366" s="10">
        <v>15</v>
      </c>
      <c r="F366" s="5">
        <v>1</v>
      </c>
      <c r="G366" s="5">
        <v>10</v>
      </c>
      <c r="H366" s="5"/>
      <c r="I366" s="5"/>
      <c r="J366" s="4">
        <f t="shared" si="135"/>
        <v>0.93045454545454553</v>
      </c>
      <c r="K366" s="5">
        <v>10</v>
      </c>
      <c r="L366" s="5" t="s">
        <v>394</v>
      </c>
      <c r="M366" s="5" t="s">
        <v>394</v>
      </c>
      <c r="N366" s="4" t="s">
        <v>394</v>
      </c>
      <c r="O366" s="5"/>
      <c r="P366" s="5" t="s">
        <v>394</v>
      </c>
      <c r="Q366" s="5" t="s">
        <v>394</v>
      </c>
      <c r="R366" s="5" t="s">
        <v>394</v>
      </c>
      <c r="S366" s="5"/>
      <c r="T366" s="5" t="s">
        <v>394</v>
      </c>
      <c r="U366" s="5" t="s">
        <v>394</v>
      </c>
      <c r="V366" s="5" t="s">
        <v>394</v>
      </c>
      <c r="W366" s="5"/>
      <c r="X366" s="5"/>
      <c r="Y366" s="5"/>
      <c r="Z366" s="4">
        <f t="shared" si="136"/>
        <v>1.06</v>
      </c>
      <c r="AA366" s="5">
        <v>15</v>
      </c>
      <c r="AB366" s="31">
        <f t="shared" si="119"/>
        <v>0.90737858032378582</v>
      </c>
      <c r="AC366" s="32">
        <v>1243</v>
      </c>
      <c r="AD366" s="24">
        <f t="shared" si="120"/>
        <v>339</v>
      </c>
      <c r="AE366" s="24">
        <f t="shared" si="134"/>
        <v>307.60000000000002</v>
      </c>
      <c r="AF366" s="24">
        <f t="shared" si="121"/>
        <v>-31.399999999999977</v>
      </c>
      <c r="AG366" s="24"/>
      <c r="AH366" s="24">
        <v>128</v>
      </c>
      <c r="AI366" s="24">
        <v>81.400000000000006</v>
      </c>
      <c r="AJ366" s="24">
        <f t="shared" si="122"/>
        <v>98.2</v>
      </c>
      <c r="AK366" s="68"/>
      <c r="AL366" s="40"/>
      <c r="AM366" s="40"/>
      <c r="AN366" s="68"/>
      <c r="AO366" s="68"/>
      <c r="AP366" s="24">
        <f t="shared" si="123"/>
        <v>98.2</v>
      </c>
      <c r="AQ366" s="24"/>
      <c r="AR366" s="24">
        <f t="shared" si="124"/>
        <v>98.2</v>
      </c>
      <c r="AS366" s="76"/>
      <c r="AT366" s="1"/>
      <c r="AU366" s="1"/>
      <c r="AV366" s="38"/>
      <c r="AW366" s="38"/>
      <c r="AX366" s="1"/>
      <c r="AY366" s="1"/>
      <c r="AZ366" s="1"/>
      <c r="BA366" s="1"/>
    </row>
    <row r="367" spans="1:191" s="2" customFormat="1" ht="17.100000000000001" customHeight="1">
      <c r="A367" s="33" t="s">
        <v>342</v>
      </c>
      <c r="B367" s="24">
        <v>2192.5</v>
      </c>
      <c r="C367" s="24">
        <v>2071.4</v>
      </c>
      <c r="D367" s="4">
        <f t="shared" si="118"/>
        <v>0.9447662485746865</v>
      </c>
      <c r="E367" s="10">
        <v>15</v>
      </c>
      <c r="F367" s="5">
        <v>1</v>
      </c>
      <c r="G367" s="5">
        <v>10</v>
      </c>
      <c r="H367" s="5"/>
      <c r="I367" s="5"/>
      <c r="J367" s="4">
        <f t="shared" si="135"/>
        <v>0.93045454545454553</v>
      </c>
      <c r="K367" s="5">
        <v>10</v>
      </c>
      <c r="L367" s="5" t="s">
        <v>394</v>
      </c>
      <c r="M367" s="5" t="s">
        <v>394</v>
      </c>
      <c r="N367" s="4" t="s">
        <v>394</v>
      </c>
      <c r="O367" s="5"/>
      <c r="P367" s="5" t="s">
        <v>394</v>
      </c>
      <c r="Q367" s="5" t="s">
        <v>394</v>
      </c>
      <c r="R367" s="5" t="s">
        <v>394</v>
      </c>
      <c r="S367" s="5"/>
      <c r="T367" s="5" t="s">
        <v>394</v>
      </c>
      <c r="U367" s="5" t="s">
        <v>394</v>
      </c>
      <c r="V367" s="5" t="s">
        <v>394</v>
      </c>
      <c r="W367" s="5"/>
      <c r="X367" s="5"/>
      <c r="Y367" s="5"/>
      <c r="Z367" s="4">
        <f t="shared" si="136"/>
        <v>1.06</v>
      </c>
      <c r="AA367" s="5">
        <v>15</v>
      </c>
      <c r="AB367" s="31">
        <f t="shared" si="119"/>
        <v>0.98752078366331508</v>
      </c>
      <c r="AC367" s="32">
        <v>1935</v>
      </c>
      <c r="AD367" s="24">
        <f t="shared" si="120"/>
        <v>527.72727272727275</v>
      </c>
      <c r="AE367" s="24">
        <f t="shared" si="134"/>
        <v>521.1</v>
      </c>
      <c r="AF367" s="24">
        <f t="shared" si="121"/>
        <v>-6.6272727272727252</v>
      </c>
      <c r="AG367" s="24"/>
      <c r="AH367" s="24">
        <v>134.19999999999999</v>
      </c>
      <c r="AI367" s="24">
        <v>201.1</v>
      </c>
      <c r="AJ367" s="24">
        <f t="shared" si="122"/>
        <v>185.8</v>
      </c>
      <c r="AK367" s="68"/>
      <c r="AL367" s="40"/>
      <c r="AM367" s="40"/>
      <c r="AN367" s="68"/>
      <c r="AO367" s="68"/>
      <c r="AP367" s="24">
        <f t="shared" si="123"/>
        <v>185.8</v>
      </c>
      <c r="AQ367" s="24"/>
      <c r="AR367" s="24">
        <f t="shared" si="124"/>
        <v>185.8</v>
      </c>
      <c r="AS367" s="76"/>
      <c r="AT367" s="1"/>
      <c r="AU367" s="1"/>
      <c r="AV367" s="38"/>
      <c r="AW367" s="38"/>
      <c r="AX367" s="1"/>
      <c r="AY367" s="1"/>
      <c r="AZ367" s="1"/>
      <c r="BA367" s="1"/>
    </row>
    <row r="368" spans="1:191" s="2" customFormat="1" ht="17.100000000000001" customHeight="1">
      <c r="A368" s="17" t="s">
        <v>343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76"/>
      <c r="AT368" s="1"/>
      <c r="AU368" s="1"/>
      <c r="AV368" s="38"/>
      <c r="AW368" s="38"/>
      <c r="AX368" s="1"/>
      <c r="AY368" s="1"/>
      <c r="AZ368" s="1"/>
      <c r="BA368" s="1"/>
    </row>
    <row r="369" spans="1:53" s="2" customFormat="1" ht="16.7" customHeight="1">
      <c r="A369" s="13" t="s">
        <v>344</v>
      </c>
      <c r="B369" s="24">
        <v>303.8</v>
      </c>
      <c r="C369" s="24">
        <v>291.5</v>
      </c>
      <c r="D369" s="4">
        <f t="shared" si="118"/>
        <v>0.95951283739302173</v>
      </c>
      <c r="E369" s="10">
        <v>15</v>
      </c>
      <c r="F369" s="5">
        <v>1</v>
      </c>
      <c r="G369" s="5">
        <v>10</v>
      </c>
      <c r="H369" s="5"/>
      <c r="I369" s="5"/>
      <c r="J369" s="4">
        <f>J$56</f>
        <v>0.97499999999999998</v>
      </c>
      <c r="K369" s="5">
        <v>10</v>
      </c>
      <c r="L369" s="5" t="s">
        <v>394</v>
      </c>
      <c r="M369" s="5" t="s">
        <v>394</v>
      </c>
      <c r="N369" s="4" t="s">
        <v>394</v>
      </c>
      <c r="O369" s="5"/>
      <c r="P369" s="5" t="s">
        <v>394</v>
      </c>
      <c r="Q369" s="5" t="s">
        <v>394</v>
      </c>
      <c r="R369" s="5" t="s">
        <v>394</v>
      </c>
      <c r="S369" s="5"/>
      <c r="T369" s="5" t="s">
        <v>394</v>
      </c>
      <c r="U369" s="5" t="s">
        <v>394</v>
      </c>
      <c r="V369" s="5" t="s">
        <v>394</v>
      </c>
      <c r="W369" s="5"/>
      <c r="X369" s="5"/>
      <c r="Y369" s="5"/>
      <c r="Z369" s="4">
        <f>Z$56</f>
        <v>0.660377358490566</v>
      </c>
      <c r="AA369" s="5">
        <v>15</v>
      </c>
      <c r="AB369" s="31">
        <f t="shared" si="119"/>
        <v>0.88096705876507631</v>
      </c>
      <c r="AC369" s="32">
        <v>2001</v>
      </c>
      <c r="AD369" s="24">
        <f t="shared" si="120"/>
        <v>545.72727272727275</v>
      </c>
      <c r="AE369" s="24">
        <f t="shared" ref="AE369:AE380" si="137">ROUND(AB369*AD369,1)</f>
        <v>480.8</v>
      </c>
      <c r="AF369" s="24">
        <f t="shared" si="121"/>
        <v>-64.927272727272737</v>
      </c>
      <c r="AG369" s="24"/>
      <c r="AH369" s="24">
        <v>197.8</v>
      </c>
      <c r="AI369" s="24">
        <v>155.80000000000001</v>
      </c>
      <c r="AJ369" s="24">
        <f t="shared" si="122"/>
        <v>127.2</v>
      </c>
      <c r="AK369" s="68"/>
      <c r="AL369" s="40"/>
      <c r="AM369" s="40"/>
      <c r="AN369" s="68"/>
      <c r="AO369" s="68"/>
      <c r="AP369" s="24">
        <f t="shared" si="123"/>
        <v>127.2</v>
      </c>
      <c r="AQ369" s="24"/>
      <c r="AR369" s="24">
        <f t="shared" si="124"/>
        <v>127.2</v>
      </c>
      <c r="AS369" s="76"/>
      <c r="AT369" s="1"/>
      <c r="AU369" s="1"/>
      <c r="AV369" s="38"/>
      <c r="AW369" s="38"/>
      <c r="AX369" s="1"/>
      <c r="AY369" s="1"/>
      <c r="AZ369" s="1"/>
      <c r="BA369" s="1"/>
    </row>
    <row r="370" spans="1:53" s="2" customFormat="1" ht="17.100000000000001" customHeight="1">
      <c r="A370" s="13" t="s">
        <v>345</v>
      </c>
      <c r="B370" s="24">
        <v>180.7</v>
      </c>
      <c r="C370" s="24">
        <v>143.9</v>
      </c>
      <c r="D370" s="4">
        <f t="shared" si="118"/>
        <v>0.79634753735473163</v>
      </c>
      <c r="E370" s="10">
        <v>15</v>
      </c>
      <c r="F370" s="5">
        <v>1</v>
      </c>
      <c r="G370" s="5">
        <v>10</v>
      </c>
      <c r="H370" s="5"/>
      <c r="I370" s="5"/>
      <c r="J370" s="4">
        <f>J$56</f>
        <v>0.97499999999999998</v>
      </c>
      <c r="K370" s="5">
        <v>10</v>
      </c>
      <c r="L370" s="5" t="s">
        <v>394</v>
      </c>
      <c r="M370" s="5" t="s">
        <v>394</v>
      </c>
      <c r="N370" s="4" t="s">
        <v>394</v>
      </c>
      <c r="O370" s="5"/>
      <c r="P370" s="5" t="s">
        <v>394</v>
      </c>
      <c r="Q370" s="5" t="s">
        <v>394</v>
      </c>
      <c r="R370" s="5" t="s">
        <v>394</v>
      </c>
      <c r="S370" s="5"/>
      <c r="T370" s="5" t="s">
        <v>394</v>
      </c>
      <c r="U370" s="5" t="s">
        <v>394</v>
      </c>
      <c r="V370" s="5" t="s">
        <v>394</v>
      </c>
      <c r="W370" s="5"/>
      <c r="X370" s="5"/>
      <c r="Y370" s="5"/>
      <c r="Z370" s="4">
        <f>Z$56</f>
        <v>0.660377358490566</v>
      </c>
      <c r="AA370" s="5">
        <v>15</v>
      </c>
      <c r="AB370" s="31">
        <f t="shared" si="119"/>
        <v>0.8320174687535894</v>
      </c>
      <c r="AC370" s="32">
        <v>1874</v>
      </c>
      <c r="AD370" s="24">
        <f t="shared" si="120"/>
        <v>511.09090909090912</v>
      </c>
      <c r="AE370" s="24">
        <f t="shared" si="137"/>
        <v>425.2</v>
      </c>
      <c r="AF370" s="24">
        <f t="shared" si="121"/>
        <v>-85.890909090909133</v>
      </c>
      <c r="AG370" s="24"/>
      <c r="AH370" s="24">
        <v>191.9</v>
      </c>
      <c r="AI370" s="24">
        <v>130.9</v>
      </c>
      <c r="AJ370" s="24">
        <f t="shared" si="122"/>
        <v>102.4</v>
      </c>
      <c r="AK370" s="68"/>
      <c r="AL370" s="40"/>
      <c r="AM370" s="40"/>
      <c r="AN370" s="68"/>
      <c r="AO370" s="68"/>
      <c r="AP370" s="24">
        <f t="shared" si="123"/>
        <v>102.4</v>
      </c>
      <c r="AQ370" s="24"/>
      <c r="AR370" s="24">
        <f t="shared" si="124"/>
        <v>102.4</v>
      </c>
      <c r="AS370" s="76"/>
      <c r="AT370" s="1"/>
      <c r="AU370" s="1"/>
      <c r="AV370" s="38"/>
      <c r="AW370" s="38"/>
      <c r="AX370" s="1"/>
      <c r="AY370" s="1"/>
      <c r="AZ370" s="1"/>
      <c r="BA370" s="1"/>
    </row>
    <row r="371" spans="1:53" s="2" customFormat="1" ht="17.100000000000001" customHeight="1">
      <c r="A371" s="33" t="s">
        <v>346</v>
      </c>
      <c r="B371" s="24">
        <v>3414.4</v>
      </c>
      <c r="C371" s="24">
        <v>4342.3999999999996</v>
      </c>
      <c r="D371" s="4">
        <f t="shared" si="118"/>
        <v>1.2071790065604497</v>
      </c>
      <c r="E371" s="10">
        <v>15</v>
      </c>
      <c r="F371" s="5">
        <v>1</v>
      </c>
      <c r="G371" s="5">
        <v>10</v>
      </c>
      <c r="H371" s="5"/>
      <c r="I371" s="5"/>
      <c r="J371" s="4">
        <f t="shared" ref="J371:J379" si="138">J$56</f>
        <v>0.97499999999999998</v>
      </c>
      <c r="K371" s="5">
        <v>10</v>
      </c>
      <c r="L371" s="5" t="s">
        <v>394</v>
      </c>
      <c r="M371" s="5" t="s">
        <v>394</v>
      </c>
      <c r="N371" s="4" t="s">
        <v>394</v>
      </c>
      <c r="O371" s="5"/>
      <c r="P371" s="5" t="s">
        <v>394</v>
      </c>
      <c r="Q371" s="5" t="s">
        <v>394</v>
      </c>
      <c r="R371" s="5" t="s">
        <v>394</v>
      </c>
      <c r="S371" s="5"/>
      <c r="T371" s="5" t="s">
        <v>394</v>
      </c>
      <c r="U371" s="5" t="s">
        <v>394</v>
      </c>
      <c r="V371" s="5" t="s">
        <v>394</v>
      </c>
      <c r="W371" s="5"/>
      <c r="X371" s="5"/>
      <c r="Y371" s="5"/>
      <c r="Z371" s="4">
        <f t="shared" ref="Z371:Z379" si="139">Z$56</f>
        <v>0.660377358490566</v>
      </c>
      <c r="AA371" s="5">
        <v>15</v>
      </c>
      <c r="AB371" s="31">
        <f t="shared" si="119"/>
        <v>0.95526690951530469</v>
      </c>
      <c r="AC371" s="32">
        <v>19</v>
      </c>
      <c r="AD371" s="24">
        <f t="shared" si="120"/>
        <v>5.1818181818181817</v>
      </c>
      <c r="AE371" s="24">
        <f t="shared" si="137"/>
        <v>5</v>
      </c>
      <c r="AF371" s="24">
        <f t="shared" si="121"/>
        <v>-0.18181818181818166</v>
      </c>
      <c r="AG371" s="24"/>
      <c r="AH371" s="24">
        <v>1.8</v>
      </c>
      <c r="AI371" s="24">
        <v>1.7</v>
      </c>
      <c r="AJ371" s="24">
        <f t="shared" si="122"/>
        <v>1.5</v>
      </c>
      <c r="AK371" s="40"/>
      <c r="AL371" s="40"/>
      <c r="AM371" s="40"/>
      <c r="AN371" s="68"/>
      <c r="AO371" s="68"/>
      <c r="AP371" s="24">
        <f t="shared" si="123"/>
        <v>1.5</v>
      </c>
      <c r="AQ371" s="24">
        <f>MIN(AP371,0.2)</f>
        <v>0.2</v>
      </c>
      <c r="AR371" s="24">
        <f t="shared" si="124"/>
        <v>1.3</v>
      </c>
      <c r="AS371" s="76"/>
      <c r="AT371" s="1"/>
      <c r="AU371" s="1"/>
      <c r="AV371" s="38"/>
      <c r="AW371" s="38"/>
      <c r="AX371" s="1"/>
      <c r="AY371" s="1"/>
      <c r="AZ371" s="1"/>
      <c r="BA371" s="1"/>
    </row>
    <row r="372" spans="1:53" s="2" customFormat="1" ht="17.100000000000001" customHeight="1">
      <c r="A372" s="13" t="s">
        <v>347</v>
      </c>
      <c r="B372" s="24">
        <v>83.2</v>
      </c>
      <c r="C372" s="24">
        <v>71.099999999999994</v>
      </c>
      <c r="D372" s="4">
        <f t="shared" si="118"/>
        <v>0.8545673076923076</v>
      </c>
      <c r="E372" s="10">
        <v>15</v>
      </c>
      <c r="F372" s="5">
        <v>1</v>
      </c>
      <c r="G372" s="5">
        <v>10</v>
      </c>
      <c r="H372" s="5"/>
      <c r="I372" s="5"/>
      <c r="J372" s="4">
        <f t="shared" si="138"/>
        <v>0.97499999999999998</v>
      </c>
      <c r="K372" s="5">
        <v>10</v>
      </c>
      <c r="L372" s="5" t="s">
        <v>394</v>
      </c>
      <c r="M372" s="5" t="s">
        <v>394</v>
      </c>
      <c r="N372" s="4" t="s">
        <v>394</v>
      </c>
      <c r="O372" s="5"/>
      <c r="P372" s="5" t="s">
        <v>394</v>
      </c>
      <c r="Q372" s="5" t="s">
        <v>394</v>
      </c>
      <c r="R372" s="5" t="s">
        <v>394</v>
      </c>
      <c r="S372" s="5"/>
      <c r="T372" s="5" t="s">
        <v>394</v>
      </c>
      <c r="U372" s="5" t="s">
        <v>394</v>
      </c>
      <c r="V372" s="5" t="s">
        <v>394</v>
      </c>
      <c r="W372" s="5"/>
      <c r="X372" s="5"/>
      <c r="Y372" s="5"/>
      <c r="Z372" s="4">
        <f t="shared" si="139"/>
        <v>0.660377358490566</v>
      </c>
      <c r="AA372" s="5">
        <v>15</v>
      </c>
      <c r="AB372" s="31">
        <f t="shared" si="119"/>
        <v>0.84948339985486199</v>
      </c>
      <c r="AC372" s="32">
        <v>3136</v>
      </c>
      <c r="AD372" s="24">
        <f t="shared" si="120"/>
        <v>855.27272727272725</v>
      </c>
      <c r="AE372" s="24">
        <f t="shared" si="137"/>
        <v>726.5</v>
      </c>
      <c r="AF372" s="24">
        <f t="shared" si="121"/>
        <v>-128.77272727272725</v>
      </c>
      <c r="AG372" s="24"/>
      <c r="AH372" s="24">
        <v>278.3</v>
      </c>
      <c r="AI372" s="24">
        <v>304.8</v>
      </c>
      <c r="AJ372" s="24">
        <f t="shared" si="122"/>
        <v>143.4</v>
      </c>
      <c r="AK372" s="68"/>
      <c r="AL372" s="40"/>
      <c r="AM372" s="40"/>
      <c r="AN372" s="68"/>
      <c r="AO372" s="68"/>
      <c r="AP372" s="24">
        <f t="shared" si="123"/>
        <v>143.4</v>
      </c>
      <c r="AQ372" s="24">
        <f>MIN(AP372,20.3)</f>
        <v>20.3</v>
      </c>
      <c r="AR372" s="24">
        <f t="shared" si="124"/>
        <v>123.1</v>
      </c>
      <c r="AS372" s="76"/>
      <c r="AT372" s="1"/>
      <c r="AU372" s="1"/>
      <c r="AV372" s="38"/>
      <c r="AW372" s="38"/>
      <c r="AX372" s="1"/>
      <c r="AY372" s="1"/>
      <c r="AZ372" s="1"/>
      <c r="BA372" s="1"/>
    </row>
    <row r="373" spans="1:53" s="2" customFormat="1" ht="17.100000000000001" customHeight="1">
      <c r="A373" s="13" t="s">
        <v>348</v>
      </c>
      <c r="B373" s="24">
        <v>1146.8</v>
      </c>
      <c r="C373" s="24">
        <v>839.3</v>
      </c>
      <c r="D373" s="4">
        <f>IF(E373=0,0,IF(B373=0,1,IF(C373&lt;0,0,IF(C373/B373&gt;1.2,IF((C373/B373-1.2)*0.1+1.2&gt;1.3,1.3,(C373/B373-1.2)*0.1+1.2),C373/B373))))</f>
        <v>0.73186257411928846</v>
      </c>
      <c r="E373" s="10">
        <v>15</v>
      </c>
      <c r="F373" s="5">
        <v>1</v>
      </c>
      <c r="G373" s="5">
        <v>10</v>
      </c>
      <c r="H373" s="5"/>
      <c r="I373" s="5"/>
      <c r="J373" s="4">
        <f t="shared" si="138"/>
        <v>0.97499999999999998</v>
      </c>
      <c r="K373" s="5">
        <v>10</v>
      </c>
      <c r="L373" s="5" t="s">
        <v>394</v>
      </c>
      <c r="M373" s="5" t="s">
        <v>394</v>
      </c>
      <c r="N373" s="4" t="s">
        <v>394</v>
      </c>
      <c r="O373" s="5"/>
      <c r="P373" s="5" t="s">
        <v>394</v>
      </c>
      <c r="Q373" s="5" t="s">
        <v>394</v>
      </c>
      <c r="R373" s="5" t="s">
        <v>394</v>
      </c>
      <c r="S373" s="5"/>
      <c r="T373" s="5" t="s">
        <v>394</v>
      </c>
      <c r="U373" s="5" t="s">
        <v>394</v>
      </c>
      <c r="V373" s="5" t="s">
        <v>394</v>
      </c>
      <c r="W373" s="5"/>
      <c r="X373" s="5"/>
      <c r="Y373" s="5"/>
      <c r="Z373" s="4">
        <f t="shared" si="139"/>
        <v>0.660377358490566</v>
      </c>
      <c r="AA373" s="5">
        <v>15</v>
      </c>
      <c r="AB373" s="31">
        <f t="shared" si="119"/>
        <v>0.81267197978295624</v>
      </c>
      <c r="AC373" s="32">
        <v>2358</v>
      </c>
      <c r="AD373" s="24">
        <f t="shared" si="120"/>
        <v>643.09090909090912</v>
      </c>
      <c r="AE373" s="24">
        <f t="shared" si="137"/>
        <v>522.6</v>
      </c>
      <c r="AF373" s="24">
        <f t="shared" si="121"/>
        <v>-120.4909090909091</v>
      </c>
      <c r="AG373" s="24"/>
      <c r="AH373" s="24">
        <v>158.80000000000001</v>
      </c>
      <c r="AI373" s="24">
        <v>252.9</v>
      </c>
      <c r="AJ373" s="24">
        <f t="shared" si="122"/>
        <v>110.9</v>
      </c>
      <c r="AK373" s="68"/>
      <c r="AL373" s="40"/>
      <c r="AM373" s="40"/>
      <c r="AN373" s="68"/>
      <c r="AO373" s="68"/>
      <c r="AP373" s="24">
        <f t="shared" si="123"/>
        <v>110.9</v>
      </c>
      <c r="AQ373" s="24">
        <f>MIN(AP373,76)</f>
        <v>76</v>
      </c>
      <c r="AR373" s="24">
        <f t="shared" si="124"/>
        <v>34.9</v>
      </c>
      <c r="AS373" s="76"/>
      <c r="AT373" s="1"/>
      <c r="AU373" s="1"/>
      <c r="AV373" s="38"/>
      <c r="AW373" s="38"/>
      <c r="AX373" s="1"/>
      <c r="AY373" s="1"/>
      <c r="AZ373" s="1"/>
      <c r="BA373" s="1"/>
    </row>
    <row r="374" spans="1:53" s="2" customFormat="1" ht="17.100000000000001" customHeight="1">
      <c r="A374" s="13" t="s">
        <v>349</v>
      </c>
      <c r="B374" s="24">
        <v>202.7</v>
      </c>
      <c r="C374" s="24">
        <v>129.9</v>
      </c>
      <c r="D374" s="4">
        <f t="shared" si="118"/>
        <v>0.64084854464726204</v>
      </c>
      <c r="E374" s="10">
        <v>15</v>
      </c>
      <c r="F374" s="5">
        <v>1</v>
      </c>
      <c r="G374" s="5">
        <v>10</v>
      </c>
      <c r="H374" s="5"/>
      <c r="I374" s="5"/>
      <c r="J374" s="4">
        <f t="shared" si="138"/>
        <v>0.97499999999999998</v>
      </c>
      <c r="K374" s="5">
        <v>10</v>
      </c>
      <c r="L374" s="5" t="s">
        <v>394</v>
      </c>
      <c r="M374" s="5" t="s">
        <v>394</v>
      </c>
      <c r="N374" s="4" t="s">
        <v>394</v>
      </c>
      <c r="O374" s="5"/>
      <c r="P374" s="5" t="s">
        <v>394</v>
      </c>
      <c r="Q374" s="5" t="s">
        <v>394</v>
      </c>
      <c r="R374" s="5" t="s">
        <v>394</v>
      </c>
      <c r="S374" s="5"/>
      <c r="T374" s="5" t="s">
        <v>394</v>
      </c>
      <c r="U374" s="5" t="s">
        <v>394</v>
      </c>
      <c r="V374" s="5" t="s">
        <v>394</v>
      </c>
      <c r="W374" s="5"/>
      <c r="X374" s="5"/>
      <c r="Y374" s="5"/>
      <c r="Z374" s="4">
        <f t="shared" si="139"/>
        <v>0.660377358490566</v>
      </c>
      <c r="AA374" s="5">
        <v>15</v>
      </c>
      <c r="AB374" s="31">
        <f t="shared" si="119"/>
        <v>0.78536777094134835</v>
      </c>
      <c r="AC374" s="32">
        <v>2761</v>
      </c>
      <c r="AD374" s="24">
        <f t="shared" si="120"/>
        <v>753</v>
      </c>
      <c r="AE374" s="24">
        <f t="shared" si="137"/>
        <v>591.4</v>
      </c>
      <c r="AF374" s="24">
        <f t="shared" si="121"/>
        <v>-161.60000000000002</v>
      </c>
      <c r="AG374" s="24"/>
      <c r="AH374" s="24">
        <v>191.9</v>
      </c>
      <c r="AI374" s="24">
        <v>191.4</v>
      </c>
      <c r="AJ374" s="24">
        <f t="shared" si="122"/>
        <v>208.1</v>
      </c>
      <c r="AK374" s="68"/>
      <c r="AL374" s="40"/>
      <c r="AM374" s="40"/>
      <c r="AN374" s="68"/>
      <c r="AO374" s="68"/>
      <c r="AP374" s="24">
        <f t="shared" si="123"/>
        <v>208.1</v>
      </c>
      <c r="AQ374" s="24">
        <f>MIN(AP374,28.1)</f>
        <v>28.1</v>
      </c>
      <c r="AR374" s="24">
        <f t="shared" si="124"/>
        <v>180</v>
      </c>
      <c r="AS374" s="76"/>
      <c r="AT374" s="1"/>
      <c r="AU374" s="1"/>
      <c r="AV374" s="38"/>
      <c r="AW374" s="38"/>
      <c r="AX374" s="1"/>
      <c r="AY374" s="1"/>
      <c r="AZ374" s="1"/>
      <c r="BA374" s="1"/>
    </row>
    <row r="375" spans="1:53" s="2" customFormat="1" ht="17.100000000000001" customHeight="1">
      <c r="A375" s="13" t="s">
        <v>350</v>
      </c>
      <c r="B375" s="24">
        <v>201.1</v>
      </c>
      <c r="C375" s="24">
        <v>263.10000000000002</v>
      </c>
      <c r="D375" s="4">
        <f t="shared" si="118"/>
        <v>1.2108304326205868</v>
      </c>
      <c r="E375" s="10">
        <v>15</v>
      </c>
      <c r="F375" s="5">
        <v>1</v>
      </c>
      <c r="G375" s="5">
        <v>10</v>
      </c>
      <c r="H375" s="5"/>
      <c r="I375" s="5"/>
      <c r="J375" s="4">
        <f>J$56</f>
        <v>0.97499999999999998</v>
      </c>
      <c r="K375" s="5">
        <v>10</v>
      </c>
      <c r="L375" s="5" t="s">
        <v>394</v>
      </c>
      <c r="M375" s="5" t="s">
        <v>394</v>
      </c>
      <c r="N375" s="4" t="s">
        <v>394</v>
      </c>
      <c r="O375" s="5"/>
      <c r="P375" s="5" t="s">
        <v>394</v>
      </c>
      <c r="Q375" s="5" t="s">
        <v>394</v>
      </c>
      <c r="R375" s="5" t="s">
        <v>394</v>
      </c>
      <c r="S375" s="5"/>
      <c r="T375" s="5" t="s">
        <v>394</v>
      </c>
      <c r="U375" s="5" t="s">
        <v>394</v>
      </c>
      <c r="V375" s="5" t="s">
        <v>394</v>
      </c>
      <c r="W375" s="5"/>
      <c r="X375" s="5"/>
      <c r="Y375" s="5"/>
      <c r="Z375" s="4">
        <f>Z$56</f>
        <v>0.660377358490566</v>
      </c>
      <c r="AA375" s="5">
        <v>15</v>
      </c>
      <c r="AB375" s="31">
        <f t="shared" si="119"/>
        <v>0.95636233733334597</v>
      </c>
      <c r="AC375" s="32">
        <v>1983</v>
      </c>
      <c r="AD375" s="24">
        <f t="shared" si="120"/>
        <v>540.81818181818187</v>
      </c>
      <c r="AE375" s="24">
        <f t="shared" si="137"/>
        <v>517.20000000000005</v>
      </c>
      <c r="AF375" s="24">
        <f t="shared" si="121"/>
        <v>-23.618181818181824</v>
      </c>
      <c r="AG375" s="24"/>
      <c r="AH375" s="24">
        <v>212.7</v>
      </c>
      <c r="AI375" s="24">
        <v>206.1</v>
      </c>
      <c r="AJ375" s="24">
        <f t="shared" si="122"/>
        <v>98.4</v>
      </c>
      <c r="AK375" s="68"/>
      <c r="AL375" s="40"/>
      <c r="AM375" s="40"/>
      <c r="AN375" s="68"/>
      <c r="AO375" s="68"/>
      <c r="AP375" s="24">
        <f t="shared" si="123"/>
        <v>98.4</v>
      </c>
      <c r="AQ375" s="24"/>
      <c r="AR375" s="24">
        <f t="shared" si="124"/>
        <v>98.4</v>
      </c>
      <c r="AS375" s="76"/>
      <c r="AT375" s="1"/>
      <c r="AU375" s="1"/>
      <c r="AV375" s="38"/>
      <c r="AW375" s="38"/>
      <c r="AX375" s="1"/>
      <c r="AY375" s="1"/>
      <c r="AZ375" s="1"/>
      <c r="BA375" s="1"/>
    </row>
    <row r="376" spans="1:53" s="2" customFormat="1" ht="17.100000000000001" customHeight="1">
      <c r="A376" s="13" t="s">
        <v>351</v>
      </c>
      <c r="B376" s="24">
        <v>163.80000000000001</v>
      </c>
      <c r="C376" s="24">
        <v>136.30000000000001</v>
      </c>
      <c r="D376" s="4">
        <f t="shared" si="118"/>
        <v>0.83211233211233215</v>
      </c>
      <c r="E376" s="10">
        <v>15</v>
      </c>
      <c r="F376" s="5">
        <v>1</v>
      </c>
      <c r="G376" s="5">
        <v>10</v>
      </c>
      <c r="H376" s="5"/>
      <c r="I376" s="5"/>
      <c r="J376" s="4">
        <f t="shared" si="138"/>
        <v>0.97499999999999998</v>
      </c>
      <c r="K376" s="5">
        <v>10</v>
      </c>
      <c r="L376" s="5" t="s">
        <v>394</v>
      </c>
      <c r="M376" s="5" t="s">
        <v>394</v>
      </c>
      <c r="N376" s="4" t="s">
        <v>394</v>
      </c>
      <c r="O376" s="5"/>
      <c r="P376" s="5" t="s">
        <v>394</v>
      </c>
      <c r="Q376" s="5" t="s">
        <v>394</v>
      </c>
      <c r="R376" s="5" t="s">
        <v>394</v>
      </c>
      <c r="S376" s="5"/>
      <c r="T376" s="5" t="s">
        <v>394</v>
      </c>
      <c r="U376" s="5" t="s">
        <v>394</v>
      </c>
      <c r="V376" s="5" t="s">
        <v>394</v>
      </c>
      <c r="W376" s="5"/>
      <c r="X376" s="5"/>
      <c r="Y376" s="5"/>
      <c r="Z376" s="4">
        <f t="shared" si="139"/>
        <v>0.660377358490566</v>
      </c>
      <c r="AA376" s="5">
        <v>15</v>
      </c>
      <c r="AB376" s="31">
        <f t="shared" si="119"/>
        <v>0.84274690718086931</v>
      </c>
      <c r="AC376" s="32">
        <v>1590</v>
      </c>
      <c r="AD376" s="24">
        <f t="shared" si="120"/>
        <v>433.63636363636363</v>
      </c>
      <c r="AE376" s="24">
        <f t="shared" si="137"/>
        <v>365.4</v>
      </c>
      <c r="AF376" s="24">
        <f t="shared" si="121"/>
        <v>-68.236363636363649</v>
      </c>
      <c r="AG376" s="24"/>
      <c r="AH376" s="24">
        <v>165</v>
      </c>
      <c r="AI376" s="24">
        <v>117</v>
      </c>
      <c r="AJ376" s="24">
        <f t="shared" si="122"/>
        <v>83.4</v>
      </c>
      <c r="AK376" s="68"/>
      <c r="AL376" s="40"/>
      <c r="AM376" s="40"/>
      <c r="AN376" s="68"/>
      <c r="AO376" s="68"/>
      <c r="AP376" s="24">
        <f t="shared" si="123"/>
        <v>83.4</v>
      </c>
      <c r="AQ376" s="24"/>
      <c r="AR376" s="24">
        <f t="shared" si="124"/>
        <v>83.4</v>
      </c>
      <c r="AS376" s="76"/>
      <c r="AT376" s="1"/>
      <c r="AU376" s="1"/>
      <c r="AV376" s="38"/>
      <c r="AW376" s="38"/>
      <c r="AX376" s="1"/>
      <c r="AY376" s="1"/>
      <c r="AZ376" s="1"/>
      <c r="BA376" s="1"/>
    </row>
    <row r="377" spans="1:53" s="2" customFormat="1" ht="17.100000000000001" customHeight="1">
      <c r="A377" s="13" t="s">
        <v>352</v>
      </c>
      <c r="B377" s="24">
        <v>73.099999999999994</v>
      </c>
      <c r="C377" s="24">
        <v>85.8</v>
      </c>
      <c r="D377" s="4">
        <f t="shared" si="118"/>
        <v>1.173734610123119</v>
      </c>
      <c r="E377" s="10">
        <v>15</v>
      </c>
      <c r="F377" s="5">
        <v>1</v>
      </c>
      <c r="G377" s="5">
        <v>10</v>
      </c>
      <c r="H377" s="5"/>
      <c r="I377" s="5"/>
      <c r="J377" s="4">
        <f t="shared" si="138"/>
        <v>0.97499999999999998</v>
      </c>
      <c r="K377" s="5">
        <v>10</v>
      </c>
      <c r="L377" s="5" t="s">
        <v>394</v>
      </c>
      <c r="M377" s="5" t="s">
        <v>394</v>
      </c>
      <c r="N377" s="4" t="s">
        <v>394</v>
      </c>
      <c r="O377" s="5"/>
      <c r="P377" s="5" t="s">
        <v>394</v>
      </c>
      <c r="Q377" s="5" t="s">
        <v>394</v>
      </c>
      <c r="R377" s="5" t="s">
        <v>394</v>
      </c>
      <c r="S377" s="5"/>
      <c r="T377" s="5" t="s">
        <v>394</v>
      </c>
      <c r="U377" s="5" t="s">
        <v>394</v>
      </c>
      <c r="V377" s="5" t="s">
        <v>394</v>
      </c>
      <c r="W377" s="5"/>
      <c r="X377" s="5"/>
      <c r="Y377" s="5"/>
      <c r="Z377" s="4">
        <f t="shared" si="139"/>
        <v>0.660377358490566</v>
      </c>
      <c r="AA377" s="5">
        <v>15</v>
      </c>
      <c r="AB377" s="31">
        <f t="shared" si="119"/>
        <v>0.94523359058410539</v>
      </c>
      <c r="AC377" s="32">
        <v>2411</v>
      </c>
      <c r="AD377" s="24">
        <f t="shared" si="120"/>
        <v>657.5454545454545</v>
      </c>
      <c r="AE377" s="24">
        <f t="shared" si="137"/>
        <v>621.5</v>
      </c>
      <c r="AF377" s="24">
        <f t="shared" si="121"/>
        <v>-36.045454545454504</v>
      </c>
      <c r="AG377" s="24"/>
      <c r="AH377" s="24">
        <v>258.60000000000002</v>
      </c>
      <c r="AI377" s="24">
        <v>161.5</v>
      </c>
      <c r="AJ377" s="24">
        <f t="shared" si="122"/>
        <v>201.4</v>
      </c>
      <c r="AK377" s="68"/>
      <c r="AL377" s="40"/>
      <c r="AM377" s="40"/>
      <c r="AN377" s="68"/>
      <c r="AO377" s="68"/>
      <c r="AP377" s="24">
        <f t="shared" si="123"/>
        <v>201.4</v>
      </c>
      <c r="AQ377" s="24">
        <f>MIN(AP377,3.4)</f>
        <v>3.4</v>
      </c>
      <c r="AR377" s="24">
        <f t="shared" si="124"/>
        <v>198</v>
      </c>
      <c r="AS377" s="76"/>
      <c r="AT377" s="1"/>
      <c r="AU377" s="1"/>
      <c r="AV377" s="38"/>
      <c r="AW377" s="38"/>
      <c r="AX377" s="1"/>
      <c r="AY377" s="1"/>
      <c r="AZ377" s="1"/>
      <c r="BA377" s="1"/>
    </row>
    <row r="378" spans="1:53" s="2" customFormat="1" ht="17.100000000000001" customHeight="1">
      <c r="A378" s="13" t="s">
        <v>353</v>
      </c>
      <c r="B378" s="24">
        <v>105</v>
      </c>
      <c r="C378" s="24">
        <v>74.099999999999994</v>
      </c>
      <c r="D378" s="4">
        <f t="shared" si="118"/>
        <v>0.70571428571428563</v>
      </c>
      <c r="E378" s="10">
        <v>15</v>
      </c>
      <c r="F378" s="5">
        <v>1</v>
      </c>
      <c r="G378" s="5">
        <v>10</v>
      </c>
      <c r="H378" s="5"/>
      <c r="I378" s="5"/>
      <c r="J378" s="4">
        <f t="shared" si="138"/>
        <v>0.97499999999999998</v>
      </c>
      <c r="K378" s="5">
        <v>10</v>
      </c>
      <c r="L378" s="5" t="s">
        <v>394</v>
      </c>
      <c r="M378" s="5" t="s">
        <v>394</v>
      </c>
      <c r="N378" s="4" t="s">
        <v>394</v>
      </c>
      <c r="O378" s="5"/>
      <c r="P378" s="5" t="s">
        <v>394</v>
      </c>
      <c r="Q378" s="5" t="s">
        <v>394</v>
      </c>
      <c r="R378" s="5" t="s">
        <v>394</v>
      </c>
      <c r="S378" s="5"/>
      <c r="T378" s="5" t="s">
        <v>394</v>
      </c>
      <c r="U378" s="5" t="s">
        <v>394</v>
      </c>
      <c r="V378" s="5" t="s">
        <v>394</v>
      </c>
      <c r="W378" s="5"/>
      <c r="X378" s="5"/>
      <c r="Y378" s="5"/>
      <c r="Z378" s="4">
        <f t="shared" si="139"/>
        <v>0.660377358490566</v>
      </c>
      <c r="AA378" s="5">
        <v>15</v>
      </c>
      <c r="AB378" s="31">
        <f t="shared" si="119"/>
        <v>0.80482749326145553</v>
      </c>
      <c r="AC378" s="32">
        <v>1837</v>
      </c>
      <c r="AD378" s="24">
        <f t="shared" si="120"/>
        <v>501</v>
      </c>
      <c r="AE378" s="24">
        <f t="shared" si="137"/>
        <v>403.2</v>
      </c>
      <c r="AF378" s="24">
        <f t="shared" si="121"/>
        <v>-97.800000000000011</v>
      </c>
      <c r="AG378" s="24"/>
      <c r="AH378" s="24">
        <v>105.7</v>
      </c>
      <c r="AI378" s="24">
        <v>128.5</v>
      </c>
      <c r="AJ378" s="24">
        <f t="shared" si="122"/>
        <v>169</v>
      </c>
      <c r="AK378" s="68"/>
      <c r="AL378" s="40"/>
      <c r="AM378" s="40"/>
      <c r="AN378" s="68"/>
      <c r="AO378" s="68"/>
      <c r="AP378" s="24">
        <f t="shared" si="123"/>
        <v>169</v>
      </c>
      <c r="AQ378" s="24">
        <f>MIN(AP378,21.6)</f>
        <v>21.6</v>
      </c>
      <c r="AR378" s="24">
        <f t="shared" si="124"/>
        <v>147.4</v>
      </c>
      <c r="AS378" s="76"/>
      <c r="AT378" s="1"/>
      <c r="AU378" s="1"/>
      <c r="AV378" s="38"/>
      <c r="AW378" s="38"/>
      <c r="AX378" s="1"/>
      <c r="AY378" s="1"/>
      <c r="AZ378" s="1"/>
      <c r="BA378" s="1"/>
    </row>
    <row r="379" spans="1:53" s="2" customFormat="1" ht="17.100000000000001" customHeight="1">
      <c r="A379" s="13" t="s">
        <v>354</v>
      </c>
      <c r="B379" s="24">
        <v>353.4</v>
      </c>
      <c r="C379" s="24">
        <v>240.3</v>
      </c>
      <c r="D379" s="4">
        <f t="shared" ref="D379" si="140">IF(E379=0,0,IF(B379=0,1,IF(C379&lt;0,0,IF(C379/B379&gt;1.2,IF((C379/B379-1.2)*0.1+1.2&gt;1.3,1.3,(C379/B379-1.2)*0.1+1.2),C379/B379))))</f>
        <v>0.67996604414261463</v>
      </c>
      <c r="E379" s="10">
        <v>15</v>
      </c>
      <c r="F379" s="5">
        <v>1</v>
      </c>
      <c r="G379" s="5">
        <v>10</v>
      </c>
      <c r="H379" s="5"/>
      <c r="I379" s="5"/>
      <c r="J379" s="4">
        <f t="shared" si="138"/>
        <v>0.97499999999999998</v>
      </c>
      <c r="K379" s="5">
        <v>10</v>
      </c>
      <c r="L379" s="5" t="s">
        <v>394</v>
      </c>
      <c r="M379" s="5" t="s">
        <v>394</v>
      </c>
      <c r="N379" s="4" t="s">
        <v>394</v>
      </c>
      <c r="O379" s="5"/>
      <c r="P379" s="5" t="s">
        <v>394</v>
      </c>
      <c r="Q379" s="5" t="s">
        <v>394</v>
      </c>
      <c r="R379" s="5" t="s">
        <v>394</v>
      </c>
      <c r="S379" s="5"/>
      <c r="T379" s="5" t="s">
        <v>394</v>
      </c>
      <c r="U379" s="5" t="s">
        <v>394</v>
      </c>
      <c r="V379" s="5" t="s">
        <v>394</v>
      </c>
      <c r="W379" s="5"/>
      <c r="X379" s="5"/>
      <c r="Y379" s="5"/>
      <c r="Z379" s="4">
        <f t="shared" si="139"/>
        <v>0.660377358490566</v>
      </c>
      <c r="AA379" s="5">
        <v>15</v>
      </c>
      <c r="AB379" s="31">
        <f t="shared" ref="AB379" si="141">(D379*E379+F379*G379+J379*K379+Z379*AA379)/(E379+G379+K379+AA379)</f>
        <v>0.79710302078995421</v>
      </c>
      <c r="AC379" s="32">
        <v>1771</v>
      </c>
      <c r="AD379" s="24">
        <f t="shared" ref="AD379" si="142">AC379/11*3</f>
        <v>483</v>
      </c>
      <c r="AE379" s="24">
        <f t="shared" si="137"/>
        <v>385</v>
      </c>
      <c r="AF379" s="24">
        <f t="shared" ref="AF379:AF380" si="143">AE379-AD379</f>
        <v>-98</v>
      </c>
      <c r="AG379" s="24"/>
      <c r="AH379" s="24">
        <v>135.69999999999999</v>
      </c>
      <c r="AI379" s="24">
        <v>169.2</v>
      </c>
      <c r="AJ379" s="24">
        <f t="shared" ref="AJ379:AJ380" si="144">ROUND(AE379-SUM(AG379:AI379),1)</f>
        <v>80.099999999999994</v>
      </c>
      <c r="AK379" s="68"/>
      <c r="AL379" s="40"/>
      <c r="AM379" s="40"/>
      <c r="AN379" s="68"/>
      <c r="AO379" s="68"/>
      <c r="AP379" s="24">
        <f t="shared" ref="AP379" si="145">IF(OR(AJ379&lt;0,AK379="+",AL379="+",AM379="+",AN379="+",AO379="+"),0,AJ379)</f>
        <v>80.099999999999994</v>
      </c>
      <c r="AQ379" s="24"/>
      <c r="AR379" s="24">
        <f t="shared" ref="AR379:AR380" si="146">ROUND(AP379-AQ379,1)</f>
        <v>80.099999999999994</v>
      </c>
      <c r="AS379" s="76"/>
      <c r="AT379" s="1"/>
      <c r="AU379" s="1"/>
      <c r="AV379" s="38"/>
      <c r="AW379" s="38"/>
      <c r="AX379" s="1"/>
      <c r="AY379" s="1"/>
      <c r="AZ379" s="1"/>
      <c r="BA379" s="1"/>
    </row>
    <row r="380" spans="1:53" s="2" customFormat="1" ht="17.100000000000001" customHeight="1">
      <c r="A380" s="13" t="s">
        <v>355</v>
      </c>
      <c r="B380" s="24">
        <v>1996.2</v>
      </c>
      <c r="C380" s="24">
        <v>1904.4</v>
      </c>
      <c r="D380" s="4">
        <f>IF(E380=0,0,IF(B380=0,1,IF(C380&lt;0,0,IF(C380/B380&gt;1.2,IF((C380/B380-1.2)*0.1+1.2&gt;1.3,1.3,(C380/B380-1.2)*0.1+1.2),C380/B380))))</f>
        <v>0.95401262398557263</v>
      </c>
      <c r="E380" s="10">
        <v>15</v>
      </c>
      <c r="F380" s="5">
        <v>1</v>
      </c>
      <c r="G380" s="5">
        <v>10</v>
      </c>
      <c r="H380" s="5"/>
      <c r="I380" s="5"/>
      <c r="J380" s="4">
        <f>J$56</f>
        <v>0.97499999999999998</v>
      </c>
      <c r="K380" s="5">
        <v>10</v>
      </c>
      <c r="L380" s="5" t="s">
        <v>394</v>
      </c>
      <c r="M380" s="5" t="s">
        <v>394</v>
      </c>
      <c r="N380" s="4" t="s">
        <v>394</v>
      </c>
      <c r="O380" s="5"/>
      <c r="P380" s="5" t="s">
        <v>394</v>
      </c>
      <c r="Q380" s="5" t="s">
        <v>394</v>
      </c>
      <c r="R380" s="5" t="s">
        <v>394</v>
      </c>
      <c r="S380" s="5"/>
      <c r="T380" s="5" t="s">
        <v>394</v>
      </c>
      <c r="U380" s="5" t="s">
        <v>394</v>
      </c>
      <c r="V380" s="5" t="s">
        <v>394</v>
      </c>
      <c r="W380" s="5"/>
      <c r="X380" s="5"/>
      <c r="Y380" s="5"/>
      <c r="Z380" s="4">
        <f>Z$56</f>
        <v>0.660377358490566</v>
      </c>
      <c r="AA380" s="5">
        <v>15</v>
      </c>
      <c r="AB380" s="31">
        <f>(D380*E380+F380*G380+J380*K380+Z380*AA380)/(E380+G380+K380+AA380)</f>
        <v>0.87931699474284164</v>
      </c>
      <c r="AC380" s="32">
        <v>1144</v>
      </c>
      <c r="AD380" s="24">
        <f>AC380/11*3</f>
        <v>312</v>
      </c>
      <c r="AE380" s="24">
        <f t="shared" si="137"/>
        <v>274.3</v>
      </c>
      <c r="AF380" s="24">
        <f t="shared" si="143"/>
        <v>-37.699999999999989</v>
      </c>
      <c r="AG380" s="24"/>
      <c r="AH380" s="24">
        <v>91.5</v>
      </c>
      <c r="AI380" s="24">
        <v>109.9</v>
      </c>
      <c r="AJ380" s="24">
        <f t="shared" si="144"/>
        <v>72.900000000000006</v>
      </c>
      <c r="AK380" s="68"/>
      <c r="AL380" s="40"/>
      <c r="AM380" s="40"/>
      <c r="AN380" s="68"/>
      <c r="AO380" s="68"/>
      <c r="AP380" s="24">
        <f>IF(OR(AJ380&lt;0,AK380="+",AL380="+",AM380="+",AN380="+",AO380="+"),0,AJ380)</f>
        <v>72.900000000000006</v>
      </c>
      <c r="AQ380" s="24">
        <f>MIN(AP380,34.2)</f>
        <v>34.200000000000003</v>
      </c>
      <c r="AR380" s="24">
        <f t="shared" si="146"/>
        <v>38.700000000000003</v>
      </c>
      <c r="AS380" s="76"/>
      <c r="AT380" s="1"/>
      <c r="AU380" s="1"/>
      <c r="AV380" s="38"/>
      <c r="AW380" s="38"/>
      <c r="AX380" s="1"/>
      <c r="AY380" s="1"/>
      <c r="AZ380" s="1"/>
      <c r="BA380" s="1"/>
    </row>
    <row r="381" spans="1:53" s="28" customFormat="1" ht="17.100000000000001" customHeight="1">
      <c r="A381" s="27" t="s">
        <v>359</v>
      </c>
      <c r="B381" s="29">
        <f>B8+B29</f>
        <v>7366531.3000000007</v>
      </c>
      <c r="C381" s="29">
        <f>C8+C29</f>
        <v>7088976.8999999994</v>
      </c>
      <c r="D381" s="30">
        <f>IF(C381/B381&gt;1.2,IF((C381/B381-1.2)*0.1+1.2&gt;1.3,1.3,(C381/B381-1.2)*0.1+1.2),C381/B381)</f>
        <v>0.96232223977654163</v>
      </c>
      <c r="E381" s="27"/>
      <c r="F381" s="27"/>
      <c r="G381" s="27"/>
      <c r="H381" s="29">
        <f>H8+H29</f>
        <v>421024</v>
      </c>
      <c r="I381" s="29">
        <f>I8+I29</f>
        <v>441197.59800000006</v>
      </c>
      <c r="J381" s="30">
        <f>IF(I381/H381&gt;1.2,IF((I381/H381-1.2)*0.1+1.2&gt;1.3,1.3,(I381/H381-1.2)*0.1+1.2),I381/H381)</f>
        <v>1.0479155535076388</v>
      </c>
      <c r="K381" s="27"/>
      <c r="L381" s="29"/>
      <c r="M381" s="29"/>
      <c r="N381" s="30"/>
      <c r="O381" s="27"/>
      <c r="P381" s="29"/>
      <c r="Q381" s="29"/>
      <c r="R381" s="30"/>
      <c r="S381" s="27"/>
      <c r="T381" s="29"/>
      <c r="U381" s="29"/>
      <c r="V381" s="30"/>
      <c r="W381" s="27"/>
      <c r="X381" s="29">
        <f>X8+X29</f>
        <v>5241.2999999999993</v>
      </c>
      <c r="Y381" s="29">
        <f>Y8+Y29</f>
        <v>4557.3</v>
      </c>
      <c r="Z381" s="30">
        <f>IF(X381/Y381&gt;1.2,IF((X381/Y381-1.2)*0.1+1.2&gt;1.3,1.3,(X381/Y381-1.2)*0.1+1.2),X381/Y381)</f>
        <v>1.1500888684089261</v>
      </c>
      <c r="AA381" s="27"/>
      <c r="AB381" s="27"/>
      <c r="AC381" s="34">
        <f>SUM(AC9:AC380)-AC19-AC29-AC57</f>
        <v>3146826</v>
      </c>
      <c r="AD381" s="29">
        <f>SUM(AD9:AD380)-AD19-AD29-AD57</f>
        <v>858225.2727272734</v>
      </c>
      <c r="AE381" s="29">
        <f>SUM(AE9:AE380)-AE19-AE29-AE57</f>
        <v>868382.0000000007</v>
      </c>
      <c r="AF381" s="29">
        <f>SUM(AF9:AF380)-AF19-AF29-AF57</f>
        <v>10156.727272727254</v>
      </c>
      <c r="AG381" s="29">
        <f t="shared" ref="AG381:AI381" si="147">SUM(AG9:AG380)-AG19-AG29-AG57</f>
        <v>235</v>
      </c>
      <c r="AH381" s="29">
        <f t="shared" si="147"/>
        <v>278274.69999999984</v>
      </c>
      <c r="AI381" s="29">
        <f t="shared" si="147"/>
        <v>278581.70000000048</v>
      </c>
      <c r="AJ381" s="29">
        <f>SUM(AJ9:AJ380)-AJ19-AJ29-AJ57</f>
        <v>311290.59999999992</v>
      </c>
      <c r="AK381" s="41">
        <f>COUNTIF(AK9:AK380,"+")</f>
        <v>0</v>
      </c>
      <c r="AL381" s="41">
        <f>COUNTIF(AL9:AL380,"+")</f>
        <v>0</v>
      </c>
      <c r="AM381" s="41">
        <f t="shared" ref="AM381:AN381" si="148">COUNTIF(AM9:AM380,"+")</f>
        <v>0</v>
      </c>
      <c r="AN381" s="41">
        <f t="shared" si="148"/>
        <v>0</v>
      </c>
      <c r="AO381" s="41">
        <f>COUNTIF(AO9:AO380,"+")</f>
        <v>0</v>
      </c>
      <c r="AP381" s="29">
        <f>SUM(AP9:AP380)-AP19-AP29-AP57</f>
        <v>311420.99999999988</v>
      </c>
      <c r="AQ381" s="29">
        <f>SUM(AQ9:AQ380)-AQ19-AQ29-AQ57</f>
        <v>28755.700000000004</v>
      </c>
      <c r="AR381" s="29">
        <f>SUM(AR9:AR380)-AR19-AR29-AR57</f>
        <v>282665.29999999993</v>
      </c>
      <c r="AS381" s="76"/>
      <c r="AT381" s="1"/>
      <c r="AU381" s="1"/>
      <c r="AV381" s="1"/>
      <c r="AW381" s="1"/>
      <c r="AX381" s="1"/>
      <c r="AY381" s="1"/>
      <c r="AZ381" s="1"/>
      <c r="BA381" s="1"/>
    </row>
    <row r="382" spans="1:53" ht="21" customHeight="1"/>
    <row r="383" spans="1:53" ht="15" customHeight="1">
      <c r="A383" s="69" t="s">
        <v>424</v>
      </c>
      <c r="B383" s="70"/>
      <c r="C383" s="84" t="s">
        <v>425</v>
      </c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</row>
    <row r="384" spans="1:53" ht="15.75">
      <c r="B384" s="71" t="s">
        <v>426</v>
      </c>
      <c r="C384" s="84" t="s">
        <v>427</v>
      </c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</row>
    <row r="386" ht="15" customHeight="1"/>
  </sheetData>
  <mergeCells count="30">
    <mergeCell ref="AJ3:AJ6"/>
    <mergeCell ref="B1:T1"/>
    <mergeCell ref="AP3:AP6"/>
    <mergeCell ref="AQ3:AQ6"/>
    <mergeCell ref="AR3:AR6"/>
    <mergeCell ref="AL4:AM4"/>
    <mergeCell ref="AN4:AN5"/>
    <mergeCell ref="AO5:AO6"/>
    <mergeCell ref="AL6:AN6"/>
    <mergeCell ref="C383:Q383"/>
    <mergeCell ref="C384:Q384"/>
    <mergeCell ref="AK3:AO3"/>
    <mergeCell ref="AK4:AK6"/>
    <mergeCell ref="B3:E5"/>
    <mergeCell ref="F3:G5"/>
    <mergeCell ref="H3:K5"/>
    <mergeCell ref="L3:O5"/>
    <mergeCell ref="AC3:AC6"/>
    <mergeCell ref="AD3:AD6"/>
    <mergeCell ref="AE3:AE6"/>
    <mergeCell ref="AF3:AF6"/>
    <mergeCell ref="AG4:AG6"/>
    <mergeCell ref="AH4:AH6"/>
    <mergeCell ref="AI4:AI6"/>
    <mergeCell ref="AG3:AI3"/>
    <mergeCell ref="A3:A6"/>
    <mergeCell ref="P3:S5"/>
    <mergeCell ref="T3:W5"/>
    <mergeCell ref="X3:AA5"/>
    <mergeCell ref="AB3:AB6"/>
  </mergeCells>
  <printOptions horizontalCentered="1"/>
  <pageMargins left="0.11811023622047245" right="0.11811023622047245" top="0.15748031496062992" bottom="0.15748031496062992" header="0.15748031496062992" footer="0.15748031496062992"/>
  <pageSetup paperSize="8" scale="62" fitToHeight="0" pageOrder="overThenDown" orientation="landscape" r:id="rId1"/>
  <headerFooter differentFirst="1" alignWithMargins="0">
    <oddFooter>&amp;R&amp;P</oddFooter>
  </headerFooter>
  <colBreaks count="1" manualBreakCount="1">
    <brk id="23" max="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1"/>
    </sheetView>
  </sheetViews>
  <sheetFormatPr defaultColWidth="9.140625" defaultRowHeight="12.75"/>
  <cols>
    <col min="1" max="1" width="39.140625" style="43" customWidth="1"/>
    <col min="2" max="3" width="10.7109375" style="43" customWidth="1"/>
    <col min="4" max="4" width="11.28515625" style="43" customWidth="1"/>
    <col min="5" max="5" width="16.140625" style="43" customWidth="1"/>
    <col min="6" max="6" width="11.140625" style="43" customWidth="1"/>
    <col min="7" max="7" width="11.7109375" style="43" customWidth="1"/>
    <col min="8" max="8" width="16.140625" style="43" customWidth="1"/>
    <col min="9" max="9" width="11.140625" style="43" customWidth="1"/>
    <col min="10" max="10" width="11.7109375" style="43" customWidth="1"/>
    <col min="11" max="11" width="16.140625" style="43" customWidth="1"/>
    <col min="12" max="12" width="11.140625" style="43" customWidth="1"/>
    <col min="13" max="13" width="11.7109375" style="43" customWidth="1"/>
    <col min="14" max="14" width="16.140625" style="43" customWidth="1"/>
    <col min="15" max="15" width="11.140625" style="43" customWidth="1"/>
    <col min="16" max="16" width="11.7109375" style="43" customWidth="1"/>
    <col min="17" max="17" width="16.140625" style="43" customWidth="1"/>
    <col min="18" max="18" width="11.140625" style="43" customWidth="1"/>
    <col min="19" max="19" width="11.7109375" style="43" customWidth="1"/>
    <col min="20" max="20" width="16.140625" style="43" customWidth="1"/>
    <col min="21" max="21" width="11.140625" style="43" customWidth="1"/>
    <col min="22" max="22" width="11.7109375" style="43" customWidth="1"/>
    <col min="23" max="23" width="16.140625" style="43" customWidth="1"/>
    <col min="24" max="24" width="8.28515625" style="43" customWidth="1"/>
    <col min="25" max="25" width="63.7109375" style="43" customWidth="1"/>
    <col min="26" max="16384" width="9.140625" style="43"/>
  </cols>
  <sheetData>
    <row r="1" spans="1:24" ht="15.75">
      <c r="A1" s="91" t="s">
        <v>418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ht="15.6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77" t="s">
        <v>397</v>
      </c>
    </row>
    <row r="3" spans="1:24" ht="192" customHeight="1">
      <c r="A3" s="92" t="s">
        <v>14</v>
      </c>
      <c r="B3" s="93" t="s">
        <v>398</v>
      </c>
      <c r="C3" s="94" t="s">
        <v>399</v>
      </c>
      <c r="D3" s="95"/>
      <c r="E3" s="96"/>
      <c r="F3" s="97" t="s">
        <v>379</v>
      </c>
      <c r="G3" s="97"/>
      <c r="H3" s="97"/>
      <c r="I3" s="98" t="s">
        <v>400</v>
      </c>
      <c r="J3" s="99"/>
      <c r="K3" s="99"/>
      <c r="L3" s="98" t="s">
        <v>401</v>
      </c>
      <c r="M3" s="99"/>
      <c r="N3" s="99"/>
      <c r="O3" s="98" t="s">
        <v>402</v>
      </c>
      <c r="P3" s="99"/>
      <c r="Q3" s="99"/>
      <c r="R3" s="98" t="s">
        <v>403</v>
      </c>
      <c r="S3" s="99"/>
      <c r="T3" s="100"/>
      <c r="U3" s="98" t="s">
        <v>404</v>
      </c>
      <c r="V3" s="99"/>
      <c r="W3" s="100"/>
      <c r="X3" s="90" t="s">
        <v>405</v>
      </c>
    </row>
    <row r="4" spans="1:24" ht="32.1" customHeight="1">
      <c r="A4" s="92"/>
      <c r="B4" s="93"/>
      <c r="C4" s="45" t="s">
        <v>406</v>
      </c>
      <c r="D4" s="45" t="s">
        <v>407</v>
      </c>
      <c r="E4" s="46" t="s">
        <v>408</v>
      </c>
      <c r="F4" s="45" t="s">
        <v>406</v>
      </c>
      <c r="G4" s="45" t="s">
        <v>407</v>
      </c>
      <c r="H4" s="46" t="s">
        <v>409</v>
      </c>
      <c r="I4" s="45" t="s">
        <v>406</v>
      </c>
      <c r="J4" s="45" t="s">
        <v>407</v>
      </c>
      <c r="K4" s="47" t="s">
        <v>410</v>
      </c>
      <c r="L4" s="45" t="s">
        <v>406</v>
      </c>
      <c r="M4" s="45" t="s">
        <v>407</v>
      </c>
      <c r="N4" s="47" t="s">
        <v>411</v>
      </c>
      <c r="O4" s="45" t="s">
        <v>406</v>
      </c>
      <c r="P4" s="45" t="s">
        <v>407</v>
      </c>
      <c r="Q4" s="47" t="s">
        <v>412</v>
      </c>
      <c r="R4" s="45" t="s">
        <v>406</v>
      </c>
      <c r="S4" s="45" t="s">
        <v>407</v>
      </c>
      <c r="T4" s="47" t="s">
        <v>413</v>
      </c>
      <c r="U4" s="45" t="s">
        <v>406</v>
      </c>
      <c r="V4" s="45" t="s">
        <v>407</v>
      </c>
      <c r="W4" s="47" t="s">
        <v>414</v>
      </c>
      <c r="X4" s="90"/>
    </row>
    <row r="5" spans="1:24">
      <c r="A5" s="22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  <c r="L5" s="48">
        <v>12</v>
      </c>
      <c r="M5" s="48">
        <v>13</v>
      </c>
      <c r="N5" s="48">
        <v>14</v>
      </c>
      <c r="O5" s="48">
        <v>15</v>
      </c>
      <c r="P5" s="48">
        <v>16</v>
      </c>
      <c r="Q5" s="48">
        <v>17</v>
      </c>
      <c r="R5" s="48">
        <v>18</v>
      </c>
      <c r="S5" s="48">
        <v>19</v>
      </c>
      <c r="T5" s="48">
        <v>20</v>
      </c>
      <c r="U5" s="48">
        <v>21</v>
      </c>
      <c r="V5" s="48">
        <v>22</v>
      </c>
      <c r="W5" s="48">
        <v>23</v>
      </c>
      <c r="X5" s="48">
        <v>24</v>
      </c>
    </row>
    <row r="6" spans="1:24" ht="15" customHeight="1">
      <c r="A6" s="49" t="s">
        <v>415</v>
      </c>
      <c r="B6" s="50">
        <f>'[1]Расчет субсидий'!AF6</f>
        <v>-18317.627272727295</v>
      </c>
      <c r="C6" s="50"/>
      <c r="D6" s="50"/>
      <c r="E6" s="50">
        <f>SUM(E7:E16)</f>
        <v>-6729.5337921275632</v>
      </c>
      <c r="F6" s="50"/>
      <c r="G6" s="50"/>
      <c r="H6" s="50">
        <f>SUM(H7:H16)</f>
        <v>0</v>
      </c>
      <c r="I6" s="50"/>
      <c r="J6" s="50"/>
      <c r="K6" s="50">
        <f>SUM(K7:K16)</f>
        <v>6905.2775205581756</v>
      </c>
      <c r="L6" s="50"/>
      <c r="M6" s="50"/>
      <c r="N6" s="50">
        <f>SUM(N7:N16)</f>
        <v>0</v>
      </c>
      <c r="O6" s="50"/>
      <c r="P6" s="50"/>
      <c r="Q6" s="50"/>
      <c r="R6" s="50"/>
      <c r="S6" s="50"/>
      <c r="T6" s="50"/>
      <c r="U6" s="50"/>
      <c r="V6" s="50"/>
      <c r="W6" s="50">
        <f>SUM(W7:W16)</f>
        <v>14859.947180660281</v>
      </c>
      <c r="X6" s="50"/>
    </row>
    <row r="7" spans="1:24" ht="15" customHeight="1">
      <c r="A7" s="51" t="s">
        <v>4</v>
      </c>
      <c r="B7" s="52">
        <f>'Расчет субсидий'!AF9</f>
        <v>1859.1000000000058</v>
      </c>
      <c r="C7" s="53">
        <f>'Расчет субсидий'!D9-1</f>
        <v>-6.3316404146784633E-2</v>
      </c>
      <c r="D7" s="53">
        <f>C7*'Расчет субсидий'!E9</f>
        <v>-1.2663280829356927</v>
      </c>
      <c r="E7" s="54">
        <f>$B7*D7/$X7</f>
        <v>-1573.2049192528964</v>
      </c>
      <c r="F7" s="53">
        <f>'Расчет субсидий'!F9-1</f>
        <v>0</v>
      </c>
      <c r="G7" s="53">
        <f>F7*'Расчет субсидий'!G9</f>
        <v>0</v>
      </c>
      <c r="H7" s="54">
        <f t="shared" ref="H7:H16" si="0">$B7*G7/$X7</f>
        <v>0</v>
      </c>
      <c r="I7" s="53">
        <f>'Расчет субсидий'!J9-1</f>
        <v>6.3078514988084589E-2</v>
      </c>
      <c r="J7" s="53">
        <f>I7*'Расчет субсидий'!K9</f>
        <v>0.94617772482126883</v>
      </c>
      <c r="K7" s="54">
        <f>$B7*J7/$X7</f>
        <v>1175.4706155813215</v>
      </c>
      <c r="L7" s="53" t="s">
        <v>394</v>
      </c>
      <c r="M7" s="53" t="s">
        <v>394</v>
      </c>
      <c r="N7" s="55" t="s">
        <v>394</v>
      </c>
      <c r="O7" s="5" t="s">
        <v>388</v>
      </c>
      <c r="P7" s="5" t="s">
        <v>388</v>
      </c>
      <c r="Q7" s="5" t="s">
        <v>388</v>
      </c>
      <c r="R7" s="5" t="s">
        <v>388</v>
      </c>
      <c r="S7" s="5" t="s">
        <v>388</v>
      </c>
      <c r="T7" s="5" t="s">
        <v>388</v>
      </c>
      <c r="U7" s="53">
        <f>'Расчет субсидий'!Z9-1</f>
        <v>0.12110703114375099</v>
      </c>
      <c r="V7" s="53">
        <f>U7*'Расчет субсидий'!AA9</f>
        <v>1.8166054671562648</v>
      </c>
      <c r="W7" s="54">
        <f t="shared" ref="W7:W16" si="1">$B7*V7/$X7</f>
        <v>2256.8343036715805</v>
      </c>
      <c r="X7" s="56">
        <f>D7+G7+J7+V7</f>
        <v>1.496455109041841</v>
      </c>
    </row>
    <row r="8" spans="1:24" ht="15" customHeight="1">
      <c r="A8" s="51" t="s">
        <v>5</v>
      </c>
      <c r="B8" s="52">
        <f>'Расчет субсидий'!AF10</f>
        <v>13250.318181818177</v>
      </c>
      <c r="C8" s="53">
        <f>'Расчет субсидий'!D10-1</f>
        <v>-3.3550434532134799E-2</v>
      </c>
      <c r="D8" s="53">
        <f>C8*'Расчет субсидий'!E10</f>
        <v>-0.67100869064269597</v>
      </c>
      <c r="E8" s="54">
        <f t="shared" ref="E8:E54" si="2">$B8*D8/$X8</f>
        <v>-1753.1856149762632</v>
      </c>
      <c r="F8" s="53">
        <f>'Расчет субсидий'!F10-1</f>
        <v>0</v>
      </c>
      <c r="G8" s="53">
        <f>F8*'Расчет субсидий'!G10</f>
        <v>0</v>
      </c>
      <c r="H8" s="54">
        <f t="shared" si="0"/>
        <v>0</v>
      </c>
      <c r="I8" s="53">
        <f>'Расчет субсидий'!J10-1</f>
        <v>8.6174012509430575E-2</v>
      </c>
      <c r="J8" s="53">
        <f>I8*'Расчет субсидий'!K10</f>
        <v>1.2926101876414586</v>
      </c>
      <c r="K8" s="54">
        <f t="shared" ref="K8:K54" si="3">$B8*J8/$X8</f>
        <v>3377.2820208546154</v>
      </c>
      <c r="L8" s="53" t="s">
        <v>394</v>
      </c>
      <c r="M8" s="53" t="s">
        <v>394</v>
      </c>
      <c r="N8" s="55" t="s">
        <v>394</v>
      </c>
      <c r="O8" s="5" t="s">
        <v>388</v>
      </c>
      <c r="P8" s="5" t="s">
        <v>388</v>
      </c>
      <c r="Q8" s="5" t="s">
        <v>388</v>
      </c>
      <c r="R8" s="5" t="s">
        <v>388</v>
      </c>
      <c r="S8" s="5" t="s">
        <v>388</v>
      </c>
      <c r="T8" s="5" t="s">
        <v>388</v>
      </c>
      <c r="U8" s="53">
        <f>'Расчет субсидий'!Z10-1</f>
        <v>0.29665221162185595</v>
      </c>
      <c r="V8" s="53">
        <f>U8*'Расчет субсидий'!AA10</f>
        <v>4.4497831743278393</v>
      </c>
      <c r="W8" s="54">
        <f t="shared" si="1"/>
        <v>11626.221775939825</v>
      </c>
      <c r="X8" s="56">
        <f t="shared" ref="X8:X54" si="4">D8+G8+J8+V8</f>
        <v>5.0713846713266015</v>
      </c>
    </row>
    <row r="9" spans="1:24" ht="15" customHeight="1">
      <c r="A9" s="51" t="s">
        <v>6</v>
      </c>
      <c r="B9" s="52">
        <f>'Расчет субсидий'!AF11</f>
        <v>-3959.8909090909146</v>
      </c>
      <c r="C9" s="53">
        <f>'Расчет субсидий'!D11-1</f>
        <v>-0.10453356530142544</v>
      </c>
      <c r="D9" s="53">
        <f>C9*'Расчет субсидий'!E11</f>
        <v>-2.0906713060285087</v>
      </c>
      <c r="E9" s="54">
        <f t="shared" si="2"/>
        <v>-1470.7757726242235</v>
      </c>
      <c r="F9" s="53">
        <f>'Расчет субсидий'!F11-1</f>
        <v>0</v>
      </c>
      <c r="G9" s="53">
        <f>F9*'Расчет субсидий'!G11</f>
        <v>0</v>
      </c>
      <c r="H9" s="54">
        <f t="shared" si="0"/>
        <v>0</v>
      </c>
      <c r="I9" s="53">
        <f>'Расчет субсидий'!J11-1</f>
        <v>-1.4718100890207642E-2</v>
      </c>
      <c r="J9" s="53">
        <f>I9*'Расчет субсидий'!K11</f>
        <v>-0.22077151335311462</v>
      </c>
      <c r="K9" s="54">
        <f t="shared" si="3"/>
        <v>-155.31154619525756</v>
      </c>
      <c r="L9" s="53" t="s">
        <v>394</v>
      </c>
      <c r="M9" s="53" t="s">
        <v>394</v>
      </c>
      <c r="N9" s="55" t="s">
        <v>394</v>
      </c>
      <c r="O9" s="5" t="s">
        <v>388</v>
      </c>
      <c r="P9" s="5" t="s">
        <v>388</v>
      </c>
      <c r="Q9" s="5" t="s">
        <v>388</v>
      </c>
      <c r="R9" s="5" t="s">
        <v>388</v>
      </c>
      <c r="S9" s="5" t="s">
        <v>388</v>
      </c>
      <c r="T9" s="5" t="s">
        <v>388</v>
      </c>
      <c r="U9" s="53">
        <f>'Расчет субсидий'!Z11-1</f>
        <v>-0.22116293051618996</v>
      </c>
      <c r="V9" s="53">
        <f>U9*'Расчет субсидий'!AA11</f>
        <v>-3.3174439577428494</v>
      </c>
      <c r="W9" s="54">
        <f t="shared" si="1"/>
        <v>-2333.8035902714337</v>
      </c>
      <c r="X9" s="56">
        <f t="shared" si="4"/>
        <v>-5.6288867771244728</v>
      </c>
    </row>
    <row r="10" spans="1:24" ht="15" customHeight="1">
      <c r="A10" s="51" t="s">
        <v>7</v>
      </c>
      <c r="B10" s="52">
        <f>'Расчет субсидий'!AF12</f>
        <v>1637.3272727272706</v>
      </c>
      <c r="C10" s="53">
        <f>'Расчет субсидий'!D12-1</f>
        <v>9.7089887571024658E-2</v>
      </c>
      <c r="D10" s="53">
        <f>C10*'Расчет субсидий'!E12</f>
        <v>1.9417977514204932</v>
      </c>
      <c r="E10" s="54">
        <f t="shared" si="2"/>
        <v>586.85755446955852</v>
      </c>
      <c r="F10" s="53">
        <f>'Расчет субсидий'!F12-1</f>
        <v>0</v>
      </c>
      <c r="G10" s="53">
        <f>F10*'Расчет субсидий'!G12</f>
        <v>0</v>
      </c>
      <c r="H10" s="54">
        <f t="shared" si="0"/>
        <v>0</v>
      </c>
      <c r="I10" s="53">
        <f>'Расчет субсидий'!J12-1</f>
        <v>2.07445312939325E-2</v>
      </c>
      <c r="J10" s="53">
        <f>I10*'Расчет субсидий'!K12</f>
        <v>0.3111679694089875</v>
      </c>
      <c r="K10" s="54">
        <f t="shared" si="3"/>
        <v>94.042375640321055</v>
      </c>
      <c r="L10" s="53" t="s">
        <v>394</v>
      </c>
      <c r="M10" s="53" t="s">
        <v>394</v>
      </c>
      <c r="N10" s="55" t="s">
        <v>394</v>
      </c>
      <c r="O10" s="5" t="s">
        <v>388</v>
      </c>
      <c r="P10" s="5" t="s">
        <v>388</v>
      </c>
      <c r="Q10" s="5" t="s">
        <v>388</v>
      </c>
      <c r="R10" s="5" t="s">
        <v>388</v>
      </c>
      <c r="S10" s="5" t="s">
        <v>388</v>
      </c>
      <c r="T10" s="5" t="s">
        <v>388</v>
      </c>
      <c r="U10" s="53">
        <f>'Расчет субсидий'!Z12-1</f>
        <v>0.21097549699491447</v>
      </c>
      <c r="V10" s="53">
        <f>U10*'Расчет субсидий'!AA12</f>
        <v>3.164632454923717</v>
      </c>
      <c r="W10" s="54">
        <f t="shared" si="1"/>
        <v>956.4273426173911</v>
      </c>
      <c r="X10" s="56">
        <f t="shared" si="4"/>
        <v>5.4175981757531977</v>
      </c>
    </row>
    <row r="11" spans="1:24" ht="15" customHeight="1">
      <c r="A11" s="51" t="s">
        <v>8</v>
      </c>
      <c r="B11" s="52">
        <f>'Расчет субсидий'!AF13</f>
        <v>1056.2363636363589</v>
      </c>
      <c r="C11" s="53">
        <f>'Расчет субсидий'!D13-1</f>
        <v>-0.11393069512423648</v>
      </c>
      <c r="D11" s="53">
        <f>C11*'Расчет субсидий'!E13</f>
        <v>-2.2786139024847296</v>
      </c>
      <c r="E11" s="54">
        <f t="shared" si="2"/>
        <v>-1321.4288199455934</v>
      </c>
      <c r="F11" s="53">
        <f>'Расчет субсидий'!F13-1</f>
        <v>0</v>
      </c>
      <c r="G11" s="53">
        <f>F11*'Расчет субсидий'!G13</f>
        <v>0</v>
      </c>
      <c r="H11" s="54">
        <f t="shared" si="0"/>
        <v>0</v>
      </c>
      <c r="I11" s="53">
        <f>'Расчет субсидий'!J13-1</f>
        <v>6.939121366184331E-2</v>
      </c>
      <c r="J11" s="53">
        <f>I11*'Расчет субсидий'!K13</f>
        <v>1.0408682049276496</v>
      </c>
      <c r="K11" s="54">
        <f t="shared" si="3"/>
        <v>603.62716222199026</v>
      </c>
      <c r="L11" s="53" t="s">
        <v>394</v>
      </c>
      <c r="M11" s="53" t="s">
        <v>394</v>
      </c>
      <c r="N11" s="55" t="s">
        <v>394</v>
      </c>
      <c r="O11" s="5" t="s">
        <v>388</v>
      </c>
      <c r="P11" s="5" t="s">
        <v>388</v>
      </c>
      <c r="Q11" s="5" t="s">
        <v>388</v>
      </c>
      <c r="R11" s="5" t="s">
        <v>388</v>
      </c>
      <c r="S11" s="5" t="s">
        <v>388</v>
      </c>
      <c r="T11" s="5" t="s">
        <v>388</v>
      </c>
      <c r="U11" s="53">
        <f>'Расчет субсидий'!Z13-1</f>
        <v>0.20393822393822392</v>
      </c>
      <c r="V11" s="53">
        <f>U11*'Расчет субсидий'!AA13</f>
        <v>3.0590733590733588</v>
      </c>
      <c r="W11" s="54">
        <f t="shared" si="1"/>
        <v>1774.0380213599622</v>
      </c>
      <c r="X11" s="56">
        <f t="shared" si="4"/>
        <v>1.8213276615162788</v>
      </c>
    </row>
    <row r="12" spans="1:24" ht="15" customHeight="1">
      <c r="A12" s="51" t="s">
        <v>9</v>
      </c>
      <c r="B12" s="52">
        <f>'Расчет субсидий'!AF14</f>
        <v>355.34545454545332</v>
      </c>
      <c r="C12" s="53">
        <f>'Расчет субсидий'!D14-1</f>
        <v>-5.0198222317913932E-2</v>
      </c>
      <c r="D12" s="53">
        <f>C12*'Расчет субсидий'!E14</f>
        <v>-1.0039644463582786</v>
      </c>
      <c r="E12" s="54">
        <f t="shared" si="2"/>
        <v>-207.24674431002657</v>
      </c>
      <c r="F12" s="53">
        <f>'Расчет субсидий'!F14-1</f>
        <v>0</v>
      </c>
      <c r="G12" s="53">
        <f>F12*'Расчет субсидий'!G14</f>
        <v>0</v>
      </c>
      <c r="H12" s="54">
        <f t="shared" si="0"/>
        <v>0</v>
      </c>
      <c r="I12" s="53">
        <f>'Расчет субсидий'!J14-1</f>
        <v>1.6028202115158541E-2</v>
      </c>
      <c r="J12" s="53">
        <f>I12*'Расчет субсидий'!K14</f>
        <v>0.24042303172737811</v>
      </c>
      <c r="K12" s="54">
        <f t="shared" si="3"/>
        <v>49.63013457636319</v>
      </c>
      <c r="L12" s="53" t="s">
        <v>394</v>
      </c>
      <c r="M12" s="53" t="s">
        <v>394</v>
      </c>
      <c r="N12" s="55" t="s">
        <v>394</v>
      </c>
      <c r="O12" s="5" t="s">
        <v>388</v>
      </c>
      <c r="P12" s="5" t="s">
        <v>388</v>
      </c>
      <c r="Q12" s="5" t="s">
        <v>388</v>
      </c>
      <c r="R12" s="5" t="s">
        <v>388</v>
      </c>
      <c r="S12" s="5" t="s">
        <v>388</v>
      </c>
      <c r="T12" s="5" t="s">
        <v>388</v>
      </c>
      <c r="U12" s="53">
        <f>'Расчет субсидий'!Z14-1</f>
        <v>0.1656626506024097</v>
      </c>
      <c r="V12" s="53">
        <f>U12*'Расчет субсидий'!AA14</f>
        <v>2.4849397590361457</v>
      </c>
      <c r="W12" s="54">
        <f t="shared" si="1"/>
        <v>512.9620642791167</v>
      </c>
      <c r="X12" s="56">
        <f t="shared" si="4"/>
        <v>1.7213983444052452</v>
      </c>
    </row>
    <row r="13" spans="1:24" ht="15" customHeight="1">
      <c r="A13" s="51" t="s">
        <v>10</v>
      </c>
      <c r="B13" s="52">
        <f>'Расчет субсидий'!AF15</f>
        <v>-1172.0363636363618</v>
      </c>
      <c r="C13" s="53">
        <f>'Расчет субсидий'!D15-1</f>
        <v>8.655253282056341E-2</v>
      </c>
      <c r="D13" s="53">
        <f>C13*'Расчет субсидий'!E15</f>
        <v>1.7310506564112682</v>
      </c>
      <c r="E13" s="54">
        <f t="shared" si="2"/>
        <v>876.19211803865028</v>
      </c>
      <c r="F13" s="53">
        <f>'Расчет субсидий'!F15-1</f>
        <v>0</v>
      </c>
      <c r="G13" s="53">
        <f>F13*'Расчет субсидий'!G15</f>
        <v>0</v>
      </c>
      <c r="H13" s="54">
        <f t="shared" si="0"/>
        <v>0</v>
      </c>
      <c r="I13" s="53">
        <f>'Расчет субсидий'!J15-1</f>
        <v>7.2348592550468993E-2</v>
      </c>
      <c r="J13" s="53">
        <f>I13*'Расчет субсидий'!K15</f>
        <v>1.0852288882570349</v>
      </c>
      <c r="K13" s="54">
        <f t="shared" si="3"/>
        <v>549.3016594499652</v>
      </c>
      <c r="L13" s="53" t="s">
        <v>394</v>
      </c>
      <c r="M13" s="53" t="s">
        <v>394</v>
      </c>
      <c r="N13" s="55" t="s">
        <v>394</v>
      </c>
      <c r="O13" s="5" t="s">
        <v>388</v>
      </c>
      <c r="P13" s="5" t="s">
        <v>388</v>
      </c>
      <c r="Q13" s="5" t="s">
        <v>388</v>
      </c>
      <c r="R13" s="5" t="s">
        <v>388</v>
      </c>
      <c r="S13" s="5" t="s">
        <v>388</v>
      </c>
      <c r="T13" s="5" t="s">
        <v>388</v>
      </c>
      <c r="U13" s="53">
        <f>'Расчет субсидий'!Z15-1</f>
        <v>-0.34212103055721999</v>
      </c>
      <c r="V13" s="53">
        <f>U13*'Расчет субсидий'!AA15</f>
        <v>-5.1318154583583002</v>
      </c>
      <c r="W13" s="54">
        <f t="shared" si="1"/>
        <v>-2597.5301411249775</v>
      </c>
      <c r="X13" s="56">
        <f t="shared" si="4"/>
        <v>-2.3155359136899971</v>
      </c>
    </row>
    <row r="14" spans="1:24" ht="15" customHeight="1">
      <c r="A14" s="51" t="s">
        <v>11</v>
      </c>
      <c r="B14" s="52">
        <f>'Расчет субсидий'!AF16</f>
        <v>1118.4090909090919</v>
      </c>
      <c r="C14" s="53">
        <f>'Расчет субсидий'!D16-1</f>
        <v>-6.574979855396379E-2</v>
      </c>
      <c r="D14" s="53">
        <f>C14*'Расчет субсидий'!E16</f>
        <v>-1.3149959710792758</v>
      </c>
      <c r="E14" s="54">
        <f t="shared" si="2"/>
        <v>-439.0508076393707</v>
      </c>
      <c r="F14" s="53">
        <f>'Расчет субсидий'!F16-1</f>
        <v>0</v>
      </c>
      <c r="G14" s="53">
        <f>F14*'Расчет субсидий'!G16</f>
        <v>0</v>
      </c>
      <c r="H14" s="54">
        <f t="shared" si="0"/>
        <v>0</v>
      </c>
      <c r="I14" s="53">
        <f>'Расчет субсидий'!J16-1</f>
        <v>1.167614586818333E-2</v>
      </c>
      <c r="J14" s="53">
        <f>I14*'Расчет субсидий'!K16</f>
        <v>0.17514218802274995</v>
      </c>
      <c r="K14" s="54">
        <f t="shared" si="3"/>
        <v>58.476467452598094</v>
      </c>
      <c r="L14" s="53" t="s">
        <v>394</v>
      </c>
      <c r="M14" s="53" t="s">
        <v>394</v>
      </c>
      <c r="N14" s="55" t="s">
        <v>394</v>
      </c>
      <c r="O14" s="5" t="s">
        <v>388</v>
      </c>
      <c r="P14" s="5" t="s">
        <v>388</v>
      </c>
      <c r="Q14" s="5" t="s">
        <v>388</v>
      </c>
      <c r="R14" s="5" t="s">
        <v>388</v>
      </c>
      <c r="S14" s="5" t="s">
        <v>388</v>
      </c>
      <c r="T14" s="5" t="s">
        <v>388</v>
      </c>
      <c r="U14" s="53">
        <f>'Расчет субсидий'!Z16-1</f>
        <v>0.29930585683297162</v>
      </c>
      <c r="V14" s="53">
        <f>U14*'Расчет субсидий'!AA16</f>
        <v>4.4895878524945747</v>
      </c>
      <c r="W14" s="54">
        <f t="shared" si="1"/>
        <v>1498.9834310958645</v>
      </c>
      <c r="X14" s="56">
        <f t="shared" si="4"/>
        <v>3.3497340694380489</v>
      </c>
    </row>
    <row r="15" spans="1:24" ht="15" customHeight="1">
      <c r="A15" s="51" t="s">
        <v>12</v>
      </c>
      <c r="B15" s="52">
        <f>'Расчет субсидий'!AF17</f>
        <v>-532.34545454545514</v>
      </c>
      <c r="C15" s="53">
        <f>'Расчет субсидий'!D17-1</f>
        <v>-9.2012803579737956E-2</v>
      </c>
      <c r="D15" s="53">
        <f>C15*'Расчет субсидий'!E17</f>
        <v>-1.8402560715947591</v>
      </c>
      <c r="E15" s="54">
        <f t="shared" si="2"/>
        <v>-864.09902520388812</v>
      </c>
      <c r="F15" s="53">
        <f>'Расчет субсидий'!F17-1</f>
        <v>0</v>
      </c>
      <c r="G15" s="53">
        <f>F15*'Расчет субсидий'!G17</f>
        <v>0</v>
      </c>
      <c r="H15" s="54">
        <f t="shared" si="0"/>
        <v>0</v>
      </c>
      <c r="I15" s="53">
        <f>'Расчет субсидий'!J17-1</f>
        <v>4.7101972101972089E-2</v>
      </c>
      <c r="J15" s="53">
        <f>I15*'Расчет субсидий'!K17</f>
        <v>0.70652958152958134</v>
      </c>
      <c r="K15" s="54">
        <f t="shared" si="3"/>
        <v>331.75357065843298</v>
      </c>
      <c r="L15" s="53" t="s">
        <v>394</v>
      </c>
      <c r="M15" s="53" t="s">
        <v>394</v>
      </c>
      <c r="N15" s="55" t="s">
        <v>394</v>
      </c>
      <c r="O15" s="5" t="s">
        <v>388</v>
      </c>
      <c r="P15" s="5" t="s">
        <v>388</v>
      </c>
      <c r="Q15" s="5" t="s">
        <v>388</v>
      </c>
      <c r="R15" s="5" t="s">
        <v>388</v>
      </c>
      <c r="S15" s="5" t="s">
        <v>388</v>
      </c>
      <c r="T15" s="5" t="s">
        <v>388</v>
      </c>
      <c r="U15" s="53">
        <f>'Расчет субсидий'!Z17-1</f>
        <v>0</v>
      </c>
      <c r="V15" s="53">
        <f>U15*'Расчет субсидий'!AA17</f>
        <v>0</v>
      </c>
      <c r="W15" s="54">
        <f t="shared" si="1"/>
        <v>0</v>
      </c>
      <c r="X15" s="56">
        <f t="shared" si="4"/>
        <v>-1.1337264900651778</v>
      </c>
    </row>
    <row r="16" spans="1:24" ht="15" customHeight="1">
      <c r="A16" s="51" t="s">
        <v>13</v>
      </c>
      <c r="B16" s="52">
        <f>'Расчет субсидий'!AF18</f>
        <v>1423.2272727272721</v>
      </c>
      <c r="C16" s="53">
        <f>'Расчет субсидий'!D18-1</f>
        <v>-0.10877219614838052</v>
      </c>
      <c r="D16" s="53">
        <f>C16*'Расчет субсидий'!E18</f>
        <v>-2.1754439229676104</v>
      </c>
      <c r="E16" s="54">
        <f t="shared" si="2"/>
        <v>-563.59176068350928</v>
      </c>
      <c r="F16" s="53">
        <f>'Расчет субсидий'!F18-1</f>
        <v>0</v>
      </c>
      <c r="G16" s="53">
        <f>F16*'Расчет субсидий'!G18</f>
        <v>0</v>
      </c>
      <c r="H16" s="54">
        <f t="shared" si="0"/>
        <v>0</v>
      </c>
      <c r="I16" s="53">
        <f>'Расчет субсидий'!J18-1</f>
        <v>0.21126999999999985</v>
      </c>
      <c r="J16" s="53">
        <f>I16*'Расчет субсидий'!K18</f>
        <v>3.1690499999999977</v>
      </c>
      <c r="K16" s="54">
        <f>$B16*J16/$X16</f>
        <v>821.00506031782731</v>
      </c>
      <c r="L16" s="53" t="s">
        <v>394</v>
      </c>
      <c r="M16" s="53" t="s">
        <v>394</v>
      </c>
      <c r="N16" s="55" t="s">
        <v>394</v>
      </c>
      <c r="O16" s="5" t="s">
        <v>388</v>
      </c>
      <c r="P16" s="5" t="s">
        <v>388</v>
      </c>
      <c r="Q16" s="5" t="s">
        <v>388</v>
      </c>
      <c r="R16" s="5" t="s">
        <v>388</v>
      </c>
      <c r="S16" s="5" t="s">
        <v>388</v>
      </c>
      <c r="T16" s="5" t="s">
        <v>388</v>
      </c>
      <c r="U16" s="53">
        <f>'Расчет субсидий'!Z18-1</f>
        <v>0.30000000000000004</v>
      </c>
      <c r="V16" s="53">
        <f>U16*'Расчет субсидий'!AA18</f>
        <v>4.5000000000000009</v>
      </c>
      <c r="W16" s="54">
        <f t="shared" si="1"/>
        <v>1165.813973092954</v>
      </c>
      <c r="X16" s="56">
        <f t="shared" si="4"/>
        <v>5.4936060770323882</v>
      </c>
    </row>
    <row r="17" spans="1:24" ht="15" customHeight="1">
      <c r="A17" s="49" t="s">
        <v>365</v>
      </c>
      <c r="B17" s="50">
        <f>SUM(B18:B26)</f>
        <v>21.145454545454584</v>
      </c>
      <c r="C17" s="50"/>
      <c r="D17" s="50"/>
      <c r="E17" s="50">
        <f>SUM(E18:E26)</f>
        <v>7.5547048797551284</v>
      </c>
      <c r="F17" s="50"/>
      <c r="G17" s="50"/>
      <c r="H17" s="50">
        <f>SUM(H18:H26)</f>
        <v>0</v>
      </c>
      <c r="I17" s="50"/>
      <c r="J17" s="50"/>
      <c r="K17" s="50">
        <f>SUM(K18:K26)</f>
        <v>4.6544602684159884</v>
      </c>
      <c r="L17" s="50"/>
      <c r="M17" s="50"/>
      <c r="N17" s="50">
        <f>SUM(N18:N26)</f>
        <v>0</v>
      </c>
      <c r="O17" s="50"/>
      <c r="P17" s="50"/>
      <c r="Q17" s="50"/>
      <c r="R17" s="50"/>
      <c r="S17" s="50"/>
      <c r="T17" s="50"/>
      <c r="U17" s="50"/>
      <c r="V17" s="50"/>
      <c r="W17" s="50">
        <f>SUM(W18:W26)</f>
        <v>8.9362893972834687</v>
      </c>
      <c r="X17" s="50"/>
    </row>
    <row r="18" spans="1:24" ht="15" customHeight="1">
      <c r="A18" s="57" t="s">
        <v>366</v>
      </c>
      <c r="B18" s="52">
        <f>'Расчет субсидий'!AF20</f>
        <v>0</v>
      </c>
      <c r="C18" s="53">
        <f>'Расчет субсидий'!D20-1</f>
        <v>-0.28634255075606962</v>
      </c>
      <c r="D18" s="53">
        <f>C18*'Расчет субсидий'!E20</f>
        <v>-5.7268510151213921</v>
      </c>
      <c r="E18" s="54">
        <f t="shared" si="2"/>
        <v>0</v>
      </c>
      <c r="F18" s="53">
        <f>'Расчет субсидий'!F20-1</f>
        <v>0</v>
      </c>
      <c r="G18" s="53">
        <f>F18*'Расчет субсидий'!G20</f>
        <v>0</v>
      </c>
      <c r="H18" s="54">
        <f t="shared" ref="H18:H26" si="5">$B18*G18/$X18</f>
        <v>0</v>
      </c>
      <c r="I18" s="53">
        <f>'Расчет субсидий'!J20-1</f>
        <v>6.3078514988084589E-2</v>
      </c>
      <c r="J18" s="53">
        <f>I18*'Расчет субсидий'!K20</f>
        <v>0.94617772482126883</v>
      </c>
      <c r="K18" s="54">
        <f t="shared" si="3"/>
        <v>0</v>
      </c>
      <c r="L18" s="53" t="s">
        <v>394</v>
      </c>
      <c r="M18" s="53" t="s">
        <v>394</v>
      </c>
      <c r="N18" s="55" t="s">
        <v>394</v>
      </c>
      <c r="O18" s="5" t="s">
        <v>388</v>
      </c>
      <c r="P18" s="5" t="s">
        <v>388</v>
      </c>
      <c r="Q18" s="5" t="s">
        <v>388</v>
      </c>
      <c r="R18" s="5" t="s">
        <v>388</v>
      </c>
      <c r="S18" s="5" t="s">
        <v>388</v>
      </c>
      <c r="T18" s="5" t="s">
        <v>388</v>
      </c>
      <c r="U18" s="53">
        <f>'Расчет субсидий'!Z20-1</f>
        <v>0.12110703114375099</v>
      </c>
      <c r="V18" s="53">
        <f>U18*'Расчет субсидий'!AA20</f>
        <v>1.8166054671562648</v>
      </c>
      <c r="W18" s="54">
        <f t="shared" ref="W18:W26" si="6">$B18*V18/$X18</f>
        <v>0</v>
      </c>
      <c r="X18" s="56">
        <f t="shared" si="4"/>
        <v>-2.9640678231438589</v>
      </c>
    </row>
    <row r="19" spans="1:24" ht="15" customHeight="1">
      <c r="A19" s="57" t="s">
        <v>367</v>
      </c>
      <c r="B19" s="52">
        <f>'Расчет субсидий'!AF21</f>
        <v>0</v>
      </c>
      <c r="C19" s="53">
        <f>'Расчет субсидий'!D21-1</f>
        <v>-0.12199852393457267</v>
      </c>
      <c r="D19" s="53">
        <f>C19*'Расчет субсидий'!E21</f>
        <v>-2.4399704786914533</v>
      </c>
      <c r="E19" s="54">
        <f t="shared" si="2"/>
        <v>0</v>
      </c>
      <c r="F19" s="53">
        <f>'Расчет субсидий'!F21-1</f>
        <v>0</v>
      </c>
      <c r="G19" s="53">
        <f>F19*'Расчет субсидий'!G21</f>
        <v>0</v>
      </c>
      <c r="H19" s="54">
        <f t="shared" si="5"/>
        <v>0</v>
      </c>
      <c r="I19" s="53">
        <f>'Расчет субсидий'!J21-1</f>
        <v>6.3078514988084589E-2</v>
      </c>
      <c r="J19" s="53">
        <f>I19*'Расчет субсидий'!K21</f>
        <v>0.94617772482126883</v>
      </c>
      <c r="K19" s="54">
        <f t="shared" si="3"/>
        <v>0</v>
      </c>
      <c r="L19" s="53" t="s">
        <v>394</v>
      </c>
      <c r="M19" s="53" t="s">
        <v>394</v>
      </c>
      <c r="N19" s="55" t="s">
        <v>394</v>
      </c>
      <c r="O19" s="5" t="s">
        <v>388</v>
      </c>
      <c r="P19" s="5" t="s">
        <v>388</v>
      </c>
      <c r="Q19" s="5" t="s">
        <v>388</v>
      </c>
      <c r="R19" s="5" t="s">
        <v>388</v>
      </c>
      <c r="S19" s="5" t="s">
        <v>388</v>
      </c>
      <c r="T19" s="5" t="s">
        <v>388</v>
      </c>
      <c r="U19" s="53">
        <f>'Расчет субсидий'!Z21-1</f>
        <v>0.12110703114375099</v>
      </c>
      <c r="V19" s="53">
        <f>U19*'Расчет субсидий'!AA21</f>
        <v>1.8166054671562648</v>
      </c>
      <c r="W19" s="54">
        <f t="shared" si="6"/>
        <v>0</v>
      </c>
      <c r="X19" s="56">
        <f t="shared" si="4"/>
        <v>0.3228127132860803</v>
      </c>
    </row>
    <row r="20" spans="1:24" ht="15" customHeight="1">
      <c r="A20" s="57" t="s">
        <v>368</v>
      </c>
      <c r="B20" s="52">
        <f>'Расчет субсидий'!AF22</f>
        <v>0</v>
      </c>
      <c r="C20" s="53">
        <f>'Расчет субсидий'!D22-1</f>
        <v>8.0008171047255994E-2</v>
      </c>
      <c r="D20" s="53">
        <f>C20*'Расчет субсидий'!E22</f>
        <v>1.6001634209451199</v>
      </c>
      <c r="E20" s="54">
        <f t="shared" si="2"/>
        <v>0</v>
      </c>
      <c r="F20" s="53">
        <f>'Расчет субсидий'!F22-1</f>
        <v>0</v>
      </c>
      <c r="G20" s="53">
        <f>F20*'Расчет субсидий'!G22</f>
        <v>0</v>
      </c>
      <c r="H20" s="54">
        <f t="shared" si="5"/>
        <v>0</v>
      </c>
      <c r="I20" s="53">
        <f>'Расчет субсидий'!J22-1</f>
        <v>6.3078514988084589E-2</v>
      </c>
      <c r="J20" s="53">
        <f>I20*'Расчет субсидий'!K22</f>
        <v>0.94617772482126883</v>
      </c>
      <c r="K20" s="54">
        <f t="shared" si="3"/>
        <v>0</v>
      </c>
      <c r="L20" s="53" t="s">
        <v>394</v>
      </c>
      <c r="M20" s="53" t="s">
        <v>394</v>
      </c>
      <c r="N20" s="55" t="s">
        <v>394</v>
      </c>
      <c r="O20" s="5" t="s">
        <v>388</v>
      </c>
      <c r="P20" s="5" t="s">
        <v>388</v>
      </c>
      <c r="Q20" s="5" t="s">
        <v>388</v>
      </c>
      <c r="R20" s="5" t="s">
        <v>388</v>
      </c>
      <c r="S20" s="5" t="s">
        <v>388</v>
      </c>
      <c r="T20" s="5" t="s">
        <v>388</v>
      </c>
      <c r="U20" s="53">
        <f>'Расчет субсидий'!Z22-1</f>
        <v>0.12110703114375099</v>
      </c>
      <c r="V20" s="53">
        <f>U20*'Расчет субсидий'!AA22</f>
        <v>1.8166054671562648</v>
      </c>
      <c r="W20" s="54">
        <f t="shared" si="6"/>
        <v>0</v>
      </c>
      <c r="X20" s="56">
        <f t="shared" si="4"/>
        <v>4.362946612922654</v>
      </c>
    </row>
    <row r="21" spans="1:24" ht="15" customHeight="1">
      <c r="A21" s="57" t="s">
        <v>369</v>
      </c>
      <c r="B21" s="52">
        <f>'Расчет субсидий'!AF23</f>
        <v>0</v>
      </c>
      <c r="C21" s="53">
        <f>'Расчет субсидий'!D23-1</f>
        <v>-9.6424650793049849E-2</v>
      </c>
      <c r="D21" s="53">
        <f>C21*'Расчет субсидий'!E23</f>
        <v>-1.928493015860997</v>
      </c>
      <c r="E21" s="54">
        <f t="shared" si="2"/>
        <v>0</v>
      </c>
      <c r="F21" s="53">
        <f>'Расчет субсидий'!F23-1</f>
        <v>0</v>
      </c>
      <c r="G21" s="53">
        <f>F21*'Расчет субсидий'!G23</f>
        <v>0</v>
      </c>
      <c r="H21" s="54">
        <f t="shared" si="5"/>
        <v>0</v>
      </c>
      <c r="I21" s="53">
        <f>'Расчет субсидий'!J23-1</f>
        <v>6.3078514988084589E-2</v>
      </c>
      <c r="J21" s="53">
        <f>I21*'Расчет субсидий'!K23</f>
        <v>0.94617772482126883</v>
      </c>
      <c r="K21" s="54">
        <f t="shared" si="3"/>
        <v>0</v>
      </c>
      <c r="L21" s="53" t="s">
        <v>394</v>
      </c>
      <c r="M21" s="53" t="s">
        <v>394</v>
      </c>
      <c r="N21" s="55" t="s">
        <v>394</v>
      </c>
      <c r="O21" s="5" t="s">
        <v>388</v>
      </c>
      <c r="P21" s="5" t="s">
        <v>388</v>
      </c>
      <c r="Q21" s="5" t="s">
        <v>388</v>
      </c>
      <c r="R21" s="5" t="s">
        <v>388</v>
      </c>
      <c r="S21" s="5" t="s">
        <v>388</v>
      </c>
      <c r="T21" s="5" t="s">
        <v>388</v>
      </c>
      <c r="U21" s="53">
        <f>'Расчет субсидий'!Z23-1</f>
        <v>0.12110703114375099</v>
      </c>
      <c r="V21" s="53">
        <f>U21*'Расчет субсидий'!AA23</f>
        <v>1.8166054671562648</v>
      </c>
      <c r="W21" s="54">
        <f t="shared" si="6"/>
        <v>0</v>
      </c>
      <c r="X21" s="56">
        <f t="shared" si="4"/>
        <v>0.83429017611653666</v>
      </c>
    </row>
    <row r="22" spans="1:24" ht="15" customHeight="1">
      <c r="A22" s="57" t="s">
        <v>370</v>
      </c>
      <c r="B22" s="52">
        <f>'Расчет субсидий'!AF24</f>
        <v>0</v>
      </c>
      <c r="C22" s="53">
        <f>'Расчет субсидий'!D24-1</f>
        <v>0.23049534437602381</v>
      </c>
      <c r="D22" s="53">
        <f>C22*'Расчет субсидий'!E24</f>
        <v>4.6099068875204763</v>
      </c>
      <c r="E22" s="54">
        <f t="shared" si="2"/>
        <v>0</v>
      </c>
      <c r="F22" s="53">
        <f>'Расчет субсидий'!F24-1</f>
        <v>0</v>
      </c>
      <c r="G22" s="53">
        <f>F22*'Расчет субсидий'!G24</f>
        <v>0</v>
      </c>
      <c r="H22" s="54">
        <f t="shared" si="5"/>
        <v>0</v>
      </c>
      <c r="I22" s="53">
        <f>'Расчет субсидий'!J24-1</f>
        <v>6.3078514988084589E-2</v>
      </c>
      <c r="J22" s="53">
        <f>I22*'Расчет субсидий'!K24</f>
        <v>0.94617772482126883</v>
      </c>
      <c r="K22" s="54">
        <f t="shared" si="3"/>
        <v>0</v>
      </c>
      <c r="L22" s="53" t="s">
        <v>394</v>
      </c>
      <c r="M22" s="53" t="s">
        <v>394</v>
      </c>
      <c r="N22" s="55" t="s">
        <v>394</v>
      </c>
      <c r="O22" s="5" t="s">
        <v>388</v>
      </c>
      <c r="P22" s="5" t="s">
        <v>388</v>
      </c>
      <c r="Q22" s="5" t="s">
        <v>388</v>
      </c>
      <c r="R22" s="5" t="s">
        <v>388</v>
      </c>
      <c r="S22" s="5" t="s">
        <v>388</v>
      </c>
      <c r="T22" s="5" t="s">
        <v>388</v>
      </c>
      <c r="U22" s="53">
        <f>'Расчет субсидий'!Z24-1</f>
        <v>0.12110703114375099</v>
      </c>
      <c r="V22" s="53">
        <f>U22*'Расчет субсидий'!AA24</f>
        <v>1.8166054671562648</v>
      </c>
      <c r="W22" s="54">
        <f t="shared" si="6"/>
        <v>0</v>
      </c>
      <c r="X22" s="56">
        <f t="shared" si="4"/>
        <v>7.3726900794980104</v>
      </c>
    </row>
    <row r="23" spans="1:24" ht="15" customHeight="1">
      <c r="A23" s="57" t="s">
        <v>371</v>
      </c>
      <c r="B23" s="52">
        <f>'Расчет субсидий'!AF25</f>
        <v>0</v>
      </c>
      <c r="C23" s="53">
        <f>'Расчет субсидий'!D25-1</f>
        <v>-0.14549697968149367</v>
      </c>
      <c r="D23" s="53">
        <f>C23*'Расчет субсидий'!E25</f>
        <v>-2.9099395936298733</v>
      </c>
      <c r="E23" s="54">
        <f t="shared" si="2"/>
        <v>0</v>
      </c>
      <c r="F23" s="53">
        <f>'Расчет субсидий'!F25-1</f>
        <v>0</v>
      </c>
      <c r="G23" s="53">
        <f>F23*'Расчет субсидий'!G25</f>
        <v>0</v>
      </c>
      <c r="H23" s="54">
        <f t="shared" si="5"/>
        <v>0</v>
      </c>
      <c r="I23" s="53">
        <f>'Расчет субсидий'!J25-1</f>
        <v>6.3078514988084589E-2</v>
      </c>
      <c r="J23" s="53">
        <f>I23*'Расчет субсидий'!K25</f>
        <v>0.94617772482126883</v>
      </c>
      <c r="K23" s="54">
        <f t="shared" si="3"/>
        <v>0</v>
      </c>
      <c r="L23" s="53" t="s">
        <v>394</v>
      </c>
      <c r="M23" s="53" t="s">
        <v>394</v>
      </c>
      <c r="N23" s="55" t="s">
        <v>394</v>
      </c>
      <c r="O23" s="5" t="s">
        <v>388</v>
      </c>
      <c r="P23" s="5" t="s">
        <v>388</v>
      </c>
      <c r="Q23" s="5" t="s">
        <v>388</v>
      </c>
      <c r="R23" s="5" t="s">
        <v>388</v>
      </c>
      <c r="S23" s="5" t="s">
        <v>388</v>
      </c>
      <c r="T23" s="5" t="s">
        <v>388</v>
      </c>
      <c r="U23" s="53">
        <f>'Расчет субсидий'!Z25-1</f>
        <v>0.12110703114375099</v>
      </c>
      <c r="V23" s="53">
        <f>U23*'Расчет субсидий'!AA25</f>
        <v>1.8166054671562648</v>
      </c>
      <c r="W23" s="54">
        <f t="shared" si="6"/>
        <v>0</v>
      </c>
      <c r="X23" s="56">
        <f t="shared" si="4"/>
        <v>-0.14715640165233967</v>
      </c>
    </row>
    <row r="24" spans="1:24" ht="15" customHeight="1">
      <c r="A24" s="57" t="s">
        <v>372</v>
      </c>
      <c r="B24" s="52">
        <f>'Расчет субсидий'!AF26</f>
        <v>0</v>
      </c>
      <c r="C24" s="53">
        <f>'Расчет субсидий'!D26-1</f>
        <v>0.27289062285353172</v>
      </c>
      <c r="D24" s="53">
        <f>C24*'Расчет субсидий'!E26</f>
        <v>5.4578124570706343</v>
      </c>
      <c r="E24" s="54">
        <f t="shared" si="2"/>
        <v>0</v>
      </c>
      <c r="F24" s="53">
        <f>'Расчет субсидий'!F26-1</f>
        <v>0</v>
      </c>
      <c r="G24" s="53">
        <f>F24*'Расчет субсидий'!G26</f>
        <v>0</v>
      </c>
      <c r="H24" s="54">
        <f t="shared" si="5"/>
        <v>0</v>
      </c>
      <c r="I24" s="53">
        <f>'Расчет субсидий'!J26-1</f>
        <v>6.3078514988084589E-2</v>
      </c>
      <c r="J24" s="53">
        <f>I24*'Расчет субсидий'!K26</f>
        <v>0.94617772482126883</v>
      </c>
      <c r="K24" s="54">
        <f t="shared" si="3"/>
        <v>0</v>
      </c>
      <c r="L24" s="53" t="s">
        <v>394</v>
      </c>
      <c r="M24" s="53" t="s">
        <v>394</v>
      </c>
      <c r="N24" s="55" t="s">
        <v>394</v>
      </c>
      <c r="O24" s="5" t="s">
        <v>388</v>
      </c>
      <c r="P24" s="5" t="s">
        <v>388</v>
      </c>
      <c r="Q24" s="5" t="s">
        <v>388</v>
      </c>
      <c r="R24" s="5" t="s">
        <v>388</v>
      </c>
      <c r="S24" s="5" t="s">
        <v>388</v>
      </c>
      <c r="T24" s="5" t="s">
        <v>388</v>
      </c>
      <c r="U24" s="53">
        <f>'Расчет субсидий'!Z26-1</f>
        <v>0.12110703114375099</v>
      </c>
      <c r="V24" s="53">
        <f>U24*'Расчет субсидий'!AA26</f>
        <v>1.8166054671562648</v>
      </c>
      <c r="W24" s="54">
        <f t="shared" si="6"/>
        <v>0</v>
      </c>
      <c r="X24" s="56">
        <f t="shared" si="4"/>
        <v>8.2205956490481675</v>
      </c>
    </row>
    <row r="25" spans="1:24" ht="15" customHeight="1">
      <c r="A25" s="57" t="s">
        <v>374</v>
      </c>
      <c r="B25" s="52">
        <f>'Расчет субсидий'!AF27</f>
        <v>0</v>
      </c>
      <c r="C25" s="53">
        <f>'Расчет субсидий'!D27-1</f>
        <v>0.27341607939720536</v>
      </c>
      <c r="D25" s="53">
        <f>C25*'Расчет субсидий'!E27</f>
        <v>5.4683215879441072</v>
      </c>
      <c r="E25" s="54">
        <f t="shared" si="2"/>
        <v>0</v>
      </c>
      <c r="F25" s="53">
        <f>'Расчет субсидий'!F27-1</f>
        <v>0</v>
      </c>
      <c r="G25" s="53">
        <f>F25*'Расчет субсидий'!G27</f>
        <v>0</v>
      </c>
      <c r="H25" s="54">
        <f t="shared" si="5"/>
        <v>0</v>
      </c>
      <c r="I25" s="53">
        <f>'Расчет субсидий'!J27-1</f>
        <v>6.3078514988084589E-2</v>
      </c>
      <c r="J25" s="53">
        <f>I25*'Расчет субсидий'!K27</f>
        <v>0.94617772482126883</v>
      </c>
      <c r="K25" s="54">
        <f t="shared" si="3"/>
        <v>0</v>
      </c>
      <c r="L25" s="53" t="s">
        <v>394</v>
      </c>
      <c r="M25" s="53" t="s">
        <v>394</v>
      </c>
      <c r="N25" s="55" t="s">
        <v>394</v>
      </c>
      <c r="O25" s="5" t="s">
        <v>388</v>
      </c>
      <c r="P25" s="5" t="s">
        <v>388</v>
      </c>
      <c r="Q25" s="5" t="s">
        <v>388</v>
      </c>
      <c r="R25" s="5" t="s">
        <v>388</v>
      </c>
      <c r="S25" s="5" t="s">
        <v>388</v>
      </c>
      <c r="T25" s="5" t="s">
        <v>388</v>
      </c>
      <c r="U25" s="53">
        <f>'Расчет субсидий'!Z27-1</f>
        <v>0.12110703114375099</v>
      </c>
      <c r="V25" s="53">
        <f>U25*'Расчет субсидий'!AA27</f>
        <v>1.8166054671562648</v>
      </c>
      <c r="W25" s="54">
        <f t="shared" si="6"/>
        <v>0</v>
      </c>
      <c r="X25" s="56">
        <f t="shared" si="4"/>
        <v>8.2311047799216404</v>
      </c>
    </row>
    <row r="26" spans="1:24" ht="15" customHeight="1">
      <c r="A26" s="57" t="s">
        <v>373</v>
      </c>
      <c r="B26" s="52">
        <f>'Расчет субсидий'!AF28</f>
        <v>21.145454545454584</v>
      </c>
      <c r="C26" s="53">
        <f>'Расчет субсидий'!D28-1</f>
        <v>7.6787565717641115E-2</v>
      </c>
      <c r="D26" s="53">
        <f>C26*'Расчет субсидий'!E28</f>
        <v>1.5357513143528223</v>
      </c>
      <c r="E26" s="54">
        <f t="shared" si="2"/>
        <v>7.5547048797551284</v>
      </c>
      <c r="F26" s="53">
        <f>'Расчет субсидий'!F28-1</f>
        <v>0</v>
      </c>
      <c r="G26" s="53">
        <f>F26*'Расчет субсидий'!G28</f>
        <v>0</v>
      </c>
      <c r="H26" s="54">
        <f t="shared" si="5"/>
        <v>0</v>
      </c>
      <c r="I26" s="53">
        <f>'Расчет субсидий'!J28-1</f>
        <v>6.3078514988084589E-2</v>
      </c>
      <c r="J26" s="53">
        <f>I26*'Расчет субсидий'!K28</f>
        <v>0.94617772482126883</v>
      </c>
      <c r="K26" s="54">
        <f t="shared" si="3"/>
        <v>4.6544602684159884</v>
      </c>
      <c r="L26" s="53" t="s">
        <v>394</v>
      </c>
      <c r="M26" s="53" t="s">
        <v>394</v>
      </c>
      <c r="N26" s="55" t="s">
        <v>394</v>
      </c>
      <c r="O26" s="5" t="s">
        <v>388</v>
      </c>
      <c r="P26" s="5" t="s">
        <v>388</v>
      </c>
      <c r="Q26" s="5" t="s">
        <v>388</v>
      </c>
      <c r="R26" s="5" t="s">
        <v>388</v>
      </c>
      <c r="S26" s="5" t="s">
        <v>388</v>
      </c>
      <c r="T26" s="5" t="s">
        <v>388</v>
      </c>
      <c r="U26" s="53">
        <f>'Расчет субсидий'!Z28-1</f>
        <v>0.12110703114375099</v>
      </c>
      <c r="V26" s="53">
        <f>U26*'Расчет субсидий'!AA28</f>
        <v>1.8166054671562648</v>
      </c>
      <c r="W26" s="54">
        <f t="shared" si="6"/>
        <v>8.9362893972834687</v>
      </c>
      <c r="X26" s="56">
        <f t="shared" si="4"/>
        <v>4.2985345063303555</v>
      </c>
    </row>
    <row r="27" spans="1:24" ht="15" customHeight="1">
      <c r="A27" s="58" t="s">
        <v>16</v>
      </c>
      <c r="B27" s="50">
        <f>'[1]Расчет субсидий'!AF27</f>
        <v>-1660.209090909093</v>
      </c>
      <c r="C27" s="50"/>
      <c r="D27" s="50"/>
      <c r="E27" s="50">
        <f>SUM(E28:E54)</f>
        <v>3246.5915060517973</v>
      </c>
      <c r="F27" s="50"/>
      <c r="G27" s="50"/>
      <c r="H27" s="50">
        <f>SUM(H28:H54)</f>
        <v>0</v>
      </c>
      <c r="I27" s="50"/>
      <c r="J27" s="50"/>
      <c r="K27" s="50">
        <f>SUM(K28:K54)</f>
        <v>-1941.7018569836396</v>
      </c>
      <c r="L27" s="50"/>
      <c r="M27" s="50"/>
      <c r="N27" s="50">
        <f>SUM(N28:N54)</f>
        <v>0</v>
      </c>
      <c r="O27" s="50"/>
      <c r="P27" s="50"/>
      <c r="Q27" s="50">
        <f>SUM(Q28:Q54)</f>
        <v>0</v>
      </c>
      <c r="R27" s="50"/>
      <c r="S27" s="50"/>
      <c r="T27" s="50">
        <f>SUM(T28:T54)</f>
        <v>0</v>
      </c>
      <c r="U27" s="50"/>
      <c r="V27" s="50"/>
      <c r="W27" s="50">
        <f>SUM(W28:W54)</f>
        <v>-617.12601270452137</v>
      </c>
      <c r="X27" s="50"/>
    </row>
    <row r="28" spans="1:24" ht="15" customHeight="1">
      <c r="A28" s="57" t="s">
        <v>0</v>
      </c>
      <c r="B28" s="52">
        <f>'Расчет субсидий'!AF30</f>
        <v>154.72727272727207</v>
      </c>
      <c r="C28" s="53">
        <f>'Расчет субсидий'!D30-1</f>
        <v>0.20125449824625341</v>
      </c>
      <c r="D28" s="53">
        <f>C28*'Расчет субсидий'!E30</f>
        <v>3.0188174736938009</v>
      </c>
      <c r="E28" s="54">
        <f t="shared" si="2"/>
        <v>536.07715748648206</v>
      </c>
      <c r="F28" s="53">
        <f>'Расчет субсидий'!F30-1</f>
        <v>0</v>
      </c>
      <c r="G28" s="53">
        <f>F28*'Расчет субсидий'!G30</f>
        <v>0</v>
      </c>
      <c r="H28" s="54">
        <f t="shared" ref="H28:H54" si="7">$B28*G28/$X28</f>
        <v>0</v>
      </c>
      <c r="I28" s="53">
        <f>'Расчет субсидий'!J30-1</f>
        <v>-6.4750000000000085E-2</v>
      </c>
      <c r="J28" s="53">
        <f>I28*'Расчет субсидий'!K30</f>
        <v>-0.64750000000000085</v>
      </c>
      <c r="K28" s="54">
        <f t="shared" si="3"/>
        <v>-114.98209563752678</v>
      </c>
      <c r="L28" s="53" t="s">
        <v>394</v>
      </c>
      <c r="M28" s="53" t="s">
        <v>394</v>
      </c>
      <c r="N28" s="55" t="s">
        <v>394</v>
      </c>
      <c r="O28" s="53" t="s">
        <v>394</v>
      </c>
      <c r="P28" s="53" t="s">
        <v>394</v>
      </c>
      <c r="Q28" s="55" t="s">
        <v>394</v>
      </c>
      <c r="R28" s="53" t="s">
        <v>394</v>
      </c>
      <c r="S28" s="53" t="s">
        <v>394</v>
      </c>
      <c r="T28" s="55" t="s">
        <v>394</v>
      </c>
      <c r="U28" s="53">
        <f>'Расчет субсидий'!Z30-1</f>
        <v>-9.9999999999999978E-2</v>
      </c>
      <c r="V28" s="53">
        <f>U28*'Расчет субсидий'!AA30</f>
        <v>-1.4999999999999996</v>
      </c>
      <c r="W28" s="54">
        <f t="shared" ref="W28:W54" si="8">$B28*V28/$X28</f>
        <v>-266.36778912168324</v>
      </c>
      <c r="X28" s="56">
        <f t="shared" si="4"/>
        <v>0.87131747369380053</v>
      </c>
    </row>
    <row r="29" spans="1:24" ht="15" customHeight="1">
      <c r="A29" s="57" t="s">
        <v>17</v>
      </c>
      <c r="B29" s="52">
        <f>'Расчет субсидий'!AF31</f>
        <v>1121.9727272727287</v>
      </c>
      <c r="C29" s="53">
        <f>'Расчет субсидий'!D31-1</f>
        <v>2.9986465684162189E-2</v>
      </c>
      <c r="D29" s="53">
        <f>C29*'Расчет субсидий'!E31</f>
        <v>0.44979698526243284</v>
      </c>
      <c r="E29" s="54">
        <f t="shared" si="2"/>
        <v>94.289250303042081</v>
      </c>
      <c r="F29" s="53">
        <f>'Расчет субсидий'!F31-1</f>
        <v>0</v>
      </c>
      <c r="G29" s="53">
        <f>F29*'Расчет субсидий'!G31</f>
        <v>0</v>
      </c>
      <c r="H29" s="54">
        <f t="shared" si="7"/>
        <v>0</v>
      </c>
      <c r="I29" s="53">
        <f>'Расчет субсидий'!J31-1</f>
        <v>4.0245630609352823E-2</v>
      </c>
      <c r="J29" s="53">
        <f>I29*'Расчет субсидий'!K31</f>
        <v>0.40245630609352823</v>
      </c>
      <c r="K29" s="54">
        <f t="shared" si="3"/>
        <v>84.365401780428016</v>
      </c>
      <c r="L29" s="53" t="s">
        <v>394</v>
      </c>
      <c r="M29" s="53" t="s">
        <v>394</v>
      </c>
      <c r="N29" s="55" t="s">
        <v>394</v>
      </c>
      <c r="O29" s="53" t="s">
        <v>394</v>
      </c>
      <c r="P29" s="53" t="s">
        <v>394</v>
      </c>
      <c r="Q29" s="55" t="s">
        <v>394</v>
      </c>
      <c r="R29" s="53" t="s">
        <v>394</v>
      </c>
      <c r="S29" s="53" t="s">
        <v>394</v>
      </c>
      <c r="T29" s="55" t="s">
        <v>394</v>
      </c>
      <c r="U29" s="53">
        <f>'Расчет субсидий'!Z31-1</f>
        <v>0.30000000000000004</v>
      </c>
      <c r="V29" s="53">
        <f>U29*'Расчет субсидий'!AA31</f>
        <v>4.5000000000000009</v>
      </c>
      <c r="W29" s="54">
        <f t="shared" si="8"/>
        <v>943.31807518925859</v>
      </c>
      <c r="X29" s="56">
        <f t="shared" si="4"/>
        <v>5.3522532913559617</v>
      </c>
    </row>
    <row r="30" spans="1:24" ht="15" customHeight="1">
      <c r="A30" s="57" t="s">
        <v>18</v>
      </c>
      <c r="B30" s="52">
        <f>'Расчет субсидий'!AF32</f>
        <v>496.30909090908972</v>
      </c>
      <c r="C30" s="53">
        <f>'Расчет субсидий'!D32-1</f>
        <v>-8.3125106185485853E-2</v>
      </c>
      <c r="D30" s="53">
        <f>C30*'Расчет субсидий'!E32</f>
        <v>-1.2468765927822878</v>
      </c>
      <c r="E30" s="54">
        <f t="shared" si="2"/>
        <v>-222.00873261710143</v>
      </c>
      <c r="F30" s="53">
        <f>'Расчет субсидий'!F32-1</f>
        <v>0</v>
      </c>
      <c r="G30" s="53">
        <f>F30*'Расчет субсидий'!G32</f>
        <v>0</v>
      </c>
      <c r="H30" s="54">
        <f t="shared" si="7"/>
        <v>0</v>
      </c>
      <c r="I30" s="53">
        <f>'Расчет субсидий'!J32-1</f>
        <v>-4.6568265682656707E-2</v>
      </c>
      <c r="J30" s="53">
        <f>I30*'Расчет субсидий'!K32</f>
        <v>-0.46568265682656707</v>
      </c>
      <c r="K30" s="54">
        <f t="shared" si="3"/>
        <v>-82.915676693501368</v>
      </c>
      <c r="L30" s="53" t="s">
        <v>394</v>
      </c>
      <c r="M30" s="53" t="s">
        <v>394</v>
      </c>
      <c r="N30" s="55" t="s">
        <v>394</v>
      </c>
      <c r="O30" s="53" t="s">
        <v>394</v>
      </c>
      <c r="P30" s="53" t="s">
        <v>394</v>
      </c>
      <c r="Q30" s="55" t="s">
        <v>394</v>
      </c>
      <c r="R30" s="53" t="s">
        <v>394</v>
      </c>
      <c r="S30" s="53" t="s">
        <v>394</v>
      </c>
      <c r="T30" s="55" t="s">
        <v>394</v>
      </c>
      <c r="U30" s="53">
        <f>'Расчет субсидий'!Z32-1</f>
        <v>0.30000000000000004</v>
      </c>
      <c r="V30" s="53">
        <f>U30*'Расчет субсидий'!AA32</f>
        <v>4.5000000000000009</v>
      </c>
      <c r="W30" s="54">
        <f t="shared" si="8"/>
        <v>801.23350021969259</v>
      </c>
      <c r="X30" s="56">
        <f t="shared" si="4"/>
        <v>2.7874407503911458</v>
      </c>
    </row>
    <row r="31" spans="1:24" ht="15" customHeight="1">
      <c r="A31" s="57" t="s">
        <v>19</v>
      </c>
      <c r="B31" s="52">
        <f>'Расчет субсидий'!AF33</f>
        <v>198.68181818181802</v>
      </c>
      <c r="C31" s="53">
        <f>'Расчет субсидий'!D33-1</f>
        <v>0.20008512825454949</v>
      </c>
      <c r="D31" s="53">
        <f>C31*'Расчет субсидий'!E33</f>
        <v>3.0012769238182422</v>
      </c>
      <c r="E31" s="54">
        <f t="shared" si="2"/>
        <v>488.86357444359828</v>
      </c>
      <c r="F31" s="53">
        <f>'Расчет субсидий'!F33-1</f>
        <v>0</v>
      </c>
      <c r="G31" s="53">
        <f>F31*'Расчет субсидий'!G33</f>
        <v>0</v>
      </c>
      <c r="H31" s="54">
        <f t="shared" si="7"/>
        <v>0</v>
      </c>
      <c r="I31" s="53">
        <f>'Расчет субсидий'!J33-1</f>
        <v>-7.9936808846761465E-2</v>
      </c>
      <c r="J31" s="53">
        <f>I31*'Расчет субсидий'!K33</f>
        <v>-0.79936808846761465</v>
      </c>
      <c r="K31" s="54">
        <f t="shared" si="3"/>
        <v>-130.20522628990514</v>
      </c>
      <c r="L31" s="53" t="s">
        <v>394</v>
      </c>
      <c r="M31" s="53" t="s">
        <v>394</v>
      </c>
      <c r="N31" s="55" t="s">
        <v>394</v>
      </c>
      <c r="O31" s="53" t="s">
        <v>394</v>
      </c>
      <c r="P31" s="53" t="s">
        <v>394</v>
      </c>
      <c r="Q31" s="55" t="s">
        <v>394</v>
      </c>
      <c r="R31" s="53" t="s">
        <v>394</v>
      </c>
      <c r="S31" s="53" t="s">
        <v>394</v>
      </c>
      <c r="T31" s="55" t="s">
        <v>394</v>
      </c>
      <c r="U31" s="53">
        <f>'Расчет субсидий'!Z33-1</f>
        <v>-6.5476190476190577E-2</v>
      </c>
      <c r="V31" s="53">
        <f>U31*'Расчет субсидий'!AA33</f>
        <v>-0.98214285714285865</v>
      </c>
      <c r="W31" s="54">
        <f t="shared" si="8"/>
        <v>-159.97652997187512</v>
      </c>
      <c r="X31" s="56">
        <f t="shared" si="4"/>
        <v>1.2197659782077688</v>
      </c>
    </row>
    <row r="32" spans="1:24" ht="15" customHeight="1">
      <c r="A32" s="57" t="s">
        <v>20</v>
      </c>
      <c r="B32" s="52">
        <f>'Расчет субсидий'!AF34</f>
        <v>22.772727272727934</v>
      </c>
      <c r="C32" s="53">
        <f>'Расчет субсидий'!D34-1</f>
        <v>0.1324057725165253</v>
      </c>
      <c r="D32" s="53">
        <f>C32*'Расчет субсидий'!E34</f>
        <v>1.9860865877478795</v>
      </c>
      <c r="E32" s="54">
        <f t="shared" si="2"/>
        <v>454.56745403064247</v>
      </c>
      <c r="F32" s="53">
        <f>'Расчет субсидий'!F34-1</f>
        <v>0</v>
      </c>
      <c r="G32" s="53">
        <f>F32*'Расчет субсидий'!G34</f>
        <v>0</v>
      </c>
      <c r="H32" s="54">
        <f t="shared" si="7"/>
        <v>0</v>
      </c>
      <c r="I32" s="53">
        <f>'Расчет субсидий'!J34-1</f>
        <v>-5.2295210166177997E-2</v>
      </c>
      <c r="J32" s="53">
        <f>I32*'Расчет субсидий'!K34</f>
        <v>-0.52295210166177997</v>
      </c>
      <c r="K32" s="54">
        <f t="shared" si="3"/>
        <v>-119.69115893478136</v>
      </c>
      <c r="L32" s="53" t="s">
        <v>394</v>
      </c>
      <c r="M32" s="53" t="s">
        <v>394</v>
      </c>
      <c r="N32" s="55" t="s">
        <v>394</v>
      </c>
      <c r="O32" s="53" t="s">
        <v>394</v>
      </c>
      <c r="P32" s="53" t="s">
        <v>394</v>
      </c>
      <c r="Q32" s="55" t="s">
        <v>394</v>
      </c>
      <c r="R32" s="53" t="s">
        <v>394</v>
      </c>
      <c r="S32" s="53" t="s">
        <v>394</v>
      </c>
      <c r="T32" s="55" t="s">
        <v>394</v>
      </c>
      <c r="U32" s="53">
        <f>'Расчет субсидий'!Z34-1</f>
        <v>-9.0909090909090939E-2</v>
      </c>
      <c r="V32" s="53">
        <f>U32*'Расчет субсидий'!AA34</f>
        <v>-1.3636363636363642</v>
      </c>
      <c r="W32" s="54">
        <f t="shared" si="8"/>
        <v>-312.10356782313318</v>
      </c>
      <c r="X32" s="56">
        <f t="shared" si="4"/>
        <v>9.9498122449735327E-2</v>
      </c>
    </row>
    <row r="33" spans="1:24" ht="15" customHeight="1">
      <c r="A33" s="57" t="s">
        <v>21</v>
      </c>
      <c r="B33" s="52">
        <f>'Расчет субсидий'!AF35</f>
        <v>1809.7999999999993</v>
      </c>
      <c r="C33" s="53">
        <f>'Расчет субсидий'!D35-1</f>
        <v>0.20643387384398459</v>
      </c>
      <c r="D33" s="53">
        <f>C33*'Расчет субсидий'!E35</f>
        <v>3.0965081076597691</v>
      </c>
      <c r="E33" s="54">
        <f t="shared" si="2"/>
        <v>737.23555189287879</v>
      </c>
      <c r="F33" s="53">
        <f>'Расчет субсидий'!F35-1</f>
        <v>0</v>
      </c>
      <c r="G33" s="53">
        <f>F33*'Расчет субсидий'!G35</f>
        <v>0</v>
      </c>
      <c r="H33" s="54">
        <f t="shared" si="7"/>
        <v>0</v>
      </c>
      <c r="I33" s="53">
        <f>'Расчет субсидий'!J35-1</f>
        <v>4.9435028248590029E-4</v>
      </c>
      <c r="J33" s="53">
        <f>I33*'Расчет субсидий'!K35</f>
        <v>4.9435028248590029E-3</v>
      </c>
      <c r="K33" s="54">
        <f t="shared" si="3"/>
        <v>1.1769793285389896</v>
      </c>
      <c r="L33" s="53" t="s">
        <v>394</v>
      </c>
      <c r="M33" s="53" t="s">
        <v>394</v>
      </c>
      <c r="N33" s="55" t="s">
        <v>394</v>
      </c>
      <c r="O33" s="53" t="s">
        <v>394</v>
      </c>
      <c r="P33" s="53" t="s">
        <v>394</v>
      </c>
      <c r="Q33" s="55" t="s">
        <v>394</v>
      </c>
      <c r="R33" s="53" t="s">
        <v>394</v>
      </c>
      <c r="S33" s="53" t="s">
        <v>394</v>
      </c>
      <c r="T33" s="55" t="s">
        <v>394</v>
      </c>
      <c r="U33" s="53">
        <f>'Расчет субсидий'!Z35-1</f>
        <v>0.30000000000000004</v>
      </c>
      <c r="V33" s="53">
        <f>U33*'Расчет субсидий'!AA35</f>
        <v>4.5000000000000009</v>
      </c>
      <c r="W33" s="54">
        <f t="shared" si="8"/>
        <v>1071.3874687785815</v>
      </c>
      <c r="X33" s="56">
        <f t="shared" si="4"/>
        <v>7.601451610484629</v>
      </c>
    </row>
    <row r="34" spans="1:24" ht="15" customHeight="1">
      <c r="A34" s="57" t="s">
        <v>22</v>
      </c>
      <c r="B34" s="52">
        <f>'Расчет субсидий'!AF36</f>
        <v>363.4636363636364</v>
      </c>
      <c r="C34" s="53">
        <f>'Расчет субсидий'!D36-1</f>
        <v>8.1807951345943986E-2</v>
      </c>
      <c r="D34" s="53">
        <f>C34*'Расчет субсидий'!E36</f>
        <v>1.2271192701891598</v>
      </c>
      <c r="E34" s="54">
        <f t="shared" si="2"/>
        <v>199.85412673277767</v>
      </c>
      <c r="F34" s="53">
        <f>'Расчет субсидий'!F36-1</f>
        <v>0</v>
      </c>
      <c r="G34" s="53">
        <f>F34*'Расчет субсидий'!G36</f>
        <v>0</v>
      </c>
      <c r="H34" s="54">
        <f t="shared" si="7"/>
        <v>0</v>
      </c>
      <c r="I34" s="53">
        <f>'Расчет субсидий'!J36-1</f>
        <v>6.0889115993868037E-2</v>
      </c>
      <c r="J34" s="53">
        <f>I34*'Расчет субсидий'!K36</f>
        <v>0.60889115993868037</v>
      </c>
      <c r="K34" s="54">
        <f t="shared" si="3"/>
        <v>99.16673464519441</v>
      </c>
      <c r="L34" s="53" t="s">
        <v>394</v>
      </c>
      <c r="M34" s="53" t="s">
        <v>394</v>
      </c>
      <c r="N34" s="55" t="s">
        <v>394</v>
      </c>
      <c r="O34" s="53" t="s">
        <v>394</v>
      </c>
      <c r="P34" s="53" t="s">
        <v>394</v>
      </c>
      <c r="Q34" s="55" t="s">
        <v>394</v>
      </c>
      <c r="R34" s="53" t="s">
        <v>394</v>
      </c>
      <c r="S34" s="53" t="s">
        <v>394</v>
      </c>
      <c r="T34" s="55" t="s">
        <v>394</v>
      </c>
      <c r="U34" s="53">
        <f>'Расчет субсидий'!Z36-1</f>
        <v>2.6378896882494063E-2</v>
      </c>
      <c r="V34" s="53">
        <f>U34*'Расчет субсидий'!AA36</f>
        <v>0.39568345323741094</v>
      </c>
      <c r="W34" s="54">
        <f t="shared" si="8"/>
        <v>64.442774985664315</v>
      </c>
      <c r="X34" s="56">
        <f t="shared" si="4"/>
        <v>2.2316938833652511</v>
      </c>
    </row>
    <row r="35" spans="1:24" ht="15" customHeight="1">
      <c r="A35" s="57" t="s">
        <v>23</v>
      </c>
      <c r="B35" s="52">
        <f>'Расчет субсидий'!AF37</f>
        <v>-512.79090909090883</v>
      </c>
      <c r="C35" s="53">
        <f>'Расчет субсидий'!D37-1</f>
        <v>9.300884686093891E-2</v>
      </c>
      <c r="D35" s="53">
        <f>C35*'Расчет субсидий'!E37</f>
        <v>1.3951327029140836</v>
      </c>
      <c r="E35" s="54">
        <f t="shared" si="2"/>
        <v>142.51228889768481</v>
      </c>
      <c r="F35" s="53">
        <f>'Расчет субсидий'!F37-1</f>
        <v>0</v>
      </c>
      <c r="G35" s="53">
        <f>F35*'Расчет субсидий'!G37</f>
        <v>0</v>
      </c>
      <c r="H35" s="54">
        <f t="shared" si="7"/>
        <v>0</v>
      </c>
      <c r="I35" s="53">
        <f>'Расчет субсидий'!J37-1</f>
        <v>-8.6513043478260832E-2</v>
      </c>
      <c r="J35" s="53">
        <f>I35*'Расчет субсидий'!K37</f>
        <v>-0.86513043478260832</v>
      </c>
      <c r="K35" s="54">
        <f t="shared" si="3"/>
        <v>-88.372753501077824</v>
      </c>
      <c r="L35" s="53" t="s">
        <v>394</v>
      </c>
      <c r="M35" s="53" t="s">
        <v>394</v>
      </c>
      <c r="N35" s="55" t="s">
        <v>394</v>
      </c>
      <c r="O35" s="53" t="s">
        <v>394</v>
      </c>
      <c r="P35" s="53" t="s">
        <v>394</v>
      </c>
      <c r="Q35" s="55" t="s">
        <v>394</v>
      </c>
      <c r="R35" s="53" t="s">
        <v>394</v>
      </c>
      <c r="S35" s="53" t="s">
        <v>394</v>
      </c>
      <c r="T35" s="55" t="s">
        <v>394</v>
      </c>
      <c r="U35" s="53">
        <f>'Расчет субсидий'!Z37-1</f>
        <v>-0.37</v>
      </c>
      <c r="V35" s="53">
        <f>U35*'Расчет субсидий'!AA37</f>
        <v>-5.55</v>
      </c>
      <c r="W35" s="54">
        <f t="shared" si="8"/>
        <v>-566.93044448751584</v>
      </c>
      <c r="X35" s="56">
        <f t="shared" si="4"/>
        <v>-5.0199977318685249</v>
      </c>
    </row>
    <row r="36" spans="1:24" ht="15" customHeight="1">
      <c r="A36" s="57" t="s">
        <v>24</v>
      </c>
      <c r="B36" s="52">
        <f>'Расчет субсидий'!AF38</f>
        <v>684.15454545454668</v>
      </c>
      <c r="C36" s="53">
        <f>'Расчет субсидий'!D38-1</f>
        <v>-6.2754667250315421E-2</v>
      </c>
      <c r="D36" s="53">
        <f>C36*'Расчет субсидий'!E38</f>
        <v>-0.94132000875473132</v>
      </c>
      <c r="E36" s="54">
        <f t="shared" si="2"/>
        <v>-228.91200976847563</v>
      </c>
      <c r="F36" s="53">
        <f>'Расчет субсидий'!F38-1</f>
        <v>0</v>
      </c>
      <c r="G36" s="53">
        <f>F36*'Расчет субсидий'!G38</f>
        <v>0</v>
      </c>
      <c r="H36" s="54">
        <f t="shared" si="7"/>
        <v>0</v>
      </c>
      <c r="I36" s="53">
        <f>'Расчет субсидий'!J38-1</f>
        <v>2.671645919778709E-2</v>
      </c>
      <c r="J36" s="53">
        <f>I36*'Расчет субсидий'!K38</f>
        <v>0.2671645919778709</v>
      </c>
      <c r="K36" s="54">
        <f t="shared" si="3"/>
        <v>64.969599200949517</v>
      </c>
      <c r="L36" s="53" t="s">
        <v>394</v>
      </c>
      <c r="M36" s="53" t="s">
        <v>394</v>
      </c>
      <c r="N36" s="55" t="s">
        <v>394</v>
      </c>
      <c r="O36" s="53" t="s">
        <v>394</v>
      </c>
      <c r="P36" s="53" t="s">
        <v>394</v>
      </c>
      <c r="Q36" s="55" t="s">
        <v>394</v>
      </c>
      <c r="R36" s="53" t="s">
        <v>394</v>
      </c>
      <c r="S36" s="53" t="s">
        <v>394</v>
      </c>
      <c r="T36" s="55" t="s">
        <v>394</v>
      </c>
      <c r="U36" s="53">
        <f>'Расчет субсидий'!Z38-1</f>
        <v>0.23249999999999993</v>
      </c>
      <c r="V36" s="53">
        <f>U36*'Расчет субсидий'!AA38</f>
        <v>3.4874999999999989</v>
      </c>
      <c r="W36" s="54">
        <f t="shared" si="8"/>
        <v>848.09695602207273</v>
      </c>
      <c r="X36" s="56">
        <f t="shared" si="4"/>
        <v>2.8133445832231385</v>
      </c>
    </row>
    <row r="37" spans="1:24" ht="15" customHeight="1">
      <c r="A37" s="57" t="s">
        <v>25</v>
      </c>
      <c r="B37" s="52">
        <f>'Расчет субсидий'!AF39</f>
        <v>-133.49090909090955</v>
      </c>
      <c r="C37" s="53">
        <f>'Расчет субсидий'!D39-1</f>
        <v>-1.7899939426394229E-2</v>
      </c>
      <c r="D37" s="53">
        <f>C37*'Расчет субсидий'!E39</f>
        <v>-0.26849909139591344</v>
      </c>
      <c r="E37" s="54">
        <f t="shared" si="2"/>
        <v>-36.170172560325994</v>
      </c>
      <c r="F37" s="53">
        <f>'Расчет субсидий'!F39-1</f>
        <v>0</v>
      </c>
      <c r="G37" s="53">
        <f>F37*'Расчет субсидий'!G39</f>
        <v>0</v>
      </c>
      <c r="H37" s="54">
        <f t="shared" si="7"/>
        <v>0</v>
      </c>
      <c r="I37" s="53">
        <f>'Расчет субсидий'!J39-1</f>
        <v>-0.2065716666666666</v>
      </c>
      <c r="J37" s="53">
        <f>I37*'Расчет субсидий'!K39</f>
        <v>-2.065716666666666</v>
      </c>
      <c r="K37" s="54">
        <f t="shared" si="3"/>
        <v>-278.27776960295489</v>
      </c>
      <c r="L37" s="53" t="s">
        <v>394</v>
      </c>
      <c r="M37" s="53" t="s">
        <v>394</v>
      </c>
      <c r="N37" s="55" t="s">
        <v>394</v>
      </c>
      <c r="O37" s="53" t="s">
        <v>394</v>
      </c>
      <c r="P37" s="53" t="s">
        <v>394</v>
      </c>
      <c r="Q37" s="55" t="s">
        <v>394</v>
      </c>
      <c r="R37" s="53" t="s">
        <v>394</v>
      </c>
      <c r="S37" s="53" t="s">
        <v>394</v>
      </c>
      <c r="T37" s="55" t="s">
        <v>394</v>
      </c>
      <c r="U37" s="53">
        <f>'Расчет субсидий'!Z39-1</f>
        <v>8.9552238805970186E-2</v>
      </c>
      <c r="V37" s="53">
        <f>U37*'Расчет субсидий'!AA39</f>
        <v>1.3432835820895528</v>
      </c>
      <c r="W37" s="54">
        <f t="shared" si="8"/>
        <v>180.9570330723713</v>
      </c>
      <c r="X37" s="56">
        <f t="shared" si="4"/>
        <v>-0.99093217597302652</v>
      </c>
    </row>
    <row r="38" spans="1:24" ht="15" customHeight="1">
      <c r="A38" s="57" t="s">
        <v>26</v>
      </c>
      <c r="B38" s="52">
        <f>'Расчет субсидий'!AF40</f>
        <v>-18.936363636363467</v>
      </c>
      <c r="C38" s="53">
        <f>'Расчет субсидий'!D40-1</f>
        <v>8.0998717706839418E-3</v>
      </c>
      <c r="D38" s="53">
        <f>C38*'Расчет субсидий'!E40</f>
        <v>0.12149807656025913</v>
      </c>
      <c r="E38" s="54">
        <f t="shared" si="2"/>
        <v>4.957177364161037</v>
      </c>
      <c r="F38" s="53">
        <f>'Расчет субсидий'!F40-1</f>
        <v>0</v>
      </c>
      <c r="G38" s="53">
        <f>F38*'Расчет субсидий'!G40</f>
        <v>0</v>
      </c>
      <c r="H38" s="54">
        <f t="shared" si="7"/>
        <v>0</v>
      </c>
      <c r="I38" s="53">
        <f>'Расчет субсидий'!J40-1</f>
        <v>9.8154477101845439E-2</v>
      </c>
      <c r="J38" s="53">
        <f>I38*'Расчет субсидий'!K40</f>
        <v>0.98154477101845439</v>
      </c>
      <c r="K38" s="54">
        <f t="shared" si="3"/>
        <v>40.047477775420461</v>
      </c>
      <c r="L38" s="53" t="s">
        <v>394</v>
      </c>
      <c r="M38" s="53" t="s">
        <v>394</v>
      </c>
      <c r="N38" s="55" t="s">
        <v>394</v>
      </c>
      <c r="O38" s="53" t="s">
        <v>394</v>
      </c>
      <c r="P38" s="53" t="s">
        <v>394</v>
      </c>
      <c r="Q38" s="55" t="s">
        <v>394</v>
      </c>
      <c r="R38" s="53" t="s">
        <v>394</v>
      </c>
      <c r="S38" s="53" t="s">
        <v>394</v>
      </c>
      <c r="T38" s="55" t="s">
        <v>394</v>
      </c>
      <c r="U38" s="53">
        <f>'Расчет субсидий'!Z40-1</f>
        <v>-0.10447761194029848</v>
      </c>
      <c r="V38" s="53">
        <f>U38*'Расчет субсидий'!AA40</f>
        <v>-1.567164179104477</v>
      </c>
      <c r="W38" s="54">
        <f t="shared" si="8"/>
        <v>-63.941018775944968</v>
      </c>
      <c r="X38" s="56">
        <f t="shared" si="4"/>
        <v>-0.46412133152576351</v>
      </c>
    </row>
    <row r="39" spans="1:24" ht="15" customHeight="1">
      <c r="A39" s="57" t="s">
        <v>27</v>
      </c>
      <c r="B39" s="52">
        <f>'Расчет субсидий'!AF41</f>
        <v>-145.39999999999964</v>
      </c>
      <c r="C39" s="53">
        <f>'Расчет субсидий'!D41-1</f>
        <v>-8.0182607138899131E-2</v>
      </c>
      <c r="D39" s="53">
        <f>C39*'Расчет субсидий'!E41</f>
        <v>-1.202739107083487</v>
      </c>
      <c r="E39" s="54">
        <f t="shared" si="2"/>
        <v>-127.9023917562584</v>
      </c>
      <c r="F39" s="53">
        <f>'Расчет субсидий'!F41-1</f>
        <v>0</v>
      </c>
      <c r="G39" s="53">
        <f>F39*'Расчет субсидий'!G41</f>
        <v>0</v>
      </c>
      <c r="H39" s="54">
        <f t="shared" si="7"/>
        <v>0</v>
      </c>
      <c r="I39" s="53">
        <f>'Расчет субсидий'!J41-1</f>
        <v>-2.9059040590405871E-2</v>
      </c>
      <c r="J39" s="53">
        <f>I39*'Расчет субсидий'!K41</f>
        <v>-0.29059040590405871</v>
      </c>
      <c r="K39" s="54">
        <f t="shared" si="3"/>
        <v>-30.902136396543671</v>
      </c>
      <c r="L39" s="53" t="s">
        <v>394</v>
      </c>
      <c r="M39" s="53" t="s">
        <v>394</v>
      </c>
      <c r="N39" s="55" t="s">
        <v>394</v>
      </c>
      <c r="O39" s="53" t="s">
        <v>394</v>
      </c>
      <c r="P39" s="53" t="s">
        <v>394</v>
      </c>
      <c r="Q39" s="55" t="s">
        <v>394</v>
      </c>
      <c r="R39" s="53" t="s">
        <v>394</v>
      </c>
      <c r="S39" s="53" t="s">
        <v>394</v>
      </c>
      <c r="T39" s="55" t="s">
        <v>394</v>
      </c>
      <c r="U39" s="53">
        <f>'Расчет субсидий'!Z41-1</f>
        <v>8.4033613445377853E-3</v>
      </c>
      <c r="V39" s="53">
        <f>U39*'Расчет субсидий'!AA41</f>
        <v>0.12605042016806678</v>
      </c>
      <c r="W39" s="54">
        <f t="shared" si="8"/>
        <v>13.404528152802424</v>
      </c>
      <c r="X39" s="56">
        <f t="shared" si="4"/>
        <v>-1.3672790928194789</v>
      </c>
    </row>
    <row r="40" spans="1:24" ht="15" customHeight="1">
      <c r="A40" s="57" t="s">
        <v>28</v>
      </c>
      <c r="B40" s="52">
        <f>'Расчет субсидий'!AF42</f>
        <v>12.663636363636215</v>
      </c>
      <c r="C40" s="53">
        <f>'Расчет субсидий'!D42-1</f>
        <v>-0.12913367489520255</v>
      </c>
      <c r="D40" s="53">
        <f>C40*'Расчет субсидий'!E42</f>
        <v>-1.9370051234280383</v>
      </c>
      <c r="E40" s="54">
        <f t="shared" si="2"/>
        <v>-189.98795231674796</v>
      </c>
      <c r="F40" s="53">
        <f>'Расчет субсидий'!F42-1</f>
        <v>0</v>
      </c>
      <c r="G40" s="53">
        <f>F40*'Расчет субсидий'!G42</f>
        <v>0</v>
      </c>
      <c r="H40" s="54">
        <f t="shared" si="7"/>
        <v>0</v>
      </c>
      <c r="I40" s="53">
        <f>'Расчет субсидий'!J42-1</f>
        <v>-9.58208232445521E-2</v>
      </c>
      <c r="J40" s="53">
        <f>I40*'Расчет субсидий'!K42</f>
        <v>-0.958208232445521</v>
      </c>
      <c r="K40" s="54">
        <f t="shared" si="3"/>
        <v>-93.984273853232409</v>
      </c>
      <c r="L40" s="53" t="s">
        <v>394</v>
      </c>
      <c r="M40" s="53" t="s">
        <v>394</v>
      </c>
      <c r="N40" s="55" t="s">
        <v>394</v>
      </c>
      <c r="O40" s="53" t="s">
        <v>394</v>
      </c>
      <c r="P40" s="53" t="s">
        <v>394</v>
      </c>
      <c r="Q40" s="55" t="s">
        <v>394</v>
      </c>
      <c r="R40" s="53" t="s">
        <v>394</v>
      </c>
      <c r="S40" s="53" t="s">
        <v>394</v>
      </c>
      <c r="T40" s="55" t="s">
        <v>394</v>
      </c>
      <c r="U40" s="53">
        <f>'Расчет субсидий'!Z42-1</f>
        <v>0.20162162162162156</v>
      </c>
      <c r="V40" s="53">
        <f>U40*'Расчет субсидий'!AA42</f>
        <v>3.0243243243243234</v>
      </c>
      <c r="W40" s="54">
        <f t="shared" si="8"/>
        <v>296.63586253361655</v>
      </c>
      <c r="X40" s="56">
        <f t="shared" si="4"/>
        <v>0.12911096845076431</v>
      </c>
    </row>
    <row r="41" spans="1:24" ht="15" customHeight="1">
      <c r="A41" s="57" t="s">
        <v>29</v>
      </c>
      <c r="B41" s="52">
        <f>'Расчет субсидий'!AF43</f>
        <v>1497.9272727272728</v>
      </c>
      <c r="C41" s="53">
        <f>'Расчет субсидий'!D43-1</f>
        <v>0.19113416370454606</v>
      </c>
      <c r="D41" s="53">
        <f>C41*'Расчет субсидий'!E43</f>
        <v>2.8670124555681911</v>
      </c>
      <c r="E41" s="54">
        <f t="shared" si="2"/>
        <v>648.88069817961434</v>
      </c>
      <c r="F41" s="53">
        <f>'Расчет субсидий'!F43-1</f>
        <v>0</v>
      </c>
      <c r="G41" s="53">
        <f>F41*'Расчет субсидий'!G43</f>
        <v>0</v>
      </c>
      <c r="H41" s="54">
        <f t="shared" si="7"/>
        <v>0</v>
      </c>
      <c r="I41" s="53">
        <f>'Расчет субсидий'!J43-1</f>
        <v>-7.4857525980556505E-2</v>
      </c>
      <c r="J41" s="53">
        <f>I41*'Расчет субсидий'!K43</f>
        <v>-0.74857525980556505</v>
      </c>
      <c r="K41" s="54">
        <f t="shared" si="3"/>
        <v>-169.42236727267965</v>
      </c>
      <c r="L41" s="53" t="s">
        <v>394</v>
      </c>
      <c r="M41" s="53" t="s">
        <v>394</v>
      </c>
      <c r="N41" s="55" t="s">
        <v>394</v>
      </c>
      <c r="O41" s="53" t="s">
        <v>394</v>
      </c>
      <c r="P41" s="53" t="s">
        <v>394</v>
      </c>
      <c r="Q41" s="55" t="s">
        <v>394</v>
      </c>
      <c r="R41" s="53" t="s">
        <v>394</v>
      </c>
      <c r="S41" s="53" t="s">
        <v>394</v>
      </c>
      <c r="T41" s="55" t="s">
        <v>394</v>
      </c>
      <c r="U41" s="53">
        <f>'Расчет субсидий'!Z43-1</f>
        <v>0.30000000000000004</v>
      </c>
      <c r="V41" s="53">
        <f>U41*'Расчет субсидий'!AA43</f>
        <v>4.5000000000000009</v>
      </c>
      <c r="W41" s="54">
        <f t="shared" si="8"/>
        <v>1018.4689418203382</v>
      </c>
      <c r="X41" s="56">
        <f t="shared" si="4"/>
        <v>6.6184371957626267</v>
      </c>
    </row>
    <row r="42" spans="1:24" ht="15" customHeight="1">
      <c r="A42" s="57" t="s">
        <v>30</v>
      </c>
      <c r="B42" s="52">
        <f>'Расчет субсидий'!AF44</f>
        <v>437.63636363636397</v>
      </c>
      <c r="C42" s="53">
        <f>'Расчет субсидий'!D44-1</f>
        <v>0.20528563010354395</v>
      </c>
      <c r="D42" s="53">
        <f>C42*'Расчет субсидий'!E44</f>
        <v>3.0792844515531592</v>
      </c>
      <c r="E42" s="54">
        <f t="shared" si="2"/>
        <v>514.25884024069614</v>
      </c>
      <c r="F42" s="53">
        <f>'Расчет субсидий'!F44-1</f>
        <v>0</v>
      </c>
      <c r="G42" s="53">
        <f>F42*'Расчет субсидий'!G44</f>
        <v>0</v>
      </c>
      <c r="H42" s="54">
        <f t="shared" si="7"/>
        <v>0</v>
      </c>
      <c r="I42" s="53">
        <f>'Расчет субсидий'!J44-1</f>
        <v>-9.7803163444639685E-2</v>
      </c>
      <c r="J42" s="53">
        <f>I42*'Расчет субсидий'!K44</f>
        <v>-0.97803163444639685</v>
      </c>
      <c r="K42" s="54">
        <f t="shared" si="3"/>
        <v>-163.33710703323558</v>
      </c>
      <c r="L42" s="53" t="s">
        <v>394</v>
      </c>
      <c r="M42" s="53" t="s">
        <v>394</v>
      </c>
      <c r="N42" s="55" t="s">
        <v>394</v>
      </c>
      <c r="O42" s="53" t="s">
        <v>394</v>
      </c>
      <c r="P42" s="53" t="s">
        <v>394</v>
      </c>
      <c r="Q42" s="55" t="s">
        <v>394</v>
      </c>
      <c r="R42" s="53" t="s">
        <v>394</v>
      </c>
      <c r="S42" s="53" t="s">
        <v>394</v>
      </c>
      <c r="T42" s="55" t="s">
        <v>394</v>
      </c>
      <c r="U42" s="53">
        <f>'Расчет субсидий'!Z44-1</f>
        <v>3.4615384615384714E-2</v>
      </c>
      <c r="V42" s="53">
        <f>U42*'Расчет субсидий'!AA44</f>
        <v>0.51923076923077072</v>
      </c>
      <c r="W42" s="54">
        <f t="shared" si="8"/>
        <v>86.714630428903391</v>
      </c>
      <c r="X42" s="56">
        <f t="shared" si="4"/>
        <v>2.6204835863375333</v>
      </c>
    </row>
    <row r="43" spans="1:24" ht="15" customHeight="1">
      <c r="A43" s="57" t="s">
        <v>1</v>
      </c>
      <c r="B43" s="52">
        <f>'Расчет субсидий'!AF45</f>
        <v>-443.13636363636397</v>
      </c>
      <c r="C43" s="53">
        <f>'Расчет субсидий'!D45-1</f>
        <v>-0.10810378055373293</v>
      </c>
      <c r="D43" s="53">
        <f>C43*'Расчет субсидий'!E45</f>
        <v>-1.6215567083059939</v>
      </c>
      <c r="E43" s="54">
        <f t="shared" si="2"/>
        <v>-377.84747038763521</v>
      </c>
      <c r="F43" s="53">
        <f>'Расчет субсидий'!F45-1</f>
        <v>0</v>
      </c>
      <c r="G43" s="53">
        <f>F43*'Расчет субсидий'!G45</f>
        <v>0</v>
      </c>
      <c r="H43" s="54">
        <f t="shared" si="7"/>
        <v>0</v>
      </c>
      <c r="I43" s="53">
        <f>'Расчет субсидий'!J45-1</f>
        <v>8.4615384615385203E-3</v>
      </c>
      <c r="J43" s="53">
        <f>I43*'Расчет субсидий'!K45</f>
        <v>8.4615384615385203E-2</v>
      </c>
      <c r="K43" s="54">
        <f t="shared" si="3"/>
        <v>19.716676493047409</v>
      </c>
      <c r="L43" s="53" t="s">
        <v>394</v>
      </c>
      <c r="M43" s="53" t="s">
        <v>394</v>
      </c>
      <c r="N43" s="55" t="s">
        <v>394</v>
      </c>
      <c r="O43" s="53" t="s">
        <v>394</v>
      </c>
      <c r="P43" s="53" t="s">
        <v>394</v>
      </c>
      <c r="Q43" s="55" t="s">
        <v>394</v>
      </c>
      <c r="R43" s="53" t="s">
        <v>394</v>
      </c>
      <c r="S43" s="53" t="s">
        <v>394</v>
      </c>
      <c r="T43" s="55" t="s">
        <v>394</v>
      </c>
      <c r="U43" s="53">
        <f>'Расчет субсидий'!Z45-1</f>
        <v>-2.4320457796852657E-2</v>
      </c>
      <c r="V43" s="53">
        <f>U43*'Расчет субсидий'!AA45</f>
        <v>-0.36480686695278985</v>
      </c>
      <c r="W43" s="54">
        <f t="shared" si="8"/>
        <v>-85.005569741776213</v>
      </c>
      <c r="X43" s="56">
        <f t="shared" si="4"/>
        <v>-1.9017481906433984</v>
      </c>
    </row>
    <row r="44" spans="1:24" ht="15" customHeight="1">
      <c r="A44" s="57" t="s">
        <v>31</v>
      </c>
      <c r="B44" s="52">
        <f>'Расчет субсидий'!AF46</f>
        <v>479</v>
      </c>
      <c r="C44" s="53">
        <f>'Расчет субсидий'!D46-1</f>
        <v>-5.6316671543720553E-2</v>
      </c>
      <c r="D44" s="53">
        <f>C44*'Расчет субсидий'!E46</f>
        <v>-0.8447500731558083</v>
      </c>
      <c r="E44" s="54">
        <f t="shared" si="2"/>
        <v>-177.61519793219759</v>
      </c>
      <c r="F44" s="53">
        <f>'Расчет субсидий'!F46-1</f>
        <v>0</v>
      </c>
      <c r="G44" s="53">
        <f>F44*'Расчет субсидий'!G46</f>
        <v>0</v>
      </c>
      <c r="H44" s="54">
        <f t="shared" si="7"/>
        <v>0</v>
      </c>
      <c r="I44" s="53">
        <f>'Расчет субсидий'!J46-1</f>
        <v>2.3177955189286337E-3</v>
      </c>
      <c r="J44" s="53">
        <f>I44*'Расчет субсидий'!K46</f>
        <v>2.3177955189286337E-2</v>
      </c>
      <c r="K44" s="54">
        <f t="shared" si="3"/>
        <v>4.8733432874759774</v>
      </c>
      <c r="L44" s="53" t="s">
        <v>394</v>
      </c>
      <c r="M44" s="53" t="s">
        <v>394</v>
      </c>
      <c r="N44" s="55" t="s">
        <v>394</v>
      </c>
      <c r="O44" s="53" t="s">
        <v>394</v>
      </c>
      <c r="P44" s="53" t="s">
        <v>394</v>
      </c>
      <c r="Q44" s="55" t="s">
        <v>394</v>
      </c>
      <c r="R44" s="53" t="s">
        <v>394</v>
      </c>
      <c r="S44" s="53" t="s">
        <v>394</v>
      </c>
      <c r="T44" s="55" t="s">
        <v>394</v>
      </c>
      <c r="U44" s="53">
        <f>'Расчет субсидий'!Z46-1</f>
        <v>0.20664859981933148</v>
      </c>
      <c r="V44" s="53">
        <f>U44*'Расчет субсидий'!AA46</f>
        <v>3.0997289972899722</v>
      </c>
      <c r="W44" s="54">
        <f t="shared" si="8"/>
        <v>651.74185464472168</v>
      </c>
      <c r="X44" s="56">
        <f t="shared" si="4"/>
        <v>2.2781568793234501</v>
      </c>
    </row>
    <row r="45" spans="1:24" ht="15" customHeight="1">
      <c r="A45" s="57" t="s">
        <v>32</v>
      </c>
      <c r="B45" s="52">
        <f>'Расчет субсидий'!AF47</f>
        <v>-272.21818181818162</v>
      </c>
      <c r="C45" s="53">
        <f>'Расчет субсидий'!D47-1</f>
        <v>0.22354252518834516</v>
      </c>
      <c r="D45" s="53">
        <f>C45*'Расчет субсидий'!E47</f>
        <v>3.3531378778251772</v>
      </c>
      <c r="E45" s="54">
        <f t="shared" si="2"/>
        <v>499.03936867829026</v>
      </c>
      <c r="F45" s="53">
        <f>'Расчет субсидий'!F47-1</f>
        <v>0</v>
      </c>
      <c r="G45" s="53">
        <f>F45*'Расчет субсидий'!G47</f>
        <v>0</v>
      </c>
      <c r="H45" s="54">
        <f t="shared" si="7"/>
        <v>0</v>
      </c>
      <c r="I45" s="53">
        <f>'Расчет субсидий'!J47-1</f>
        <v>-0.10155555555555551</v>
      </c>
      <c r="J45" s="53">
        <f>I45*'Расчет субсидий'!K47</f>
        <v>-1.0155555555555551</v>
      </c>
      <c r="K45" s="54">
        <f t="shared" si="3"/>
        <v>-151.14266748580081</v>
      </c>
      <c r="L45" s="53" t="s">
        <v>394</v>
      </c>
      <c r="M45" s="53" t="s">
        <v>394</v>
      </c>
      <c r="N45" s="55" t="s">
        <v>394</v>
      </c>
      <c r="O45" s="53" t="s">
        <v>394</v>
      </c>
      <c r="P45" s="53" t="s">
        <v>394</v>
      </c>
      <c r="Q45" s="55" t="s">
        <v>394</v>
      </c>
      <c r="R45" s="53" t="s">
        <v>394</v>
      </c>
      <c r="S45" s="53" t="s">
        <v>394</v>
      </c>
      <c r="T45" s="55" t="s">
        <v>394</v>
      </c>
      <c r="U45" s="53">
        <f>'Расчет субсидий'!Z47-1</f>
        <v>-0.27777777777777779</v>
      </c>
      <c r="V45" s="53">
        <f>U45*'Расчет субсидий'!AA47</f>
        <v>-4.166666666666667</v>
      </c>
      <c r="W45" s="54">
        <f t="shared" si="8"/>
        <v>-620.11488301067106</v>
      </c>
      <c r="X45" s="56">
        <f t="shared" si="4"/>
        <v>-1.829084344397045</v>
      </c>
    </row>
    <row r="46" spans="1:24" ht="15" customHeight="1">
      <c r="A46" s="57" t="s">
        <v>33</v>
      </c>
      <c r="B46" s="52">
        <f>'Расчет субсидий'!AF48</f>
        <v>234.86363636363603</v>
      </c>
      <c r="C46" s="53">
        <f>'Расчет субсидий'!D48-1</f>
        <v>1.9066779451772931E-2</v>
      </c>
      <c r="D46" s="53">
        <f>C46*'Расчет субсидий'!E48</f>
        <v>0.28600169177659396</v>
      </c>
      <c r="E46" s="54">
        <f t="shared" si="2"/>
        <v>80.532714846790228</v>
      </c>
      <c r="F46" s="53">
        <f>'Расчет субсидий'!F48-1</f>
        <v>0</v>
      </c>
      <c r="G46" s="53">
        <f>F46*'Расчет субсидий'!G48</f>
        <v>0</v>
      </c>
      <c r="H46" s="54">
        <f t="shared" si="7"/>
        <v>0</v>
      </c>
      <c r="I46" s="53">
        <f>'Расчет субсидий'!J48-1</f>
        <v>-7.3762765121759721E-2</v>
      </c>
      <c r="J46" s="53">
        <f>I46*'Расчет субсидий'!K48</f>
        <v>-0.73762765121759721</v>
      </c>
      <c r="K46" s="54">
        <f t="shared" si="3"/>
        <v>-207.70211857703379</v>
      </c>
      <c r="L46" s="53" t="s">
        <v>394</v>
      </c>
      <c r="M46" s="53" t="s">
        <v>394</v>
      </c>
      <c r="N46" s="55" t="s">
        <v>394</v>
      </c>
      <c r="O46" s="53" t="s">
        <v>394</v>
      </c>
      <c r="P46" s="53" t="s">
        <v>394</v>
      </c>
      <c r="Q46" s="55" t="s">
        <v>394</v>
      </c>
      <c r="R46" s="53" t="s">
        <v>394</v>
      </c>
      <c r="S46" s="53" t="s">
        <v>394</v>
      </c>
      <c r="T46" s="55" t="s">
        <v>394</v>
      </c>
      <c r="U46" s="53">
        <f>'Расчет субсидий'!Z48-1</f>
        <v>8.5714285714285632E-2</v>
      </c>
      <c r="V46" s="53">
        <f>U46*'Расчет субсидий'!AA48</f>
        <v>1.2857142857142845</v>
      </c>
      <c r="W46" s="54">
        <f t="shared" si="8"/>
        <v>362.03304009387955</v>
      </c>
      <c r="X46" s="56">
        <f t="shared" si="4"/>
        <v>0.83408832627328122</v>
      </c>
    </row>
    <row r="47" spans="1:24" ht="15" customHeight="1">
      <c r="A47" s="57" t="s">
        <v>34</v>
      </c>
      <c r="B47" s="52">
        <f>'Расчет субсидий'!AF49</f>
        <v>-691.58181818181765</v>
      </c>
      <c r="C47" s="53">
        <f>'Расчет субсидий'!D49-1</f>
        <v>0.16842992307307236</v>
      </c>
      <c r="D47" s="53">
        <f>C47*'Расчет субсидий'!E49</f>
        <v>2.5264488460960854</v>
      </c>
      <c r="E47" s="54">
        <f t="shared" si="2"/>
        <v>560.82376006368736</v>
      </c>
      <c r="F47" s="53">
        <f>'Расчет субсидий'!F49-1</f>
        <v>0</v>
      </c>
      <c r="G47" s="53">
        <f>F47*'Расчет субсидий'!G49</f>
        <v>0</v>
      </c>
      <c r="H47" s="54">
        <f t="shared" si="7"/>
        <v>0</v>
      </c>
      <c r="I47" s="53">
        <f>'Расчет субсидий'!J49-1</f>
        <v>4.3106060606060703E-2</v>
      </c>
      <c r="J47" s="53">
        <f>I47*'Расчет субсидий'!K49</f>
        <v>0.43106060606060703</v>
      </c>
      <c r="K47" s="54">
        <f t="shared" si="3"/>
        <v>95.687284656404799</v>
      </c>
      <c r="L47" s="53" t="s">
        <v>394</v>
      </c>
      <c r="M47" s="53" t="s">
        <v>394</v>
      </c>
      <c r="N47" s="55" t="s">
        <v>394</v>
      </c>
      <c r="O47" s="53" t="s">
        <v>394</v>
      </c>
      <c r="P47" s="53" t="s">
        <v>394</v>
      </c>
      <c r="Q47" s="55" t="s">
        <v>394</v>
      </c>
      <c r="R47" s="53" t="s">
        <v>394</v>
      </c>
      <c r="S47" s="53" t="s">
        <v>394</v>
      </c>
      <c r="T47" s="55" t="s">
        <v>394</v>
      </c>
      <c r="U47" s="53">
        <f>'Расчет субсидий'!Z49-1</f>
        <v>-0.40486725663716816</v>
      </c>
      <c r="V47" s="53">
        <f>U47*'Расчет субсидий'!AA49</f>
        <v>-6.0730088495575227</v>
      </c>
      <c r="W47" s="54">
        <f t="shared" si="8"/>
        <v>-1348.0928629019099</v>
      </c>
      <c r="X47" s="56">
        <f t="shared" si="4"/>
        <v>-3.1154993974008303</v>
      </c>
    </row>
    <row r="48" spans="1:24" ht="15" customHeight="1">
      <c r="A48" s="57" t="s">
        <v>35</v>
      </c>
      <c r="B48" s="52">
        <f>'Расчет субсидий'!AF50</f>
        <v>653.94545454545369</v>
      </c>
      <c r="C48" s="53">
        <f>'Расчет субсидий'!D50-1</f>
        <v>-6.5950250044506276E-2</v>
      </c>
      <c r="D48" s="53">
        <f>C48*'Расчет субсидий'!E50</f>
        <v>-0.98925375066759413</v>
      </c>
      <c r="E48" s="54">
        <f t="shared" si="2"/>
        <v>-189.75379268401539</v>
      </c>
      <c r="F48" s="53">
        <f>'Расчет субсидий'!F50-1</f>
        <v>0</v>
      </c>
      <c r="G48" s="53">
        <f>F48*'Расчет субсидий'!G50</f>
        <v>0</v>
      </c>
      <c r="H48" s="54">
        <f t="shared" si="7"/>
        <v>0</v>
      </c>
      <c r="I48" s="53">
        <f>'Расчет субсидий'!J50-1</f>
        <v>1.604078587416069E-2</v>
      </c>
      <c r="J48" s="53">
        <f>I48*'Расчет субсидий'!K50</f>
        <v>0.1604078587416069</v>
      </c>
      <c r="K48" s="54">
        <f t="shared" si="3"/>
        <v>30.768647126180451</v>
      </c>
      <c r="L48" s="53" t="s">
        <v>394</v>
      </c>
      <c r="M48" s="53" t="s">
        <v>394</v>
      </c>
      <c r="N48" s="55" t="s">
        <v>394</v>
      </c>
      <c r="O48" s="53" t="s">
        <v>394</v>
      </c>
      <c r="P48" s="53" t="s">
        <v>394</v>
      </c>
      <c r="Q48" s="55" t="s">
        <v>394</v>
      </c>
      <c r="R48" s="53" t="s">
        <v>394</v>
      </c>
      <c r="S48" s="53" t="s">
        <v>394</v>
      </c>
      <c r="T48" s="55" t="s">
        <v>394</v>
      </c>
      <c r="U48" s="53">
        <f>'Расчет субсидий'!Z50-1</f>
        <v>0.28253968253968242</v>
      </c>
      <c r="V48" s="53">
        <f>U48*'Расчет субсидий'!AA50</f>
        <v>4.2380952380952364</v>
      </c>
      <c r="W48" s="54">
        <f t="shared" si="8"/>
        <v>812.93060010328861</v>
      </c>
      <c r="X48" s="56">
        <f t="shared" si="4"/>
        <v>3.4092493461692492</v>
      </c>
    </row>
    <row r="49" spans="1:24" ht="15" customHeight="1">
      <c r="A49" s="57" t="s">
        <v>36</v>
      </c>
      <c r="B49" s="52">
        <f>'Расчет субсидий'!AF51</f>
        <v>-2529.3545454545456</v>
      </c>
      <c r="C49" s="53">
        <f>'Расчет субсидий'!D51-1</f>
        <v>-9.5454237334092529E-2</v>
      </c>
      <c r="D49" s="53">
        <f>C49*'Расчет субсидий'!E51</f>
        <v>-1.4318135600113879</v>
      </c>
      <c r="E49" s="54">
        <f t="shared" si="2"/>
        <v>-588.12660486685513</v>
      </c>
      <c r="F49" s="53">
        <f>'Расчет субсидий'!F51-1</f>
        <v>0</v>
      </c>
      <c r="G49" s="53">
        <f>F49*'Расчет субсидий'!G51</f>
        <v>0</v>
      </c>
      <c r="H49" s="54">
        <f t="shared" si="7"/>
        <v>0</v>
      </c>
      <c r="I49" s="53">
        <f>'Расчет субсидий'!J51-1</f>
        <v>-0.14313870933559392</v>
      </c>
      <c r="J49" s="53">
        <f>I49*'Расчет субсидий'!K51</f>
        <v>-1.4313870933559392</v>
      </c>
      <c r="K49" s="54">
        <f t="shared" si="3"/>
        <v>-587.95143095234357</v>
      </c>
      <c r="L49" s="53" t="s">
        <v>394</v>
      </c>
      <c r="M49" s="53" t="s">
        <v>394</v>
      </c>
      <c r="N49" s="55" t="s">
        <v>394</v>
      </c>
      <c r="O49" s="53" t="s">
        <v>394</v>
      </c>
      <c r="P49" s="53" t="s">
        <v>394</v>
      </c>
      <c r="Q49" s="55" t="s">
        <v>394</v>
      </c>
      <c r="R49" s="53" t="s">
        <v>394</v>
      </c>
      <c r="S49" s="53" t="s">
        <v>394</v>
      </c>
      <c r="T49" s="55" t="s">
        <v>394</v>
      </c>
      <c r="U49" s="53">
        <f>'Расчет субсидий'!Z51-1</f>
        <v>-0.21963974433468902</v>
      </c>
      <c r="V49" s="53">
        <f>U49*'Расчет субсидий'!AA51</f>
        <v>-3.2945961650203355</v>
      </c>
      <c r="W49" s="54">
        <f t="shared" si="8"/>
        <v>-1353.2765096353469</v>
      </c>
      <c r="X49" s="56">
        <f t="shared" si="4"/>
        <v>-6.1577968183876628</v>
      </c>
    </row>
    <row r="50" spans="1:24" ht="15" customHeight="1">
      <c r="A50" s="57" t="s">
        <v>37</v>
      </c>
      <c r="B50" s="52">
        <f>'Расчет субсидий'!AF52</f>
        <v>-731.48181818181729</v>
      </c>
      <c r="C50" s="53">
        <f>'Расчет субсидий'!D52-1</f>
        <v>0.12826525740990435</v>
      </c>
      <c r="D50" s="53">
        <f>C50*'Расчет субсидий'!E52</f>
        <v>1.9239788611485653</v>
      </c>
      <c r="E50" s="54">
        <f t="shared" si="2"/>
        <v>374.20260300775988</v>
      </c>
      <c r="F50" s="53">
        <f>'Расчет субсидий'!F52-1</f>
        <v>0</v>
      </c>
      <c r="G50" s="53">
        <f>F50*'Расчет субсидий'!G52</f>
        <v>0</v>
      </c>
      <c r="H50" s="54">
        <f t="shared" si="7"/>
        <v>0</v>
      </c>
      <c r="I50" s="53">
        <f>'Расчет субсидий'!J52-1</f>
        <v>2.3944549464398168E-2</v>
      </c>
      <c r="J50" s="53">
        <f>I50*'Расчет субсидий'!K52</f>
        <v>0.23944549464398168</v>
      </c>
      <c r="K50" s="54">
        <f t="shared" si="3"/>
        <v>46.570744192464275</v>
      </c>
      <c r="L50" s="53" t="s">
        <v>394</v>
      </c>
      <c r="M50" s="53" t="s">
        <v>394</v>
      </c>
      <c r="N50" s="55" t="s">
        <v>394</v>
      </c>
      <c r="O50" s="53" t="s">
        <v>394</v>
      </c>
      <c r="P50" s="53" t="s">
        <v>394</v>
      </c>
      <c r="Q50" s="55" t="s">
        <v>394</v>
      </c>
      <c r="R50" s="53" t="s">
        <v>394</v>
      </c>
      <c r="S50" s="53" t="s">
        <v>394</v>
      </c>
      <c r="T50" s="55" t="s">
        <v>394</v>
      </c>
      <c r="U50" s="53">
        <f>'Расчет субсидий'!Z52-1</f>
        <v>-0.39495798319327735</v>
      </c>
      <c r="V50" s="53">
        <f>U50*'Расчет субсидий'!AA52</f>
        <v>-5.9243697478991599</v>
      </c>
      <c r="W50" s="54">
        <f t="shared" si="8"/>
        <v>-1152.2551653820415</v>
      </c>
      <c r="X50" s="56">
        <f t="shared" si="4"/>
        <v>-3.7609453921066129</v>
      </c>
    </row>
    <row r="51" spans="1:24" ht="15" customHeight="1">
      <c r="A51" s="57" t="s">
        <v>2</v>
      </c>
      <c r="B51" s="52">
        <f>'Расчет субсидий'!AF53</f>
        <v>-455.1272727272717</v>
      </c>
      <c r="C51" s="53">
        <f>'Расчет субсидий'!D53-1</f>
        <v>7.9967077476228887E-2</v>
      </c>
      <c r="D51" s="53">
        <f>C51*'Расчет субсидий'!E53</f>
        <v>1.1995061621434333</v>
      </c>
      <c r="E51" s="54">
        <f t="shared" si="2"/>
        <v>215.2343534100757</v>
      </c>
      <c r="F51" s="53">
        <f>'Расчет субсидий'!F53-1</f>
        <v>0</v>
      </c>
      <c r="G51" s="53">
        <f>F51*'Расчет субсидий'!G53</f>
        <v>0</v>
      </c>
      <c r="H51" s="54">
        <f t="shared" si="7"/>
        <v>0</v>
      </c>
      <c r="I51" s="53">
        <f>'Расчет субсидий'!J53-1</f>
        <v>-6.2483014861995811E-2</v>
      </c>
      <c r="J51" s="53">
        <f>I51*'Расчет субсидий'!K53</f>
        <v>-0.62483014861995811</v>
      </c>
      <c r="K51" s="54">
        <f t="shared" si="3"/>
        <v>-112.11690049930472</v>
      </c>
      <c r="L51" s="53" t="s">
        <v>394</v>
      </c>
      <c r="M51" s="53" t="s">
        <v>394</v>
      </c>
      <c r="N51" s="55" t="s">
        <v>394</v>
      </c>
      <c r="O51" s="53" t="s">
        <v>394</v>
      </c>
      <c r="P51" s="53" t="s">
        <v>394</v>
      </c>
      <c r="Q51" s="55" t="s">
        <v>394</v>
      </c>
      <c r="R51" s="53" t="s">
        <v>394</v>
      </c>
      <c r="S51" s="53" t="s">
        <v>394</v>
      </c>
      <c r="T51" s="55" t="s">
        <v>394</v>
      </c>
      <c r="U51" s="53">
        <f>'Расчет субсидий'!Z53-1</f>
        <v>-0.20740740740740748</v>
      </c>
      <c r="V51" s="53">
        <f>U51*'Расчет субсидий'!AA53</f>
        <v>-3.1111111111111125</v>
      </c>
      <c r="W51" s="54">
        <f t="shared" si="8"/>
        <v>-558.24472563804272</v>
      </c>
      <c r="X51" s="56">
        <f t="shared" si="4"/>
        <v>-2.5364350975876375</v>
      </c>
    </row>
    <row r="52" spans="1:24" ht="15" customHeight="1">
      <c r="A52" s="57" t="s">
        <v>38</v>
      </c>
      <c r="B52" s="52">
        <f>'Расчет субсидий'!AF54</f>
        <v>-653.92727272727279</v>
      </c>
      <c r="C52" s="53">
        <f>'Расчет субсидий'!D54-1</f>
        <v>-0.17470692635968355</v>
      </c>
      <c r="D52" s="53">
        <f>C52*'Расчет субсидий'!E54</f>
        <v>-2.6206038953952531</v>
      </c>
      <c r="E52" s="54">
        <f t="shared" si="2"/>
        <v>-506.87893207616673</v>
      </c>
      <c r="F52" s="53">
        <f>'Расчет субсидий'!F54-1</f>
        <v>0</v>
      </c>
      <c r="G52" s="53">
        <f>F52*'Расчет субсидий'!G54</f>
        <v>0</v>
      </c>
      <c r="H52" s="54">
        <f t="shared" si="7"/>
        <v>0</v>
      </c>
      <c r="I52" s="53">
        <f>'Расчет субсидий'!J54-1</f>
        <v>4.4942594718714091E-2</v>
      </c>
      <c r="J52" s="53">
        <f>I52*'Расчет субсидий'!K54</f>
        <v>0.44942594718714091</v>
      </c>
      <c r="K52" s="54">
        <f t="shared" si="3"/>
        <v>86.928262816757751</v>
      </c>
      <c r="L52" s="53" t="s">
        <v>394</v>
      </c>
      <c r="M52" s="53" t="s">
        <v>394</v>
      </c>
      <c r="N52" s="55" t="s">
        <v>394</v>
      </c>
      <c r="O52" s="53" t="s">
        <v>394</v>
      </c>
      <c r="P52" s="53" t="s">
        <v>394</v>
      </c>
      <c r="Q52" s="55" t="s">
        <v>394</v>
      </c>
      <c r="R52" s="53" t="s">
        <v>394</v>
      </c>
      <c r="S52" s="53" t="s">
        <v>394</v>
      </c>
      <c r="T52" s="55" t="s">
        <v>394</v>
      </c>
      <c r="U52" s="53">
        <f>'Расчет субсидий'!Z54-1</f>
        <v>-8.064516129032262E-2</v>
      </c>
      <c r="V52" s="53">
        <f>U52*'Расчет субсидий'!AA54</f>
        <v>-1.2096774193548394</v>
      </c>
      <c r="W52" s="54">
        <f t="shared" si="8"/>
        <v>-233.97660346786378</v>
      </c>
      <c r="X52" s="56">
        <f t="shared" si="4"/>
        <v>-3.3808553675629516</v>
      </c>
    </row>
    <row r="53" spans="1:24" ht="15" customHeight="1">
      <c r="A53" s="57" t="s">
        <v>3</v>
      </c>
      <c r="B53" s="52">
        <f>'Расчет субсидий'!AF55</f>
        <v>109.66363636363531</v>
      </c>
      <c r="C53" s="53">
        <f>'Расчет субсидий'!D55-1</f>
        <v>2.6858801525419862E-2</v>
      </c>
      <c r="D53" s="53">
        <f>C53*'Расчет субсидий'!E55</f>
        <v>0.40288202288129793</v>
      </c>
      <c r="E53" s="54">
        <f t="shared" si="2"/>
        <v>72.735444635903931</v>
      </c>
      <c r="F53" s="53">
        <f>'Расчет субсидий'!F55-1</f>
        <v>0</v>
      </c>
      <c r="G53" s="53">
        <f>F53*'Расчет субсидий'!G55</f>
        <v>0</v>
      </c>
      <c r="H53" s="54">
        <f t="shared" si="7"/>
        <v>0</v>
      </c>
      <c r="I53" s="53">
        <f>'Расчет субсидий'!J55-1</f>
        <v>-6.9545454545454466E-2</v>
      </c>
      <c r="J53" s="53">
        <f>I53*'Расчет субсидий'!K55</f>
        <v>-0.69545454545454466</v>
      </c>
      <c r="K53" s="54">
        <f t="shared" si="3"/>
        <v>-125.55585187428555</v>
      </c>
      <c r="L53" s="53" t="s">
        <v>394</v>
      </c>
      <c r="M53" s="53" t="s">
        <v>394</v>
      </c>
      <c r="N53" s="55" t="s">
        <v>394</v>
      </c>
      <c r="O53" s="53" t="s">
        <v>394</v>
      </c>
      <c r="P53" s="53" t="s">
        <v>394</v>
      </c>
      <c r="Q53" s="55" t="s">
        <v>394</v>
      </c>
      <c r="R53" s="53" t="s">
        <v>394</v>
      </c>
      <c r="S53" s="53" t="s">
        <v>394</v>
      </c>
      <c r="T53" s="55" t="s">
        <v>394</v>
      </c>
      <c r="U53" s="53">
        <f>'Расчет субсидий'!Z55-1</f>
        <v>6.0000000000000053E-2</v>
      </c>
      <c r="V53" s="53">
        <f>U53*'Расчет субсидий'!AA55</f>
        <v>0.9000000000000008</v>
      </c>
      <c r="W53" s="54">
        <f t="shared" si="8"/>
        <v>162.48404360201692</v>
      </c>
      <c r="X53" s="56">
        <f t="shared" si="4"/>
        <v>0.60742747742675407</v>
      </c>
    </row>
    <row r="54" spans="1:24" ht="15" customHeight="1">
      <c r="A54" s="57" t="s">
        <v>39</v>
      </c>
      <c r="B54" s="52">
        <f>'Расчет субсидий'!AF56</f>
        <v>-1002.3727272727283</v>
      </c>
      <c r="C54" s="53">
        <f>'Расчет субсидий'!D56-1</f>
        <v>7.5103727098206674E-2</v>
      </c>
      <c r="D54" s="53">
        <f>C54*'Расчет субсидий'!E56</f>
        <v>1.1265559064731001</v>
      </c>
      <c r="E54" s="54">
        <f t="shared" si="2"/>
        <v>267.73039880349182</v>
      </c>
      <c r="F54" s="53">
        <f>'Расчет субсидий'!F56-1</f>
        <v>0</v>
      </c>
      <c r="G54" s="53">
        <f>F54*'Расчет субсидий'!G56</f>
        <v>0</v>
      </c>
      <c r="H54" s="54">
        <f t="shared" si="7"/>
        <v>0</v>
      </c>
      <c r="I54" s="53">
        <f>'Расчет субсидий'!J56-1</f>
        <v>-2.5000000000000022E-2</v>
      </c>
      <c r="J54" s="53">
        <f>I54*'Расчет субсидий'!K56</f>
        <v>-0.25000000000000022</v>
      </c>
      <c r="K54" s="54">
        <f t="shared" si="3"/>
        <v>-59.413473682294544</v>
      </c>
      <c r="L54" s="53" t="s">
        <v>394</v>
      </c>
      <c r="M54" s="53" t="s">
        <v>394</v>
      </c>
      <c r="N54" s="55" t="s">
        <v>394</v>
      </c>
      <c r="O54" s="53" t="s">
        <v>394</v>
      </c>
      <c r="P54" s="53" t="s">
        <v>394</v>
      </c>
      <c r="Q54" s="55" t="s">
        <v>394</v>
      </c>
      <c r="R54" s="53" t="s">
        <v>394</v>
      </c>
      <c r="S54" s="53" t="s">
        <v>394</v>
      </c>
      <c r="T54" s="55" t="s">
        <v>394</v>
      </c>
      <c r="U54" s="53">
        <f>'Расчет субсидий'!Z56-1</f>
        <v>-0.339622641509434</v>
      </c>
      <c r="V54" s="53">
        <f>U54*'Расчет субсидий'!AA56</f>
        <v>-5.0943396226415096</v>
      </c>
      <c r="W54" s="54">
        <f t="shared" si="8"/>
        <v>-1210.6896523939254</v>
      </c>
      <c r="X54" s="56">
        <f t="shared" si="4"/>
        <v>-4.2177837161684097</v>
      </c>
    </row>
    <row r="55" spans="1:24" ht="15" customHeight="1">
      <c r="A55" s="59" t="s">
        <v>40</v>
      </c>
      <c r="B55" s="50">
        <f>'[1]Расчет субсидий'!AF55</f>
        <v>-12530.145454545462</v>
      </c>
      <c r="C55" s="50"/>
      <c r="D55" s="50"/>
      <c r="E55" s="50">
        <f>SUM(E57:E378)</f>
        <v>-4503.3006278373568</v>
      </c>
      <c r="F55" s="50"/>
      <c r="G55" s="50"/>
      <c r="H55" s="50">
        <f>SUM(H57:H378)</f>
        <v>0</v>
      </c>
      <c r="I55" s="50"/>
      <c r="J55" s="50"/>
      <c r="K55" s="50">
        <f>SUM(K57:K378)</f>
        <v>-621.50778228196521</v>
      </c>
      <c r="L55" s="50"/>
      <c r="M55" s="50"/>
      <c r="N55" s="50">
        <f>SUM(N57:N378)</f>
        <v>0</v>
      </c>
      <c r="O55" s="50"/>
      <c r="P55" s="50"/>
      <c r="Q55" s="50">
        <f>SUM(Q57:Q378)</f>
        <v>0</v>
      </c>
      <c r="R55" s="50"/>
      <c r="S55" s="50"/>
      <c r="T55" s="50">
        <f>SUM(T57:T378)</f>
        <v>0</v>
      </c>
      <c r="U55" s="50"/>
      <c r="V55" s="50"/>
      <c r="W55" s="50">
        <f>SUM(W57:W378)</f>
        <v>-463.06431715341074</v>
      </c>
      <c r="X55" s="50"/>
    </row>
    <row r="56" spans="1:24" ht="15" customHeight="1">
      <c r="A56" s="60" t="s">
        <v>41</v>
      </c>
      <c r="B56" s="61"/>
      <c r="C56" s="62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ht="15" customHeight="1">
      <c r="A57" s="64" t="s">
        <v>42</v>
      </c>
      <c r="B57" s="52">
        <f>'Расчет субсидий'!AF59</f>
        <v>-57.227272727272748</v>
      </c>
      <c r="C57" s="53">
        <f>'Расчет субсидий'!D59-1</f>
        <v>-0.26209333495796272</v>
      </c>
      <c r="D57" s="53">
        <f>C57*'Расчет субсидий'!E59</f>
        <v>-3.9314000243694407</v>
      </c>
      <c r="E57" s="54">
        <f t="shared" ref="E57:E120" si="9">$B57*D57/$X57</f>
        <v>-37.010528301612268</v>
      </c>
      <c r="F57" s="53">
        <f>'Расчет субсидий'!F59-1</f>
        <v>0</v>
      </c>
      <c r="G57" s="53">
        <f>F57*'Расчет субсидий'!G59</f>
        <v>0</v>
      </c>
      <c r="H57" s="54">
        <f t="shared" ref="H57:H120" si="10">$B57*G57/$X57</f>
        <v>0</v>
      </c>
      <c r="I57" s="53">
        <f>'Расчет субсидий'!J59-1</f>
        <v>-6.4750000000000085E-2</v>
      </c>
      <c r="J57" s="53">
        <f>I57*'Расчет субсидий'!K59</f>
        <v>-0.64750000000000085</v>
      </c>
      <c r="K57" s="54">
        <f t="shared" ref="K57:K120" si="11">$B57*J57/$X57</f>
        <v>-6.095619099238732</v>
      </c>
      <c r="L57" s="53" t="s">
        <v>394</v>
      </c>
      <c r="M57" s="53" t="s">
        <v>394</v>
      </c>
      <c r="N57" s="55" t="s">
        <v>394</v>
      </c>
      <c r="O57" s="53" t="s">
        <v>394</v>
      </c>
      <c r="P57" s="53" t="s">
        <v>394</v>
      </c>
      <c r="Q57" s="55" t="s">
        <v>394</v>
      </c>
      <c r="R57" s="53" t="s">
        <v>394</v>
      </c>
      <c r="S57" s="53" t="s">
        <v>394</v>
      </c>
      <c r="T57" s="55" t="s">
        <v>394</v>
      </c>
      <c r="U57" s="53">
        <f>'Расчет субсидий'!Z59-1</f>
        <v>-9.9999999999999978E-2</v>
      </c>
      <c r="V57" s="53">
        <f>U57*'Расчет субсидий'!AA59</f>
        <v>-1.4999999999999996</v>
      </c>
      <c r="W57" s="54">
        <f t="shared" ref="W57:W120" si="12">$B57*V57/$X57</f>
        <v>-14.121125326421749</v>
      </c>
      <c r="X57" s="56">
        <f t="shared" ref="X57:X120" si="13">D57+G57+J57+V57</f>
        <v>-6.0789000243694407</v>
      </c>
    </row>
    <row r="58" spans="1:24" ht="15" customHeight="1">
      <c r="A58" s="64" t="s">
        <v>43</v>
      </c>
      <c r="B58" s="52">
        <f>'Расчет субсидий'!AF60</f>
        <v>-38.363636363636374</v>
      </c>
      <c r="C58" s="53">
        <f>'Расчет субсидий'!D60-1</f>
        <v>-9.0493962678375395E-2</v>
      </c>
      <c r="D58" s="53">
        <f>C58*'Расчет субсидий'!E60</f>
        <v>-1.3574094401756309</v>
      </c>
      <c r="E58" s="54">
        <f t="shared" si="9"/>
        <v>-14.857776798037795</v>
      </c>
      <c r="F58" s="53">
        <f>'Расчет субсидий'!F60-1</f>
        <v>0</v>
      </c>
      <c r="G58" s="53">
        <f>F58*'Расчет субсидий'!G60</f>
        <v>0</v>
      </c>
      <c r="H58" s="54">
        <f t="shared" si="10"/>
        <v>0</v>
      </c>
      <c r="I58" s="53">
        <f>'Расчет субсидий'!J60-1</f>
        <v>-6.4750000000000085E-2</v>
      </c>
      <c r="J58" s="53">
        <f>I58*'Расчет субсидий'!K60</f>
        <v>-0.64750000000000085</v>
      </c>
      <c r="K58" s="54">
        <f t="shared" si="11"/>
        <v>-7.0873313474854944</v>
      </c>
      <c r="L58" s="53" t="s">
        <v>394</v>
      </c>
      <c r="M58" s="53" t="s">
        <v>394</v>
      </c>
      <c r="N58" s="55" t="s">
        <v>394</v>
      </c>
      <c r="O58" s="53" t="s">
        <v>394</v>
      </c>
      <c r="P58" s="53" t="s">
        <v>394</v>
      </c>
      <c r="Q58" s="55" t="s">
        <v>394</v>
      </c>
      <c r="R58" s="53" t="s">
        <v>394</v>
      </c>
      <c r="S58" s="53" t="s">
        <v>394</v>
      </c>
      <c r="T58" s="55" t="s">
        <v>394</v>
      </c>
      <c r="U58" s="53">
        <f>'Расчет субсидий'!Z60-1</f>
        <v>-9.9999999999999978E-2</v>
      </c>
      <c r="V58" s="53">
        <f>U58*'Расчет субсидий'!AA60</f>
        <v>-1.4999999999999996</v>
      </c>
      <c r="W58" s="54">
        <f t="shared" si="12"/>
        <v>-16.418528218113089</v>
      </c>
      <c r="X58" s="56">
        <f t="shared" si="13"/>
        <v>-3.5049094401756311</v>
      </c>
    </row>
    <row r="59" spans="1:24" ht="15" customHeight="1">
      <c r="A59" s="64" t="s">
        <v>44</v>
      </c>
      <c r="B59" s="52">
        <f>'Расчет субсидий'!AF61</f>
        <v>-80.218181818181847</v>
      </c>
      <c r="C59" s="53">
        <f>'Расчет субсидий'!D61-1</f>
        <v>-0.39267461669505965</v>
      </c>
      <c r="D59" s="53">
        <f>C59*'Расчет субсидий'!E61</f>
        <v>-5.8901192504258946</v>
      </c>
      <c r="E59" s="54">
        <f t="shared" si="9"/>
        <v>-58.785399288029353</v>
      </c>
      <c r="F59" s="53">
        <f>'Расчет субсидий'!F61-1</f>
        <v>0</v>
      </c>
      <c r="G59" s="53">
        <f>F59*'Расчет субсидий'!G61</f>
        <v>0</v>
      </c>
      <c r="H59" s="54">
        <f t="shared" si="10"/>
        <v>0</v>
      </c>
      <c r="I59" s="53">
        <f>'Расчет субсидий'!J61-1</f>
        <v>-6.4750000000000085E-2</v>
      </c>
      <c r="J59" s="53">
        <f>I59*'Расчет субсидий'!K61</f>
        <v>-0.64750000000000085</v>
      </c>
      <c r="K59" s="54">
        <f t="shared" si="11"/>
        <v>-6.4622708676478515</v>
      </c>
      <c r="L59" s="53" t="s">
        <v>394</v>
      </c>
      <c r="M59" s="53" t="s">
        <v>394</v>
      </c>
      <c r="N59" s="55" t="s">
        <v>394</v>
      </c>
      <c r="O59" s="53" t="s">
        <v>394</v>
      </c>
      <c r="P59" s="53" t="s">
        <v>394</v>
      </c>
      <c r="Q59" s="55" t="s">
        <v>394</v>
      </c>
      <c r="R59" s="53" t="s">
        <v>394</v>
      </c>
      <c r="S59" s="53" t="s">
        <v>394</v>
      </c>
      <c r="T59" s="55" t="s">
        <v>394</v>
      </c>
      <c r="U59" s="53">
        <f>'Расчет субсидий'!Z61-1</f>
        <v>-9.9999999999999978E-2</v>
      </c>
      <c r="V59" s="53">
        <f>U59*'Расчет субсидий'!AA61</f>
        <v>-1.4999999999999996</v>
      </c>
      <c r="W59" s="54">
        <f t="shared" si="12"/>
        <v>-14.970511662504649</v>
      </c>
      <c r="X59" s="56">
        <f t="shared" si="13"/>
        <v>-8.0376192504258945</v>
      </c>
    </row>
    <row r="60" spans="1:24" ht="15" customHeight="1">
      <c r="A60" s="64" t="s">
        <v>45</v>
      </c>
      <c r="B60" s="52">
        <f>'Расчет субсидий'!AF62</f>
        <v>8.1727272727272293</v>
      </c>
      <c r="C60" s="53">
        <f>'Расчет субсидий'!D62-1</f>
        <v>0.23824058545509974</v>
      </c>
      <c r="D60" s="53">
        <f>C60*'Расчет субсидий'!E62</f>
        <v>3.5736087818264961</v>
      </c>
      <c r="E60" s="54">
        <f t="shared" si="9"/>
        <v>20.479594772486461</v>
      </c>
      <c r="F60" s="53">
        <f>'Расчет субсидий'!F62-1</f>
        <v>0</v>
      </c>
      <c r="G60" s="53">
        <f>F60*'Расчет субсидий'!G62</f>
        <v>0</v>
      </c>
      <c r="H60" s="54">
        <f t="shared" si="10"/>
        <v>0</v>
      </c>
      <c r="I60" s="53">
        <f>'Расчет субсидий'!J62-1</f>
        <v>-6.4750000000000085E-2</v>
      </c>
      <c r="J60" s="53">
        <f>I60*'Расчет субсидий'!K62</f>
        <v>-0.64750000000000085</v>
      </c>
      <c r="K60" s="54">
        <f t="shared" si="11"/>
        <v>-3.7106853113360234</v>
      </c>
      <c r="L60" s="53" t="s">
        <v>394</v>
      </c>
      <c r="M60" s="53" t="s">
        <v>394</v>
      </c>
      <c r="N60" s="55" t="s">
        <v>394</v>
      </c>
      <c r="O60" s="53" t="s">
        <v>394</v>
      </c>
      <c r="P60" s="53" t="s">
        <v>394</v>
      </c>
      <c r="Q60" s="55" t="s">
        <v>394</v>
      </c>
      <c r="R60" s="53" t="s">
        <v>394</v>
      </c>
      <c r="S60" s="53" t="s">
        <v>394</v>
      </c>
      <c r="T60" s="55" t="s">
        <v>394</v>
      </c>
      <c r="U60" s="53">
        <f>'Расчет субсидий'!Z62-1</f>
        <v>-9.9999999999999978E-2</v>
      </c>
      <c r="V60" s="53">
        <f>U60*'Расчет субсидий'!AA62</f>
        <v>-1.4999999999999996</v>
      </c>
      <c r="W60" s="54">
        <f t="shared" si="12"/>
        <v>-8.5961821884232084</v>
      </c>
      <c r="X60" s="56">
        <f t="shared" si="13"/>
        <v>1.4261087818264957</v>
      </c>
    </row>
    <row r="61" spans="1:24" ht="15" customHeight="1">
      <c r="A61" s="64" t="s">
        <v>46</v>
      </c>
      <c r="B61" s="52">
        <f>'Расчет субсидий'!AF63</f>
        <v>-49.672727272727229</v>
      </c>
      <c r="C61" s="53">
        <f>'Расчет субсидий'!D63-1</f>
        <v>-0.10195674562306889</v>
      </c>
      <c r="D61" s="53">
        <f>C61*'Расчет субсидий'!E63</f>
        <v>-1.5293511843460332</v>
      </c>
      <c r="E61" s="54">
        <f t="shared" si="9"/>
        <v>-20.660897184979333</v>
      </c>
      <c r="F61" s="53">
        <f>'Расчет субсидий'!F63-1</f>
        <v>0</v>
      </c>
      <c r="G61" s="53">
        <f>F61*'Расчет субсидий'!G63</f>
        <v>0</v>
      </c>
      <c r="H61" s="54">
        <f t="shared" si="10"/>
        <v>0</v>
      </c>
      <c r="I61" s="53">
        <f>'Расчет субсидий'!J63-1</f>
        <v>-6.4750000000000085E-2</v>
      </c>
      <c r="J61" s="53">
        <f>I61*'Расчет субсидий'!K63</f>
        <v>-0.64750000000000085</v>
      </c>
      <c r="K61" s="54">
        <f t="shared" si="11"/>
        <v>-8.7474551719752203</v>
      </c>
      <c r="L61" s="53" t="s">
        <v>394</v>
      </c>
      <c r="M61" s="53" t="s">
        <v>394</v>
      </c>
      <c r="N61" s="55" t="s">
        <v>394</v>
      </c>
      <c r="O61" s="53" t="s">
        <v>394</v>
      </c>
      <c r="P61" s="53" t="s">
        <v>394</v>
      </c>
      <c r="Q61" s="55" t="s">
        <v>394</v>
      </c>
      <c r="R61" s="53" t="s">
        <v>394</v>
      </c>
      <c r="S61" s="53" t="s">
        <v>394</v>
      </c>
      <c r="T61" s="55" t="s">
        <v>394</v>
      </c>
      <c r="U61" s="53">
        <f>'Расчет субсидий'!Z63-1</f>
        <v>-9.9999999999999978E-2</v>
      </c>
      <c r="V61" s="53">
        <f>U61*'Расчет субсидий'!AA63</f>
        <v>-1.4999999999999996</v>
      </c>
      <c r="W61" s="54">
        <f t="shared" si="12"/>
        <v>-20.264374915772674</v>
      </c>
      <c r="X61" s="56">
        <f t="shared" si="13"/>
        <v>-3.6768511843460336</v>
      </c>
    </row>
    <row r="62" spans="1:24" ht="15" customHeight="1">
      <c r="A62" s="60" t="s">
        <v>47</v>
      </c>
      <c r="B62" s="61"/>
      <c r="C62" s="62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ht="15" customHeight="1">
      <c r="A63" s="64" t="s">
        <v>48</v>
      </c>
      <c r="B63" s="52">
        <f>'Расчет субсидий'!AF65</f>
        <v>0.65454545454545432</v>
      </c>
      <c r="C63" s="53">
        <f>'Расчет субсидий'!D65-1</f>
        <v>-0.18197685940334463</v>
      </c>
      <c r="D63" s="53">
        <f>C63*'Расчет субсидий'!E65</f>
        <v>-2.7296528910501694</v>
      </c>
      <c r="E63" s="54">
        <f t="shared" si="9"/>
        <v>-0.82229339292901116</v>
      </c>
      <c r="F63" s="53">
        <f>'Расчет субсидий'!F65-1</f>
        <v>0</v>
      </c>
      <c r="G63" s="53">
        <f>F63*'Расчет субсидий'!G65</f>
        <v>0</v>
      </c>
      <c r="H63" s="54">
        <f t="shared" si="10"/>
        <v>0</v>
      </c>
      <c r="I63" s="53">
        <f>'Расчет субсидий'!J65-1</f>
        <v>4.0245630609352823E-2</v>
      </c>
      <c r="J63" s="53">
        <f>I63*'Расчет субсидий'!K65</f>
        <v>0.40245630609352823</v>
      </c>
      <c r="K63" s="54">
        <f t="shared" si="11"/>
        <v>0.12123781837917265</v>
      </c>
      <c r="L63" s="53" t="s">
        <v>394</v>
      </c>
      <c r="M63" s="53" t="s">
        <v>394</v>
      </c>
      <c r="N63" s="55" t="s">
        <v>394</v>
      </c>
      <c r="O63" s="53" t="s">
        <v>394</v>
      </c>
      <c r="P63" s="53" t="s">
        <v>394</v>
      </c>
      <c r="Q63" s="55" t="s">
        <v>394</v>
      </c>
      <c r="R63" s="53" t="s">
        <v>394</v>
      </c>
      <c r="S63" s="53" t="s">
        <v>394</v>
      </c>
      <c r="T63" s="55" t="s">
        <v>394</v>
      </c>
      <c r="U63" s="53">
        <f>'Расчет субсидий'!Z65-1</f>
        <v>0.30000000000000004</v>
      </c>
      <c r="V63" s="53">
        <f>U63*'Расчет субсидий'!AA65</f>
        <v>4.5000000000000009</v>
      </c>
      <c r="W63" s="54">
        <f t="shared" si="12"/>
        <v>1.3556010290952927</v>
      </c>
      <c r="X63" s="56">
        <f t="shared" si="13"/>
        <v>2.1728034150433597</v>
      </c>
    </row>
    <row r="64" spans="1:24" ht="15" customHeight="1">
      <c r="A64" s="64" t="s">
        <v>49</v>
      </c>
      <c r="B64" s="52">
        <f>'Расчет субсидий'!AF66</f>
        <v>45.490909090909042</v>
      </c>
      <c r="C64" s="53">
        <f>'Расчет субсидий'!D66-1</f>
        <v>0.30000000000000004</v>
      </c>
      <c r="D64" s="53">
        <f>C64*'Расчет субсидий'!E66</f>
        <v>4.5000000000000009</v>
      </c>
      <c r="E64" s="54">
        <f t="shared" si="9"/>
        <v>21.771873672672445</v>
      </c>
      <c r="F64" s="53">
        <f>'Расчет субсидий'!F66-1</f>
        <v>0</v>
      </c>
      <c r="G64" s="53">
        <f>F64*'Расчет субсидий'!G66</f>
        <v>0</v>
      </c>
      <c r="H64" s="54">
        <f t="shared" si="10"/>
        <v>0</v>
      </c>
      <c r="I64" s="53">
        <f>'Расчет субсидий'!J66-1</f>
        <v>4.0245630609352823E-2</v>
      </c>
      <c r="J64" s="53">
        <f>I64*'Расчет субсидий'!K66</f>
        <v>0.40245630609352823</v>
      </c>
      <c r="K64" s="54">
        <f t="shared" si="11"/>
        <v>1.947161745564153</v>
      </c>
      <c r="L64" s="53" t="s">
        <v>394</v>
      </c>
      <c r="M64" s="53" t="s">
        <v>394</v>
      </c>
      <c r="N64" s="55" t="s">
        <v>394</v>
      </c>
      <c r="O64" s="53" t="s">
        <v>394</v>
      </c>
      <c r="P64" s="53" t="s">
        <v>394</v>
      </c>
      <c r="Q64" s="55" t="s">
        <v>394</v>
      </c>
      <c r="R64" s="53" t="s">
        <v>394</v>
      </c>
      <c r="S64" s="53" t="s">
        <v>394</v>
      </c>
      <c r="T64" s="55" t="s">
        <v>394</v>
      </c>
      <c r="U64" s="53">
        <f>'Расчет субсидий'!Z66-1</f>
        <v>0.30000000000000004</v>
      </c>
      <c r="V64" s="53">
        <f>U64*'Расчет субсидий'!AA66</f>
        <v>4.5000000000000009</v>
      </c>
      <c r="W64" s="54">
        <f t="shared" si="12"/>
        <v>21.771873672672445</v>
      </c>
      <c r="X64" s="56">
        <f t="shared" si="13"/>
        <v>9.40245630609353</v>
      </c>
    </row>
    <row r="65" spans="1:24" ht="15" customHeight="1">
      <c r="A65" s="64" t="s">
        <v>50</v>
      </c>
      <c r="B65" s="52">
        <f>'Расчет субсидий'!AF67</f>
        <v>8.5727272727272634</v>
      </c>
      <c r="C65" s="53">
        <f>'Расчет субсидий'!D67-1</f>
        <v>0.23784934397651147</v>
      </c>
      <c r="D65" s="53">
        <f>C65*'Расчет субсидий'!E67</f>
        <v>3.5677401596476721</v>
      </c>
      <c r="E65" s="54">
        <f t="shared" si="9"/>
        <v>3.6109272662472409</v>
      </c>
      <c r="F65" s="53">
        <f>'Расчет субсидий'!F67-1</f>
        <v>0</v>
      </c>
      <c r="G65" s="53">
        <f>F65*'Расчет субсидий'!G67</f>
        <v>0</v>
      </c>
      <c r="H65" s="54">
        <f t="shared" si="10"/>
        <v>0</v>
      </c>
      <c r="I65" s="53">
        <f>'Расчет субсидий'!J67-1</f>
        <v>4.0245630609352823E-2</v>
      </c>
      <c r="J65" s="53">
        <f>I65*'Расчет субсидий'!K67</f>
        <v>0.40245630609352823</v>
      </c>
      <c r="K65" s="54">
        <f t="shared" si="11"/>
        <v>0.40732799590701685</v>
      </c>
      <c r="L65" s="53" t="s">
        <v>394</v>
      </c>
      <c r="M65" s="53" t="s">
        <v>394</v>
      </c>
      <c r="N65" s="55" t="s">
        <v>394</v>
      </c>
      <c r="O65" s="53" t="s">
        <v>394</v>
      </c>
      <c r="P65" s="53" t="s">
        <v>394</v>
      </c>
      <c r="Q65" s="55" t="s">
        <v>394</v>
      </c>
      <c r="R65" s="53" t="s">
        <v>394</v>
      </c>
      <c r="S65" s="53" t="s">
        <v>394</v>
      </c>
      <c r="T65" s="55" t="s">
        <v>394</v>
      </c>
      <c r="U65" s="53">
        <f>'Расчет субсидий'!Z67-1</f>
        <v>0.30000000000000004</v>
      </c>
      <c r="V65" s="53">
        <f>U65*'Расчет субсидий'!AA67</f>
        <v>4.5000000000000009</v>
      </c>
      <c r="W65" s="54">
        <f t="shared" si="12"/>
        <v>4.5544720105730052</v>
      </c>
      <c r="X65" s="56">
        <f t="shared" si="13"/>
        <v>8.4701964657412017</v>
      </c>
    </row>
    <row r="66" spans="1:24" ht="15" customHeight="1">
      <c r="A66" s="64" t="s">
        <v>51</v>
      </c>
      <c r="B66" s="52">
        <f>'Расчет субсидий'!AF68</f>
        <v>47.154545454545428</v>
      </c>
      <c r="C66" s="53">
        <f>'Расчет субсидий'!D68-1</f>
        <v>8.5082458770614711E-2</v>
      </c>
      <c r="D66" s="53">
        <f>C66*'Расчет субсидий'!E68</f>
        <v>1.2762368815592207</v>
      </c>
      <c r="E66" s="54">
        <f t="shared" si="9"/>
        <v>9.739983555505491</v>
      </c>
      <c r="F66" s="53">
        <f>'Расчет субсидий'!F68-1</f>
        <v>0</v>
      </c>
      <c r="G66" s="53">
        <f>F66*'Расчет субсидий'!G68</f>
        <v>0</v>
      </c>
      <c r="H66" s="54">
        <f t="shared" si="10"/>
        <v>0</v>
      </c>
      <c r="I66" s="53">
        <f>'Расчет субсидий'!J68-1</f>
        <v>4.0245630609352823E-2</v>
      </c>
      <c r="J66" s="53">
        <f>I66*'Расчет субсидий'!K68</f>
        <v>0.40245630609352823</v>
      </c>
      <c r="K66" s="54">
        <f t="shared" si="11"/>
        <v>3.0714656971606686</v>
      </c>
      <c r="L66" s="53" t="s">
        <v>394</v>
      </c>
      <c r="M66" s="53" t="s">
        <v>394</v>
      </c>
      <c r="N66" s="55" t="s">
        <v>394</v>
      </c>
      <c r="O66" s="53" t="s">
        <v>394</v>
      </c>
      <c r="P66" s="53" t="s">
        <v>394</v>
      </c>
      <c r="Q66" s="55" t="s">
        <v>394</v>
      </c>
      <c r="R66" s="53" t="s">
        <v>394</v>
      </c>
      <c r="S66" s="53" t="s">
        <v>394</v>
      </c>
      <c r="T66" s="55" t="s">
        <v>394</v>
      </c>
      <c r="U66" s="53">
        <f>'Расчет субсидий'!Z68-1</f>
        <v>0.30000000000000004</v>
      </c>
      <c r="V66" s="53">
        <f>U66*'Расчет субсидий'!AA68</f>
        <v>4.5000000000000009</v>
      </c>
      <c r="W66" s="54">
        <f t="shared" si="12"/>
        <v>34.34309620187927</v>
      </c>
      <c r="X66" s="56">
        <f t="shared" si="13"/>
        <v>6.1786931876527493</v>
      </c>
    </row>
    <row r="67" spans="1:24" ht="15" customHeight="1">
      <c r="A67" s="64" t="s">
        <v>52</v>
      </c>
      <c r="B67" s="52">
        <f>'Расчет субсидий'!AF69</f>
        <v>5.7363636363636488</v>
      </c>
      <c r="C67" s="53">
        <f>'Расчет субсидий'!D69-1</f>
        <v>-0.28405887879736924</v>
      </c>
      <c r="D67" s="53">
        <f>C67*'Расчет субсидий'!E69</f>
        <v>-4.2608831819605388</v>
      </c>
      <c r="E67" s="54">
        <f t="shared" si="9"/>
        <v>-38.096943940446835</v>
      </c>
      <c r="F67" s="53">
        <f>'Расчет субсидий'!F69-1</f>
        <v>0</v>
      </c>
      <c r="G67" s="53">
        <f>F67*'Расчет субсидий'!G69</f>
        <v>0</v>
      </c>
      <c r="H67" s="54">
        <f t="shared" si="10"/>
        <v>0</v>
      </c>
      <c r="I67" s="53">
        <f>'Расчет субсидий'!J69-1</f>
        <v>4.0245630609352823E-2</v>
      </c>
      <c r="J67" s="53">
        <f>I67*'Расчет субсидий'!K69</f>
        <v>0.40245630609352823</v>
      </c>
      <c r="K67" s="54">
        <f t="shared" si="11"/>
        <v>3.5983984251522378</v>
      </c>
      <c r="L67" s="53" t="s">
        <v>394</v>
      </c>
      <c r="M67" s="53" t="s">
        <v>394</v>
      </c>
      <c r="N67" s="55" t="s">
        <v>394</v>
      </c>
      <c r="O67" s="53" t="s">
        <v>394</v>
      </c>
      <c r="P67" s="53" t="s">
        <v>394</v>
      </c>
      <c r="Q67" s="55" t="s">
        <v>394</v>
      </c>
      <c r="R67" s="53" t="s">
        <v>394</v>
      </c>
      <c r="S67" s="53" t="s">
        <v>394</v>
      </c>
      <c r="T67" s="55" t="s">
        <v>394</v>
      </c>
      <c r="U67" s="53">
        <f>'Расчет субсидий'!Z69-1</f>
        <v>0.30000000000000004</v>
      </c>
      <c r="V67" s="53">
        <f>U67*'Расчет субсидий'!AA69</f>
        <v>4.5000000000000009</v>
      </c>
      <c r="W67" s="54">
        <f t="shared" si="12"/>
        <v>40.234909151658243</v>
      </c>
      <c r="X67" s="56">
        <f t="shared" si="13"/>
        <v>0.64157312413299028</v>
      </c>
    </row>
    <row r="68" spans="1:24" ht="15" customHeight="1">
      <c r="A68" s="64" t="s">
        <v>53</v>
      </c>
      <c r="B68" s="52">
        <f>'Расчет субсидий'!AF70</f>
        <v>-46.199999999999989</v>
      </c>
      <c r="C68" s="53">
        <f>'Расчет субсидий'!D70-1</f>
        <v>-0.84572032405776687</v>
      </c>
      <c r="D68" s="53">
        <f>C68*'Расчет субсидий'!E70</f>
        <v>-12.685804860866503</v>
      </c>
      <c r="E68" s="54">
        <f t="shared" si="9"/>
        <v>-75.299747974492107</v>
      </c>
      <c r="F68" s="53">
        <f>'Расчет субсидий'!F70-1</f>
        <v>0</v>
      </c>
      <c r="G68" s="53">
        <f>F68*'Расчет субсидий'!G70</f>
        <v>0</v>
      </c>
      <c r="H68" s="54">
        <f t="shared" si="10"/>
        <v>0</v>
      </c>
      <c r="I68" s="53">
        <f>'Расчет субсидий'!J70-1</f>
        <v>4.0245630609352823E-2</v>
      </c>
      <c r="J68" s="53">
        <f>I68*'Расчет субсидий'!K70</f>
        <v>0.40245630609352823</v>
      </c>
      <c r="K68" s="54">
        <f t="shared" si="11"/>
        <v>2.3888794406000153</v>
      </c>
      <c r="L68" s="53" t="s">
        <v>394</v>
      </c>
      <c r="M68" s="53" t="s">
        <v>394</v>
      </c>
      <c r="N68" s="55" t="s">
        <v>394</v>
      </c>
      <c r="O68" s="53" t="s">
        <v>394</v>
      </c>
      <c r="P68" s="53" t="s">
        <v>394</v>
      </c>
      <c r="Q68" s="55" t="s">
        <v>394</v>
      </c>
      <c r="R68" s="53" t="s">
        <v>394</v>
      </c>
      <c r="S68" s="53" t="s">
        <v>394</v>
      </c>
      <c r="T68" s="55" t="s">
        <v>394</v>
      </c>
      <c r="U68" s="53">
        <f>'Расчет субсидий'!Z70-1</f>
        <v>0.30000000000000004</v>
      </c>
      <c r="V68" s="53">
        <f>U68*'Расчет субсидий'!AA70</f>
        <v>4.5000000000000009</v>
      </c>
      <c r="W68" s="54">
        <f t="shared" si="12"/>
        <v>26.7108685338921</v>
      </c>
      <c r="X68" s="56">
        <f t="shared" si="13"/>
        <v>-7.7833485547729735</v>
      </c>
    </row>
    <row r="69" spans="1:24" ht="15" customHeight="1">
      <c r="A69" s="64" t="s">
        <v>54</v>
      </c>
      <c r="B69" s="52">
        <f>'Расчет субсидий'!AF71</f>
        <v>66.590909090909122</v>
      </c>
      <c r="C69" s="53">
        <f>'Расчет субсидий'!D71-1</f>
        <v>0.2393669803250642</v>
      </c>
      <c r="D69" s="53">
        <f>C69*'Расчет субсидий'!E71</f>
        <v>3.5905047048759631</v>
      </c>
      <c r="E69" s="54">
        <f t="shared" si="9"/>
        <v>28.152133523757161</v>
      </c>
      <c r="F69" s="53">
        <f>'Расчет субсидий'!F71-1</f>
        <v>0</v>
      </c>
      <c r="G69" s="53">
        <f>F69*'Расчет субсидий'!G71</f>
        <v>0</v>
      </c>
      <c r="H69" s="54">
        <f t="shared" si="10"/>
        <v>0</v>
      </c>
      <c r="I69" s="53">
        <f>'Расчет субсидий'!J71-1</f>
        <v>4.0245630609352823E-2</v>
      </c>
      <c r="J69" s="53">
        <f>I69*'Расчет субсидий'!K71</f>
        <v>0.40245630609352823</v>
      </c>
      <c r="K69" s="54">
        <f t="shared" si="11"/>
        <v>3.1555462526582305</v>
      </c>
      <c r="L69" s="53" t="s">
        <v>394</v>
      </c>
      <c r="M69" s="53" t="s">
        <v>394</v>
      </c>
      <c r="N69" s="55" t="s">
        <v>394</v>
      </c>
      <c r="O69" s="53" t="s">
        <v>394</v>
      </c>
      <c r="P69" s="53" t="s">
        <v>394</v>
      </c>
      <c r="Q69" s="55" t="s">
        <v>394</v>
      </c>
      <c r="R69" s="53" t="s">
        <v>394</v>
      </c>
      <c r="S69" s="53" t="s">
        <v>394</v>
      </c>
      <c r="T69" s="55" t="s">
        <v>394</v>
      </c>
      <c r="U69" s="53">
        <f>'Расчет субсидий'!Z71-1</f>
        <v>0.30000000000000004</v>
      </c>
      <c r="V69" s="53">
        <f>U69*'Расчет субсидий'!AA71</f>
        <v>4.5000000000000009</v>
      </c>
      <c r="W69" s="54">
        <f t="shared" si="12"/>
        <v>35.283229314493738</v>
      </c>
      <c r="X69" s="56">
        <f t="shared" si="13"/>
        <v>8.4929610109694913</v>
      </c>
    </row>
    <row r="70" spans="1:24" ht="15" customHeight="1">
      <c r="A70" s="64" t="s">
        <v>55</v>
      </c>
      <c r="B70" s="52">
        <f>'Расчет субсидий'!AF72</f>
        <v>2</v>
      </c>
      <c r="C70" s="53">
        <f>'Расчет субсидий'!D72-1</f>
        <v>-8.8124572210813712E-3</v>
      </c>
      <c r="D70" s="53">
        <f>C70*'Расчет субсидий'!E72</f>
        <v>-0.13218685831622057</v>
      </c>
      <c r="E70" s="54">
        <f t="shared" si="9"/>
        <v>-5.5421128623169329E-2</v>
      </c>
      <c r="F70" s="53">
        <f>'Расчет субсидий'!F72-1</f>
        <v>0</v>
      </c>
      <c r="G70" s="53">
        <f>F70*'Расчет субсидий'!G72</f>
        <v>0</v>
      </c>
      <c r="H70" s="54">
        <f t="shared" si="10"/>
        <v>0</v>
      </c>
      <c r="I70" s="53">
        <f>'Расчет субсидий'!J72-1</f>
        <v>4.0245630609352823E-2</v>
      </c>
      <c r="J70" s="53">
        <f>I70*'Расчет субсидий'!K72</f>
        <v>0.40245630609352823</v>
      </c>
      <c r="K70" s="54">
        <f t="shared" si="11"/>
        <v>0.16873525091168654</v>
      </c>
      <c r="L70" s="53" t="s">
        <v>394</v>
      </c>
      <c r="M70" s="53" t="s">
        <v>394</v>
      </c>
      <c r="N70" s="55" t="s">
        <v>394</v>
      </c>
      <c r="O70" s="53" t="s">
        <v>394</v>
      </c>
      <c r="P70" s="53" t="s">
        <v>394</v>
      </c>
      <c r="Q70" s="55" t="s">
        <v>394</v>
      </c>
      <c r="R70" s="53" t="s">
        <v>394</v>
      </c>
      <c r="S70" s="53" t="s">
        <v>394</v>
      </c>
      <c r="T70" s="55" t="s">
        <v>394</v>
      </c>
      <c r="U70" s="53">
        <f>'Расчет субсидий'!Z72-1</f>
        <v>0.30000000000000004</v>
      </c>
      <c r="V70" s="53">
        <f>U70*'Расчет субсидий'!AA72</f>
        <v>4.5000000000000009</v>
      </c>
      <c r="W70" s="54">
        <f t="shared" si="12"/>
        <v>1.8866858777114828</v>
      </c>
      <c r="X70" s="56">
        <f t="shared" si="13"/>
        <v>4.7702694477773084</v>
      </c>
    </row>
    <row r="71" spans="1:24" ht="15" customHeight="1">
      <c r="A71" s="64" t="s">
        <v>56</v>
      </c>
      <c r="B71" s="52">
        <f>'Расчет субсидий'!AF73</f>
        <v>37.536363636363603</v>
      </c>
      <c r="C71" s="53">
        <f>'Расчет субсидий'!D73-1</f>
        <v>0.21187541418157707</v>
      </c>
      <c r="D71" s="53">
        <f>C71*'Расчет субсидий'!E73</f>
        <v>3.1781312127236561</v>
      </c>
      <c r="E71" s="54">
        <f t="shared" si="9"/>
        <v>14.763219704887813</v>
      </c>
      <c r="F71" s="53">
        <f>'Расчет субсидий'!F73-1</f>
        <v>0</v>
      </c>
      <c r="G71" s="53">
        <f>F71*'Расчет субсидий'!G73</f>
        <v>0</v>
      </c>
      <c r="H71" s="54">
        <f t="shared" si="10"/>
        <v>0</v>
      </c>
      <c r="I71" s="53">
        <f>'Расчет субсидий'!J73-1</f>
        <v>4.0245630609352823E-2</v>
      </c>
      <c r="J71" s="53">
        <f>I71*'Расчет субсидий'!K73</f>
        <v>0.40245630609352823</v>
      </c>
      <c r="K71" s="54">
        <f t="shared" si="11"/>
        <v>1.8695108762940069</v>
      </c>
      <c r="L71" s="53" t="s">
        <v>394</v>
      </c>
      <c r="M71" s="53" t="s">
        <v>394</v>
      </c>
      <c r="N71" s="55" t="s">
        <v>394</v>
      </c>
      <c r="O71" s="53" t="s">
        <v>394</v>
      </c>
      <c r="P71" s="53" t="s">
        <v>394</v>
      </c>
      <c r="Q71" s="55" t="s">
        <v>394</v>
      </c>
      <c r="R71" s="53" t="s">
        <v>394</v>
      </c>
      <c r="S71" s="53" t="s">
        <v>394</v>
      </c>
      <c r="T71" s="55" t="s">
        <v>394</v>
      </c>
      <c r="U71" s="53">
        <f>'Расчет субсидий'!Z73-1</f>
        <v>0.30000000000000004</v>
      </c>
      <c r="V71" s="53">
        <f>U71*'Расчет субсидий'!AA73</f>
        <v>4.5000000000000009</v>
      </c>
      <c r="W71" s="54">
        <f t="shared" si="12"/>
        <v>20.903633055181778</v>
      </c>
      <c r="X71" s="56">
        <f t="shared" si="13"/>
        <v>8.0805875188171861</v>
      </c>
    </row>
    <row r="72" spans="1:24" ht="15" customHeight="1">
      <c r="A72" s="64" t="s">
        <v>57</v>
      </c>
      <c r="B72" s="52">
        <f>'Расчет субсидий'!AF74</f>
        <v>49.963636363636397</v>
      </c>
      <c r="C72" s="53">
        <f>'Расчет субсидий'!D74-1</f>
        <v>0.30000000000000004</v>
      </c>
      <c r="D72" s="53">
        <f>C72*'Расчет субсидий'!E74</f>
        <v>4.5000000000000009</v>
      </c>
      <c r="E72" s="54">
        <f t="shared" si="9"/>
        <v>23.912513530177453</v>
      </c>
      <c r="F72" s="53">
        <f>'Расчет субсидий'!F74-1</f>
        <v>0</v>
      </c>
      <c r="G72" s="53">
        <f>F72*'Расчет субсидий'!G74</f>
        <v>0</v>
      </c>
      <c r="H72" s="54">
        <f t="shared" si="10"/>
        <v>0</v>
      </c>
      <c r="I72" s="53">
        <f>'Расчет субсидий'!J74-1</f>
        <v>4.0245630609352823E-2</v>
      </c>
      <c r="J72" s="53">
        <f>I72*'Расчет субсидий'!K74</f>
        <v>0.40245630609352823</v>
      </c>
      <c r="K72" s="54">
        <f t="shared" si="11"/>
        <v>2.1386093032814952</v>
      </c>
      <c r="L72" s="53" t="s">
        <v>394</v>
      </c>
      <c r="M72" s="53" t="s">
        <v>394</v>
      </c>
      <c r="N72" s="55" t="s">
        <v>394</v>
      </c>
      <c r="O72" s="53" t="s">
        <v>394</v>
      </c>
      <c r="P72" s="53" t="s">
        <v>394</v>
      </c>
      <c r="Q72" s="55" t="s">
        <v>394</v>
      </c>
      <c r="R72" s="53" t="s">
        <v>394</v>
      </c>
      <c r="S72" s="53" t="s">
        <v>394</v>
      </c>
      <c r="T72" s="55" t="s">
        <v>394</v>
      </c>
      <c r="U72" s="53">
        <f>'Расчет субсидий'!Z74-1</f>
        <v>0.30000000000000004</v>
      </c>
      <c r="V72" s="53">
        <f>U72*'Расчет субсидий'!AA74</f>
        <v>4.5000000000000009</v>
      </c>
      <c r="W72" s="54">
        <f t="shared" si="12"/>
        <v>23.912513530177453</v>
      </c>
      <c r="X72" s="56">
        <f t="shared" si="13"/>
        <v>9.40245630609353</v>
      </c>
    </row>
    <row r="73" spans="1:24" ht="15" customHeight="1">
      <c r="A73" s="64" t="s">
        <v>58</v>
      </c>
      <c r="B73" s="52">
        <f>'Расчет субсидий'!AF75</f>
        <v>51.845454545454572</v>
      </c>
      <c r="C73" s="53">
        <f>'Расчет субсидий'!D75-1</f>
        <v>0.30000000000000004</v>
      </c>
      <c r="D73" s="53">
        <f>C73*'Расчет субсидий'!E75</f>
        <v>4.5000000000000009</v>
      </c>
      <c r="E73" s="54">
        <f t="shared" si="9"/>
        <v>24.813148592176489</v>
      </c>
      <c r="F73" s="53">
        <f>'Расчет субсидий'!F75-1</f>
        <v>0</v>
      </c>
      <c r="G73" s="53">
        <f>F73*'Расчет субсидий'!G75</f>
        <v>0</v>
      </c>
      <c r="H73" s="54">
        <f t="shared" si="10"/>
        <v>0</v>
      </c>
      <c r="I73" s="53">
        <f>'Расчет субсидий'!J75-1</f>
        <v>4.0245630609352823E-2</v>
      </c>
      <c r="J73" s="53">
        <f>I73*'Расчет субсидий'!K75</f>
        <v>0.40245630609352823</v>
      </c>
      <c r="K73" s="54">
        <f t="shared" si="11"/>
        <v>2.2191573611015949</v>
      </c>
      <c r="L73" s="53" t="s">
        <v>394</v>
      </c>
      <c r="M73" s="53" t="s">
        <v>394</v>
      </c>
      <c r="N73" s="55" t="s">
        <v>394</v>
      </c>
      <c r="O73" s="53" t="s">
        <v>394</v>
      </c>
      <c r="P73" s="53" t="s">
        <v>394</v>
      </c>
      <c r="Q73" s="55" t="s">
        <v>394</v>
      </c>
      <c r="R73" s="53" t="s">
        <v>394</v>
      </c>
      <c r="S73" s="53" t="s">
        <v>394</v>
      </c>
      <c r="T73" s="55" t="s">
        <v>394</v>
      </c>
      <c r="U73" s="53">
        <f>'Расчет субсидий'!Z75-1</f>
        <v>0.30000000000000004</v>
      </c>
      <c r="V73" s="53">
        <f>U73*'Расчет субсидий'!AA75</f>
        <v>4.5000000000000009</v>
      </c>
      <c r="W73" s="54">
        <f t="shared" si="12"/>
        <v>24.813148592176489</v>
      </c>
      <c r="X73" s="56">
        <f t="shared" si="13"/>
        <v>9.40245630609353</v>
      </c>
    </row>
    <row r="74" spans="1:24" ht="15" customHeight="1">
      <c r="A74" s="64" t="s">
        <v>59</v>
      </c>
      <c r="B74" s="52">
        <f>'Расчет субсидий'!AF76</f>
        <v>-78.24545454545455</v>
      </c>
      <c r="C74" s="53">
        <f>'Расчет субсидий'!D76-1</f>
        <v>-1</v>
      </c>
      <c r="D74" s="53">
        <f>C74*'Расчет субсидий'!E76</f>
        <v>-15</v>
      </c>
      <c r="E74" s="54">
        <f t="shared" si="9"/>
        <v>-116.23438865534159</v>
      </c>
      <c r="F74" s="53">
        <f>'Расчет субсидий'!F76-1</f>
        <v>0</v>
      </c>
      <c r="G74" s="53">
        <f>F74*'Расчет субсидий'!G76</f>
        <v>0</v>
      </c>
      <c r="H74" s="54">
        <f t="shared" si="10"/>
        <v>0</v>
      </c>
      <c r="I74" s="53">
        <f>'Расчет субсидий'!J76-1</f>
        <v>4.0245630609352823E-2</v>
      </c>
      <c r="J74" s="53">
        <f>I74*'Расчет субсидий'!K76</f>
        <v>0.40245630609352823</v>
      </c>
      <c r="K74" s="54">
        <f t="shared" si="11"/>
        <v>3.1186175132845522</v>
      </c>
      <c r="L74" s="53" t="s">
        <v>394</v>
      </c>
      <c r="M74" s="53" t="s">
        <v>394</v>
      </c>
      <c r="N74" s="55" t="s">
        <v>394</v>
      </c>
      <c r="O74" s="53" t="s">
        <v>394</v>
      </c>
      <c r="P74" s="53" t="s">
        <v>394</v>
      </c>
      <c r="Q74" s="55" t="s">
        <v>394</v>
      </c>
      <c r="R74" s="53" t="s">
        <v>394</v>
      </c>
      <c r="S74" s="53" t="s">
        <v>394</v>
      </c>
      <c r="T74" s="55" t="s">
        <v>394</v>
      </c>
      <c r="U74" s="53">
        <f>'Расчет субсидий'!Z76-1</f>
        <v>0.30000000000000004</v>
      </c>
      <c r="V74" s="53">
        <f>U74*'Расчет субсидий'!AA76</f>
        <v>4.5000000000000009</v>
      </c>
      <c r="W74" s="54">
        <f t="shared" si="12"/>
        <v>34.870316596602486</v>
      </c>
      <c r="X74" s="56">
        <f t="shared" si="13"/>
        <v>-10.09754369390647</v>
      </c>
    </row>
    <row r="75" spans="1:24" ht="15" customHeight="1">
      <c r="A75" s="60" t="s">
        <v>60</v>
      </c>
      <c r="B75" s="61"/>
      <c r="C75" s="62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</row>
    <row r="76" spans="1:24" ht="15" customHeight="1">
      <c r="A76" s="64" t="s">
        <v>61</v>
      </c>
      <c r="B76" s="52">
        <f>'Расчет субсидий'!AF78</f>
        <v>46.627272727272725</v>
      </c>
      <c r="C76" s="53">
        <f>'Расчет субсидий'!D78-1</f>
        <v>-1.9886746663071331E-2</v>
      </c>
      <c r="D76" s="53">
        <f>C76*'Расчет субсидий'!E78</f>
        <v>-0.29830119994606996</v>
      </c>
      <c r="E76" s="54">
        <f t="shared" si="9"/>
        <v>-3.7229419979815255</v>
      </c>
      <c r="F76" s="53">
        <f>'Расчет субсидий'!F78-1</f>
        <v>0</v>
      </c>
      <c r="G76" s="53">
        <f>F76*'Расчет субсидий'!G78</f>
        <v>0</v>
      </c>
      <c r="H76" s="54">
        <f t="shared" si="10"/>
        <v>0</v>
      </c>
      <c r="I76" s="53">
        <f>'Расчет субсидий'!J78-1</f>
        <v>-4.6568265682656707E-2</v>
      </c>
      <c r="J76" s="53">
        <f>I76*'Расчет субсидий'!K78</f>
        <v>-0.46568265682656707</v>
      </c>
      <c r="K76" s="54">
        <f t="shared" si="11"/>
        <v>-5.8119428320928082</v>
      </c>
      <c r="L76" s="53" t="s">
        <v>394</v>
      </c>
      <c r="M76" s="53" t="s">
        <v>394</v>
      </c>
      <c r="N76" s="55" t="s">
        <v>394</v>
      </c>
      <c r="O76" s="53" t="s">
        <v>394</v>
      </c>
      <c r="P76" s="53" t="s">
        <v>394</v>
      </c>
      <c r="Q76" s="55" t="s">
        <v>394</v>
      </c>
      <c r="R76" s="53" t="s">
        <v>394</v>
      </c>
      <c r="S76" s="53" t="s">
        <v>394</v>
      </c>
      <c r="T76" s="55" t="s">
        <v>394</v>
      </c>
      <c r="U76" s="53">
        <f>'Расчет субсидий'!Z78-1</f>
        <v>0.30000000000000004</v>
      </c>
      <c r="V76" s="53">
        <f>U76*'Расчет субсидий'!AA78</f>
        <v>4.5000000000000009</v>
      </c>
      <c r="W76" s="54">
        <f t="shared" si="12"/>
        <v>56.162157557347051</v>
      </c>
      <c r="X76" s="56">
        <f t="shared" si="13"/>
        <v>3.736016143227364</v>
      </c>
    </row>
    <row r="77" spans="1:24" ht="15" customHeight="1">
      <c r="A77" s="64" t="s">
        <v>62</v>
      </c>
      <c r="B77" s="52">
        <f>'Расчет субсидий'!AF79</f>
        <v>4.5727272727272634</v>
      </c>
      <c r="C77" s="53">
        <f>'Расчет субсидий'!D79-1</f>
        <v>-0.23796823138928402</v>
      </c>
      <c r="D77" s="53">
        <f>C77*'Расчет субсидий'!E79</f>
        <v>-3.5695234708392602</v>
      </c>
      <c r="E77" s="54">
        <f t="shared" si="9"/>
        <v>-35.117625892475978</v>
      </c>
      <c r="F77" s="53">
        <f>'Расчет субсидий'!F79-1</f>
        <v>0</v>
      </c>
      <c r="G77" s="53">
        <f>F77*'Расчет субсидий'!G79</f>
        <v>0</v>
      </c>
      <c r="H77" s="54">
        <f t="shared" si="10"/>
        <v>0</v>
      </c>
      <c r="I77" s="53">
        <f>'Расчет субсидий'!J79-1</f>
        <v>-4.6568265682656707E-2</v>
      </c>
      <c r="J77" s="53">
        <f>I77*'Расчет субсидий'!K79</f>
        <v>-0.46568265682656707</v>
      </c>
      <c r="K77" s="54">
        <f t="shared" si="11"/>
        <v>-4.5814712974011105</v>
      </c>
      <c r="L77" s="53" t="s">
        <v>394</v>
      </c>
      <c r="M77" s="53" t="s">
        <v>394</v>
      </c>
      <c r="N77" s="55" t="s">
        <v>394</v>
      </c>
      <c r="O77" s="53" t="s">
        <v>394</v>
      </c>
      <c r="P77" s="53" t="s">
        <v>394</v>
      </c>
      <c r="Q77" s="55" t="s">
        <v>394</v>
      </c>
      <c r="R77" s="53" t="s">
        <v>394</v>
      </c>
      <c r="S77" s="53" t="s">
        <v>394</v>
      </c>
      <c r="T77" s="55" t="s">
        <v>394</v>
      </c>
      <c r="U77" s="53">
        <f>'Расчет субсидий'!Z79-1</f>
        <v>0.30000000000000004</v>
      </c>
      <c r="V77" s="53">
        <f>U77*'Расчет субсидий'!AA79</f>
        <v>4.5000000000000009</v>
      </c>
      <c r="W77" s="54">
        <f t="shared" si="12"/>
        <v>44.27182446260435</v>
      </c>
      <c r="X77" s="56">
        <f t="shared" si="13"/>
        <v>0.46479387233417402</v>
      </c>
    </row>
    <row r="78" spans="1:24" ht="15" customHeight="1">
      <c r="A78" s="64" t="s">
        <v>63</v>
      </c>
      <c r="B78" s="52">
        <f>'Расчет субсидий'!AF80</f>
        <v>-35.372727272727275</v>
      </c>
      <c r="C78" s="53">
        <f>'Расчет субсидий'!D80-1</f>
        <v>-0.46751662971175167</v>
      </c>
      <c r="D78" s="53">
        <f>C78*'Расчет субсидий'!E80</f>
        <v>-7.0127494456762749</v>
      </c>
      <c r="E78" s="54">
        <f t="shared" si="9"/>
        <v>-83.285455245203011</v>
      </c>
      <c r="F78" s="53">
        <f>'Расчет субсидий'!F80-1</f>
        <v>0</v>
      </c>
      <c r="G78" s="53">
        <f>F78*'Расчет субсидий'!G80</f>
        <v>0</v>
      </c>
      <c r="H78" s="54">
        <f t="shared" si="10"/>
        <v>0</v>
      </c>
      <c r="I78" s="53">
        <f>'Расчет субсидий'!J80-1</f>
        <v>-4.6568265682656707E-2</v>
      </c>
      <c r="J78" s="53">
        <f>I78*'Расчет субсидий'!K80</f>
        <v>-0.46568265682656707</v>
      </c>
      <c r="K78" s="54">
        <f t="shared" si="11"/>
        <v>-5.5305828867890048</v>
      </c>
      <c r="L78" s="53" t="s">
        <v>394</v>
      </c>
      <c r="M78" s="53" t="s">
        <v>394</v>
      </c>
      <c r="N78" s="55" t="s">
        <v>394</v>
      </c>
      <c r="O78" s="53" t="s">
        <v>394</v>
      </c>
      <c r="P78" s="53" t="s">
        <v>394</v>
      </c>
      <c r="Q78" s="55" t="s">
        <v>394</v>
      </c>
      <c r="R78" s="53" t="s">
        <v>394</v>
      </c>
      <c r="S78" s="53" t="s">
        <v>394</v>
      </c>
      <c r="T78" s="55" t="s">
        <v>394</v>
      </c>
      <c r="U78" s="53">
        <f>'Расчет субсидий'!Z80-1</f>
        <v>0.30000000000000004</v>
      </c>
      <c r="V78" s="53">
        <f>U78*'Расчет субсидий'!AA80</f>
        <v>4.5000000000000009</v>
      </c>
      <c r="W78" s="54">
        <f t="shared" si="12"/>
        <v>53.443310859264734</v>
      </c>
      <c r="X78" s="56">
        <f t="shared" si="13"/>
        <v>-2.9784321025028406</v>
      </c>
    </row>
    <row r="79" spans="1:24" ht="15" customHeight="1">
      <c r="A79" s="64" t="s">
        <v>64</v>
      </c>
      <c r="B79" s="52">
        <f>'Расчет субсидий'!AF81</f>
        <v>40.009090909090958</v>
      </c>
      <c r="C79" s="53">
        <f>'Расчет субсидий'!D81-1</f>
        <v>0.23448726496866246</v>
      </c>
      <c r="D79" s="53">
        <f>C79*'Расчет субсидий'!E81</f>
        <v>3.5173089745299366</v>
      </c>
      <c r="E79" s="54">
        <f t="shared" si="9"/>
        <v>18.634970613870017</v>
      </c>
      <c r="F79" s="53">
        <f>'Расчет субсидий'!F81-1</f>
        <v>0</v>
      </c>
      <c r="G79" s="53">
        <f>F79*'Расчет субсидий'!G81</f>
        <v>0</v>
      </c>
      <c r="H79" s="54">
        <f t="shared" si="10"/>
        <v>0</v>
      </c>
      <c r="I79" s="53">
        <f>'Расчет субсидий'!J81-1</f>
        <v>-4.6568265682656707E-2</v>
      </c>
      <c r="J79" s="53">
        <f>I79*'Расчет субсидий'!K81</f>
        <v>-0.46568265682656707</v>
      </c>
      <c r="K79" s="54">
        <f t="shared" si="11"/>
        <v>-2.4672221542640398</v>
      </c>
      <c r="L79" s="53" t="s">
        <v>394</v>
      </c>
      <c r="M79" s="53" t="s">
        <v>394</v>
      </c>
      <c r="N79" s="55" t="s">
        <v>394</v>
      </c>
      <c r="O79" s="53" t="s">
        <v>394</v>
      </c>
      <c r="P79" s="53" t="s">
        <v>394</v>
      </c>
      <c r="Q79" s="55" t="s">
        <v>394</v>
      </c>
      <c r="R79" s="53" t="s">
        <v>394</v>
      </c>
      <c r="S79" s="53" t="s">
        <v>394</v>
      </c>
      <c r="T79" s="55" t="s">
        <v>394</v>
      </c>
      <c r="U79" s="53">
        <f>'Расчет субсидий'!Z81-1</f>
        <v>0.30000000000000004</v>
      </c>
      <c r="V79" s="53">
        <f>U79*'Расчет субсидий'!AA81</f>
        <v>4.5000000000000009</v>
      </c>
      <c r="W79" s="54">
        <f t="shared" si="12"/>
        <v>23.841342449484983</v>
      </c>
      <c r="X79" s="56">
        <f t="shared" si="13"/>
        <v>7.55162631770337</v>
      </c>
    </row>
    <row r="80" spans="1:24" ht="15" customHeight="1">
      <c r="A80" s="64" t="s">
        <v>65</v>
      </c>
      <c r="B80" s="52">
        <f>'Расчет субсидий'!AF82</f>
        <v>-1.8363636363636715</v>
      </c>
      <c r="C80" s="53">
        <f>'Расчет субсидий'!D82-1</f>
        <v>-0.27772713460954124</v>
      </c>
      <c r="D80" s="53">
        <f>C80*'Расчет субсидий'!E82</f>
        <v>-4.1659070191431189</v>
      </c>
      <c r="E80" s="54">
        <f t="shared" si="9"/>
        <v>-58.136172963819902</v>
      </c>
      <c r="F80" s="53">
        <f>'Расчет субсидий'!F82-1</f>
        <v>0</v>
      </c>
      <c r="G80" s="53">
        <f>F80*'Расчет субсидий'!G82</f>
        <v>0</v>
      </c>
      <c r="H80" s="54">
        <f t="shared" si="10"/>
        <v>0</v>
      </c>
      <c r="I80" s="53">
        <f>'Расчет субсидий'!J82-1</f>
        <v>-4.6568265682656707E-2</v>
      </c>
      <c r="J80" s="53">
        <f>I80*'Расчет субсидий'!K82</f>
        <v>-0.46568265682656707</v>
      </c>
      <c r="K80" s="54">
        <f t="shared" si="11"/>
        <v>-6.4987066103767992</v>
      </c>
      <c r="L80" s="53" t="s">
        <v>394</v>
      </c>
      <c r="M80" s="53" t="s">
        <v>394</v>
      </c>
      <c r="N80" s="55" t="s">
        <v>394</v>
      </c>
      <c r="O80" s="53" t="s">
        <v>394</v>
      </c>
      <c r="P80" s="53" t="s">
        <v>394</v>
      </c>
      <c r="Q80" s="55" t="s">
        <v>394</v>
      </c>
      <c r="R80" s="53" t="s">
        <v>394</v>
      </c>
      <c r="S80" s="53" t="s">
        <v>394</v>
      </c>
      <c r="T80" s="55" t="s">
        <v>394</v>
      </c>
      <c r="U80" s="53">
        <f>'Расчет субсидий'!Z82-1</f>
        <v>0.30000000000000004</v>
      </c>
      <c r="V80" s="53">
        <f>U80*'Расчет субсидий'!AA82</f>
        <v>4.5000000000000009</v>
      </c>
      <c r="W80" s="54">
        <f t="shared" si="12"/>
        <v>62.798515937833024</v>
      </c>
      <c r="X80" s="56">
        <f t="shared" si="13"/>
        <v>-0.13158967596968463</v>
      </c>
    </row>
    <row r="81" spans="1:24" ht="15" customHeight="1">
      <c r="A81" s="60" t="s">
        <v>66</v>
      </c>
      <c r="B81" s="61"/>
      <c r="C81" s="62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</row>
    <row r="82" spans="1:24" ht="15" customHeight="1">
      <c r="A82" s="64" t="s">
        <v>67</v>
      </c>
      <c r="B82" s="52">
        <f>'Расчет субсидий'!AF84</f>
        <v>8.9181818181818073</v>
      </c>
      <c r="C82" s="53">
        <f>'Расчет субсидий'!D84-1</f>
        <v>0.30000000000000004</v>
      </c>
      <c r="D82" s="53">
        <f>C82*'Расчет субсидий'!E84</f>
        <v>4.5000000000000009</v>
      </c>
      <c r="E82" s="54">
        <f t="shared" si="9"/>
        <v>14.762545435677787</v>
      </c>
      <c r="F82" s="53">
        <f>'Расчет субсидий'!F84-1</f>
        <v>0</v>
      </c>
      <c r="G82" s="53">
        <f>F82*'Расчет субсидий'!G84</f>
        <v>0</v>
      </c>
      <c r="H82" s="54">
        <f t="shared" si="10"/>
        <v>0</v>
      </c>
      <c r="I82" s="53">
        <f>'Расчет субсидий'!J84-1</f>
        <v>-7.9936808846761465E-2</v>
      </c>
      <c r="J82" s="53">
        <f>I82*'Расчет субсидий'!K84</f>
        <v>-0.79936808846761465</v>
      </c>
      <c r="K82" s="54">
        <f t="shared" si="11"/>
        <v>-2.6223794946297909</v>
      </c>
      <c r="L82" s="53" t="s">
        <v>394</v>
      </c>
      <c r="M82" s="53" t="s">
        <v>394</v>
      </c>
      <c r="N82" s="55" t="s">
        <v>394</v>
      </c>
      <c r="O82" s="53" t="s">
        <v>394</v>
      </c>
      <c r="P82" s="53" t="s">
        <v>394</v>
      </c>
      <c r="Q82" s="55" t="s">
        <v>394</v>
      </c>
      <c r="R82" s="53" t="s">
        <v>394</v>
      </c>
      <c r="S82" s="53" t="s">
        <v>394</v>
      </c>
      <c r="T82" s="55" t="s">
        <v>394</v>
      </c>
      <c r="U82" s="53">
        <f>'Расчет субсидий'!Z84-1</f>
        <v>-6.5476190476190577E-2</v>
      </c>
      <c r="V82" s="53">
        <f>U82*'Расчет субсидий'!AA84</f>
        <v>-0.98214285714285865</v>
      </c>
      <c r="W82" s="54">
        <f t="shared" si="12"/>
        <v>-3.2219841228661878</v>
      </c>
      <c r="X82" s="56">
        <f t="shared" si="13"/>
        <v>2.7184890543895275</v>
      </c>
    </row>
    <row r="83" spans="1:24" ht="15" customHeight="1">
      <c r="A83" s="64" t="s">
        <v>68</v>
      </c>
      <c r="B83" s="52">
        <f>'Расчет субсидий'!AF85</f>
        <v>-9.4545454545454675</v>
      </c>
      <c r="C83" s="53">
        <f>'Расчет субсидий'!D85-1</f>
        <v>-8.297860578251981E-2</v>
      </c>
      <c r="D83" s="53">
        <f>C83*'Расчет субсидий'!E85</f>
        <v>-1.244679086737797</v>
      </c>
      <c r="E83" s="54">
        <f t="shared" si="9"/>
        <v>-3.8886768101449918</v>
      </c>
      <c r="F83" s="53">
        <f>'Расчет субсидий'!F85-1</f>
        <v>0</v>
      </c>
      <c r="G83" s="53">
        <f>F83*'Расчет субсидий'!G85</f>
        <v>0</v>
      </c>
      <c r="H83" s="54">
        <f t="shared" si="10"/>
        <v>0</v>
      </c>
      <c r="I83" s="53">
        <f>'Расчет субсидий'!J85-1</f>
        <v>-7.9936808846761465E-2</v>
      </c>
      <c r="J83" s="53">
        <f>I83*'Расчет субсидий'!K85</f>
        <v>-0.79936808846761465</v>
      </c>
      <c r="K83" s="54">
        <f t="shared" si="11"/>
        <v>-2.4974181550210091</v>
      </c>
      <c r="L83" s="53" t="s">
        <v>394</v>
      </c>
      <c r="M83" s="53" t="s">
        <v>394</v>
      </c>
      <c r="N83" s="55" t="s">
        <v>394</v>
      </c>
      <c r="O83" s="53" t="s">
        <v>394</v>
      </c>
      <c r="P83" s="53" t="s">
        <v>394</v>
      </c>
      <c r="Q83" s="55" t="s">
        <v>394</v>
      </c>
      <c r="R83" s="53" t="s">
        <v>394</v>
      </c>
      <c r="S83" s="53" t="s">
        <v>394</v>
      </c>
      <c r="T83" s="55" t="s">
        <v>394</v>
      </c>
      <c r="U83" s="53">
        <f>'Расчет субсидий'!Z85-1</f>
        <v>-6.5476190476190577E-2</v>
      </c>
      <c r="V83" s="53">
        <f>U83*'Расчет субсидий'!AA85</f>
        <v>-0.98214285714285865</v>
      </c>
      <c r="W83" s="54">
        <f t="shared" si="12"/>
        <v>-3.0684504893794662</v>
      </c>
      <c r="X83" s="56">
        <f t="shared" si="13"/>
        <v>-3.0261900323482704</v>
      </c>
    </row>
    <row r="84" spans="1:24" ht="15" customHeight="1">
      <c r="A84" s="64" t="s">
        <v>69</v>
      </c>
      <c r="B84" s="52">
        <f>'Расчет субсидий'!AF86</f>
        <v>12.554545454545433</v>
      </c>
      <c r="C84" s="53">
        <f>'Расчет субсидий'!D86-1</f>
        <v>0.30000000000000004</v>
      </c>
      <c r="D84" s="53">
        <f>C84*'Расчет субсидий'!E86</f>
        <v>4.5000000000000009</v>
      </c>
      <c r="E84" s="54">
        <f t="shared" si="9"/>
        <v>20.781931953793084</v>
      </c>
      <c r="F84" s="53">
        <f>'Расчет субсидий'!F86-1</f>
        <v>0</v>
      </c>
      <c r="G84" s="53">
        <f>F84*'Расчет субсидий'!G86</f>
        <v>0</v>
      </c>
      <c r="H84" s="54">
        <f t="shared" si="10"/>
        <v>0</v>
      </c>
      <c r="I84" s="53">
        <f>'Расчет субсидий'!J86-1</f>
        <v>-7.9936808846761465E-2</v>
      </c>
      <c r="J84" s="53">
        <f>I84*'Расчет субсидий'!K86</f>
        <v>-0.79936808846761465</v>
      </c>
      <c r="K84" s="54">
        <f t="shared" si="11"/>
        <v>-3.6916473823483584</v>
      </c>
      <c r="L84" s="53" t="s">
        <v>394</v>
      </c>
      <c r="M84" s="53" t="s">
        <v>394</v>
      </c>
      <c r="N84" s="55" t="s">
        <v>394</v>
      </c>
      <c r="O84" s="53" t="s">
        <v>394</v>
      </c>
      <c r="P84" s="53" t="s">
        <v>394</v>
      </c>
      <c r="Q84" s="55" t="s">
        <v>394</v>
      </c>
      <c r="R84" s="53" t="s">
        <v>394</v>
      </c>
      <c r="S84" s="53" t="s">
        <v>394</v>
      </c>
      <c r="T84" s="55" t="s">
        <v>394</v>
      </c>
      <c r="U84" s="53">
        <f>'Расчет субсидий'!Z86-1</f>
        <v>-6.5476190476190577E-2</v>
      </c>
      <c r="V84" s="53">
        <f>U84*'Расчет субсидий'!AA86</f>
        <v>-0.98214285714285865</v>
      </c>
      <c r="W84" s="54">
        <f t="shared" si="12"/>
        <v>-4.5357391168992898</v>
      </c>
      <c r="X84" s="56">
        <f t="shared" si="13"/>
        <v>2.7184890543895275</v>
      </c>
    </row>
    <row r="85" spans="1:24" ht="15" customHeight="1">
      <c r="A85" s="64" t="s">
        <v>70</v>
      </c>
      <c r="B85" s="52">
        <f>'Расчет субсидий'!AF87</f>
        <v>-15.709090909090946</v>
      </c>
      <c r="C85" s="53">
        <f>'Расчет субсидий'!D87-1</f>
        <v>-5.6323060573857608E-2</v>
      </c>
      <c r="D85" s="53">
        <f>C85*'Расчет субсидий'!E87</f>
        <v>-0.84484590860786413</v>
      </c>
      <c r="E85" s="54">
        <f t="shared" si="9"/>
        <v>-5.0532969886319785</v>
      </c>
      <c r="F85" s="53">
        <f>'Расчет субсидий'!F87-1</f>
        <v>0</v>
      </c>
      <c r="G85" s="53">
        <f>F85*'Расчет субсидий'!G87</f>
        <v>0</v>
      </c>
      <c r="H85" s="54">
        <f t="shared" si="10"/>
        <v>0</v>
      </c>
      <c r="I85" s="53">
        <f>'Расчет субсидий'!J87-1</f>
        <v>-7.9936808846761465E-2</v>
      </c>
      <c r="J85" s="53">
        <f>I85*'Расчет субсидий'!K87</f>
        <v>-0.79936808846761465</v>
      </c>
      <c r="K85" s="54">
        <f t="shared" si="11"/>
        <v>-4.7812794180634528</v>
      </c>
      <c r="L85" s="53" t="s">
        <v>394</v>
      </c>
      <c r="M85" s="53" t="s">
        <v>394</v>
      </c>
      <c r="N85" s="55" t="s">
        <v>394</v>
      </c>
      <c r="O85" s="53" t="s">
        <v>394</v>
      </c>
      <c r="P85" s="53" t="s">
        <v>394</v>
      </c>
      <c r="Q85" s="55" t="s">
        <v>394</v>
      </c>
      <c r="R85" s="53" t="s">
        <v>394</v>
      </c>
      <c r="S85" s="53" t="s">
        <v>394</v>
      </c>
      <c r="T85" s="55" t="s">
        <v>394</v>
      </c>
      <c r="U85" s="53">
        <f>'Расчет субсидий'!Z87-1</f>
        <v>-6.5476190476190577E-2</v>
      </c>
      <c r="V85" s="53">
        <f>U85*'Расчет субсидий'!AA87</f>
        <v>-0.98214285714285865</v>
      </c>
      <c r="W85" s="54">
        <f t="shared" si="12"/>
        <v>-5.8745145023955159</v>
      </c>
      <c r="X85" s="56">
        <f t="shared" si="13"/>
        <v>-2.6263568542183373</v>
      </c>
    </row>
    <row r="86" spans="1:24" ht="15" customHeight="1">
      <c r="A86" s="64" t="s">
        <v>71</v>
      </c>
      <c r="B86" s="52">
        <f>'Расчет субсидий'!AF88</f>
        <v>3.3090909090909122</v>
      </c>
      <c r="C86" s="53">
        <f>'Расчет субсидий'!D88-1</f>
        <v>0.21234254498714655</v>
      </c>
      <c r="D86" s="53">
        <f>C86*'Расчет субсидий'!E88</f>
        <v>3.1851381748071983</v>
      </c>
      <c r="E86" s="54">
        <f t="shared" si="9"/>
        <v>7.5090533720158419</v>
      </c>
      <c r="F86" s="53">
        <f>'Расчет субсидий'!F88-1</f>
        <v>0</v>
      </c>
      <c r="G86" s="53">
        <f>F86*'Расчет субсидий'!G88</f>
        <v>0</v>
      </c>
      <c r="H86" s="54">
        <f t="shared" si="10"/>
        <v>0</v>
      </c>
      <c r="I86" s="53">
        <f>'Расчет субсидий'!J88-1</f>
        <v>-7.9936808846761465E-2</v>
      </c>
      <c r="J86" s="53">
        <f>I86*'Расчет субсидий'!K88</f>
        <v>-0.79936808846761465</v>
      </c>
      <c r="K86" s="54">
        <f t="shared" si="11"/>
        <v>-1.8845328870396467</v>
      </c>
      <c r="L86" s="53" t="s">
        <v>394</v>
      </c>
      <c r="M86" s="53" t="s">
        <v>394</v>
      </c>
      <c r="N86" s="55" t="s">
        <v>394</v>
      </c>
      <c r="O86" s="53" t="s">
        <v>394</v>
      </c>
      <c r="P86" s="53" t="s">
        <v>394</v>
      </c>
      <c r="Q86" s="55" t="s">
        <v>394</v>
      </c>
      <c r="R86" s="53" t="s">
        <v>394</v>
      </c>
      <c r="S86" s="53" t="s">
        <v>394</v>
      </c>
      <c r="T86" s="55" t="s">
        <v>394</v>
      </c>
      <c r="U86" s="53">
        <f>'Расчет субсидий'!Z88-1</f>
        <v>-6.5476190476190577E-2</v>
      </c>
      <c r="V86" s="53">
        <f>U86*'Расчет субсидий'!AA88</f>
        <v>-0.98214285714285865</v>
      </c>
      <c r="W86" s="54">
        <f t="shared" si="12"/>
        <v>-2.3154295758852834</v>
      </c>
      <c r="X86" s="56">
        <f t="shared" si="13"/>
        <v>1.4036272291967249</v>
      </c>
    </row>
    <row r="87" spans="1:24" ht="15" customHeight="1">
      <c r="A87" s="64" t="s">
        <v>72</v>
      </c>
      <c r="B87" s="52">
        <f>'Расчет субсидий'!AF89</f>
        <v>-83.518181818181858</v>
      </c>
      <c r="C87" s="53">
        <f>'Расчет субсидий'!D89-1</f>
        <v>-0.52887236679058236</v>
      </c>
      <c r="D87" s="53">
        <f>C87*'Расчет субсидий'!E89</f>
        <v>-7.9330855018587352</v>
      </c>
      <c r="E87" s="54">
        <f t="shared" si="9"/>
        <v>-68.202202830157276</v>
      </c>
      <c r="F87" s="53">
        <f>'Расчет субсидий'!F89-1</f>
        <v>0</v>
      </c>
      <c r="G87" s="53">
        <f>F87*'Расчет субсидий'!G89</f>
        <v>0</v>
      </c>
      <c r="H87" s="54">
        <f t="shared" si="10"/>
        <v>0</v>
      </c>
      <c r="I87" s="53">
        <f>'Расчет субсидий'!J89-1</f>
        <v>-7.9936808846761465E-2</v>
      </c>
      <c r="J87" s="53">
        <f>I87*'Расчет субсидий'!K89</f>
        <v>-0.79936808846761465</v>
      </c>
      <c r="K87" s="54">
        <f t="shared" si="11"/>
        <v>-6.8723152539890755</v>
      </c>
      <c r="L87" s="53" t="s">
        <v>394</v>
      </c>
      <c r="M87" s="53" t="s">
        <v>394</v>
      </c>
      <c r="N87" s="55" t="s">
        <v>394</v>
      </c>
      <c r="O87" s="53" t="s">
        <v>394</v>
      </c>
      <c r="P87" s="53" t="s">
        <v>394</v>
      </c>
      <c r="Q87" s="55" t="s">
        <v>394</v>
      </c>
      <c r="R87" s="53" t="s">
        <v>394</v>
      </c>
      <c r="S87" s="53" t="s">
        <v>394</v>
      </c>
      <c r="T87" s="55" t="s">
        <v>394</v>
      </c>
      <c r="U87" s="53">
        <f>'Расчет субсидий'!Z89-1</f>
        <v>-6.5476190476190577E-2</v>
      </c>
      <c r="V87" s="53">
        <f>U87*'Расчет субсидий'!AA89</f>
        <v>-0.98214285714285865</v>
      </c>
      <c r="W87" s="54">
        <f t="shared" si="12"/>
        <v>-8.4436637340355016</v>
      </c>
      <c r="X87" s="56">
        <f t="shared" si="13"/>
        <v>-9.7145964474692086</v>
      </c>
    </row>
    <row r="88" spans="1:24" ht="15" customHeight="1">
      <c r="A88" s="64" t="s">
        <v>73</v>
      </c>
      <c r="B88" s="52">
        <f>'Расчет субсидий'!AF90</f>
        <v>22.81818181818187</v>
      </c>
      <c r="C88" s="53">
        <f>'Расчет субсидий'!D90-1</f>
        <v>0.30000000000000004</v>
      </c>
      <c r="D88" s="53">
        <f>C88*'Расчет субсидий'!E90</f>
        <v>4.5000000000000009</v>
      </c>
      <c r="E88" s="54">
        <f t="shared" si="9"/>
        <v>37.771650401173673</v>
      </c>
      <c r="F88" s="53">
        <f>'Расчет субсидий'!F90-1</f>
        <v>0</v>
      </c>
      <c r="G88" s="53">
        <f>F88*'Расчет субсидий'!G90</f>
        <v>0</v>
      </c>
      <c r="H88" s="54">
        <f t="shared" si="10"/>
        <v>0</v>
      </c>
      <c r="I88" s="53">
        <f>'Расчет субсидий'!J90-1</f>
        <v>-7.9936808846761465E-2</v>
      </c>
      <c r="J88" s="53">
        <f>I88*'Расчет субсидий'!K90</f>
        <v>-0.79936808846761465</v>
      </c>
      <c r="K88" s="54">
        <f t="shared" si="11"/>
        <v>-6.7096559954340451</v>
      </c>
      <c r="L88" s="53" t="s">
        <v>394</v>
      </c>
      <c r="M88" s="53" t="s">
        <v>394</v>
      </c>
      <c r="N88" s="55" t="s">
        <v>394</v>
      </c>
      <c r="O88" s="53" t="s">
        <v>394</v>
      </c>
      <c r="P88" s="53" t="s">
        <v>394</v>
      </c>
      <c r="Q88" s="55" t="s">
        <v>394</v>
      </c>
      <c r="R88" s="53" t="s">
        <v>394</v>
      </c>
      <c r="S88" s="53" t="s">
        <v>394</v>
      </c>
      <c r="T88" s="55" t="s">
        <v>394</v>
      </c>
      <c r="U88" s="53">
        <f>'Расчет субсидий'!Z90-1</f>
        <v>-6.5476190476190577E-2</v>
      </c>
      <c r="V88" s="53">
        <f>U88*'Расчет субсидий'!AA90</f>
        <v>-0.98214285714285865</v>
      </c>
      <c r="W88" s="54">
        <f t="shared" si="12"/>
        <v>-8.2438125875577573</v>
      </c>
      <c r="X88" s="56">
        <f t="shared" si="13"/>
        <v>2.7184890543895275</v>
      </c>
    </row>
    <row r="89" spans="1:24" ht="15" customHeight="1">
      <c r="A89" s="64" t="s">
        <v>74</v>
      </c>
      <c r="B89" s="52">
        <f>'Расчет субсидий'!AF91</f>
        <v>3.4272727272727082</v>
      </c>
      <c r="C89" s="53">
        <f>'Расчет субсидий'!D91-1</f>
        <v>0.17401288154578531</v>
      </c>
      <c r="D89" s="53">
        <f>C89*'Расчет субсидий'!E91</f>
        <v>2.6101932231867799</v>
      </c>
      <c r="E89" s="54">
        <f t="shared" si="9"/>
        <v>10.795264106413022</v>
      </c>
      <c r="F89" s="53">
        <f>'Расчет субсидий'!F91-1</f>
        <v>0</v>
      </c>
      <c r="G89" s="53">
        <f>F89*'Расчет субсидий'!G91</f>
        <v>0</v>
      </c>
      <c r="H89" s="54">
        <f t="shared" si="10"/>
        <v>0</v>
      </c>
      <c r="I89" s="53">
        <f>'Расчет субсидий'!J91-1</f>
        <v>-7.9936808846761465E-2</v>
      </c>
      <c r="J89" s="53">
        <f>I89*'Расчет субсидий'!K91</f>
        <v>-0.79936808846761465</v>
      </c>
      <c r="K89" s="54">
        <f t="shared" si="11"/>
        <v>-3.3060348010216747</v>
      </c>
      <c r="L89" s="53" t="s">
        <v>394</v>
      </c>
      <c r="M89" s="53" t="s">
        <v>394</v>
      </c>
      <c r="N89" s="55" t="s">
        <v>394</v>
      </c>
      <c r="O89" s="53" t="s">
        <v>394</v>
      </c>
      <c r="P89" s="53" t="s">
        <v>394</v>
      </c>
      <c r="Q89" s="55" t="s">
        <v>394</v>
      </c>
      <c r="R89" s="53" t="s">
        <v>394</v>
      </c>
      <c r="S89" s="53" t="s">
        <v>394</v>
      </c>
      <c r="T89" s="55" t="s">
        <v>394</v>
      </c>
      <c r="U89" s="53">
        <f>'Расчет субсидий'!Z91-1</f>
        <v>-6.5476190476190577E-2</v>
      </c>
      <c r="V89" s="53">
        <f>U89*'Расчет субсидий'!AA91</f>
        <v>-0.98214285714285865</v>
      </c>
      <c r="W89" s="54">
        <f t="shared" si="12"/>
        <v>-4.0619565781186395</v>
      </c>
      <c r="X89" s="56">
        <f t="shared" si="13"/>
        <v>0.82868227757630664</v>
      </c>
    </row>
    <row r="90" spans="1:24" ht="15" customHeight="1">
      <c r="A90" s="60" t="s">
        <v>75</v>
      </c>
      <c r="B90" s="61"/>
      <c r="C90" s="62"/>
      <c r="D90" s="62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</row>
    <row r="91" spans="1:24" ht="15" customHeight="1">
      <c r="A91" s="64" t="s">
        <v>76</v>
      </c>
      <c r="B91" s="52">
        <f>'Расчет субсидий'!AF93</f>
        <v>-35.545454545454561</v>
      </c>
      <c r="C91" s="53">
        <f>'Расчет субсидий'!D93-1</f>
        <v>-0.13582089552238796</v>
      </c>
      <c r="D91" s="53">
        <f>C91*'Расчет субсидий'!E93</f>
        <v>-2.0373134328358193</v>
      </c>
      <c r="E91" s="54">
        <f t="shared" si="9"/>
        <v>-18.455413489350509</v>
      </c>
      <c r="F91" s="53">
        <f>'Расчет субсидий'!F93-1</f>
        <v>0</v>
      </c>
      <c r="G91" s="53">
        <f>F91*'Расчет субсидий'!G93</f>
        <v>0</v>
      </c>
      <c r="H91" s="54">
        <f t="shared" si="10"/>
        <v>0</v>
      </c>
      <c r="I91" s="53">
        <f>'Расчет субсидий'!J93-1</f>
        <v>-5.2295210166177997E-2</v>
      </c>
      <c r="J91" s="53">
        <f>I91*'Расчет субсидий'!K93</f>
        <v>-0.52295210166177997</v>
      </c>
      <c r="K91" s="54">
        <f t="shared" si="11"/>
        <v>-4.7372667925028011</v>
      </c>
      <c r="L91" s="53" t="s">
        <v>394</v>
      </c>
      <c r="M91" s="53" t="s">
        <v>394</v>
      </c>
      <c r="N91" s="55" t="s">
        <v>394</v>
      </c>
      <c r="O91" s="53" t="s">
        <v>394</v>
      </c>
      <c r="P91" s="53" t="s">
        <v>394</v>
      </c>
      <c r="Q91" s="55" t="s">
        <v>394</v>
      </c>
      <c r="R91" s="53" t="s">
        <v>394</v>
      </c>
      <c r="S91" s="53" t="s">
        <v>394</v>
      </c>
      <c r="T91" s="55" t="s">
        <v>394</v>
      </c>
      <c r="U91" s="53">
        <f>'Расчет субсидий'!Z93-1</f>
        <v>-9.0909090909090939E-2</v>
      </c>
      <c r="V91" s="53">
        <f>U91*'Расчет субсидий'!AA93</f>
        <v>-1.3636363636363642</v>
      </c>
      <c r="W91" s="54">
        <f t="shared" si="12"/>
        <v>-12.352774263601255</v>
      </c>
      <c r="X91" s="56">
        <f t="shared" si="13"/>
        <v>-3.9239018981339635</v>
      </c>
    </row>
    <row r="92" spans="1:24" ht="15" customHeight="1">
      <c r="A92" s="64" t="s">
        <v>77</v>
      </c>
      <c r="B92" s="52">
        <f>'Расчет субсидий'!AF94</f>
        <v>-22.890909090909076</v>
      </c>
      <c r="C92" s="53">
        <f>'Расчет субсидий'!D94-1</f>
        <v>-0.11815453863465863</v>
      </c>
      <c r="D92" s="53">
        <f>C92*'Расчет субсидий'!E94</f>
        <v>-1.7723180795198794</v>
      </c>
      <c r="E92" s="54">
        <f t="shared" si="9"/>
        <v>-11.088004446553001</v>
      </c>
      <c r="F92" s="53">
        <f>'Расчет субсидий'!F94-1</f>
        <v>0</v>
      </c>
      <c r="G92" s="53">
        <f>F92*'Расчет субсидий'!G94</f>
        <v>0</v>
      </c>
      <c r="H92" s="54">
        <f t="shared" si="10"/>
        <v>0</v>
      </c>
      <c r="I92" s="53">
        <f>'Расчет субсидий'!J94-1</f>
        <v>-5.2295210166177997E-2</v>
      </c>
      <c r="J92" s="53">
        <f>I92*'Расчет субсидий'!K94</f>
        <v>-0.52295210166177997</v>
      </c>
      <c r="K92" s="54">
        <f t="shared" si="11"/>
        <v>-3.2717012231409752</v>
      </c>
      <c r="L92" s="53" t="s">
        <v>394</v>
      </c>
      <c r="M92" s="53" t="s">
        <v>394</v>
      </c>
      <c r="N92" s="55" t="s">
        <v>394</v>
      </c>
      <c r="O92" s="53" t="s">
        <v>394</v>
      </c>
      <c r="P92" s="53" t="s">
        <v>394</v>
      </c>
      <c r="Q92" s="55" t="s">
        <v>394</v>
      </c>
      <c r="R92" s="53" t="s">
        <v>394</v>
      </c>
      <c r="S92" s="53" t="s">
        <v>394</v>
      </c>
      <c r="T92" s="55" t="s">
        <v>394</v>
      </c>
      <c r="U92" s="53">
        <f>'Расчет субсидий'!Z94-1</f>
        <v>-9.0909090909090939E-2</v>
      </c>
      <c r="V92" s="53">
        <f>U92*'Расчет субсидий'!AA94</f>
        <v>-1.3636363636363642</v>
      </c>
      <c r="W92" s="54">
        <f t="shared" si="12"/>
        <v>-8.5312034212150998</v>
      </c>
      <c r="X92" s="56">
        <f t="shared" si="13"/>
        <v>-3.6589065448180236</v>
      </c>
    </row>
    <row r="93" spans="1:24" ht="15" customHeight="1">
      <c r="A93" s="64" t="s">
        <v>78</v>
      </c>
      <c r="B93" s="52">
        <f>'Расчет субсидий'!AF95</f>
        <v>-122.70000000000005</v>
      </c>
      <c r="C93" s="53">
        <f>'Расчет субсидий'!D95-1</f>
        <v>-0.3866594360086768</v>
      </c>
      <c r="D93" s="53">
        <f>C93*'Расчет субсидий'!E95</f>
        <v>-5.7998915401301518</v>
      </c>
      <c r="E93" s="54">
        <f t="shared" si="9"/>
        <v>-92.584211690057785</v>
      </c>
      <c r="F93" s="53">
        <f>'Расчет субсидий'!F95-1</f>
        <v>0</v>
      </c>
      <c r="G93" s="53">
        <f>F93*'Расчет субсидий'!G95</f>
        <v>0</v>
      </c>
      <c r="H93" s="54">
        <f t="shared" si="10"/>
        <v>0</v>
      </c>
      <c r="I93" s="53">
        <f>'Расчет субсидий'!J95-1</f>
        <v>-5.2295210166177997E-2</v>
      </c>
      <c r="J93" s="53">
        <f>I93*'Расчет субсидий'!K95</f>
        <v>-0.52295210166177997</v>
      </c>
      <c r="K93" s="54">
        <f t="shared" si="11"/>
        <v>-8.3479333620311724</v>
      </c>
      <c r="L93" s="53" t="s">
        <v>394</v>
      </c>
      <c r="M93" s="53" t="s">
        <v>394</v>
      </c>
      <c r="N93" s="55" t="s">
        <v>394</v>
      </c>
      <c r="O93" s="53" t="s">
        <v>394</v>
      </c>
      <c r="P93" s="53" t="s">
        <v>394</v>
      </c>
      <c r="Q93" s="55" t="s">
        <v>394</v>
      </c>
      <c r="R93" s="53" t="s">
        <v>394</v>
      </c>
      <c r="S93" s="53" t="s">
        <v>394</v>
      </c>
      <c r="T93" s="55" t="s">
        <v>394</v>
      </c>
      <c r="U93" s="53">
        <f>'Расчет субсидий'!Z95-1</f>
        <v>-9.0909090909090939E-2</v>
      </c>
      <c r="V93" s="53">
        <f>U93*'Расчет субсидий'!AA95</f>
        <v>-1.3636363636363642</v>
      </c>
      <c r="W93" s="54">
        <f t="shared" si="12"/>
        <v>-21.767854947911083</v>
      </c>
      <c r="X93" s="56">
        <f t="shared" si="13"/>
        <v>-7.6864800054282965</v>
      </c>
    </row>
    <row r="94" spans="1:24" ht="15" customHeight="1">
      <c r="A94" s="64" t="s">
        <v>79</v>
      </c>
      <c r="B94" s="52">
        <f>'Расчет субсидий'!AF96</f>
        <v>-8.0090909090909008</v>
      </c>
      <c r="C94" s="53">
        <f>'Расчет субсидий'!D96-1</f>
        <v>9.2380576391630553E-2</v>
      </c>
      <c r="D94" s="53">
        <f>C94*'Расчет субсидий'!E96</f>
        <v>1.3857086458744583</v>
      </c>
      <c r="E94" s="54">
        <f t="shared" si="9"/>
        <v>22.157543761877832</v>
      </c>
      <c r="F94" s="53">
        <f>'Расчет субсидий'!F96-1</f>
        <v>0</v>
      </c>
      <c r="G94" s="53">
        <f>F94*'Расчет субсидий'!G96</f>
        <v>0</v>
      </c>
      <c r="H94" s="54">
        <f t="shared" si="10"/>
        <v>0</v>
      </c>
      <c r="I94" s="53">
        <f>'Расчет субсидий'!J96-1</f>
        <v>-5.2295210166177997E-2</v>
      </c>
      <c r="J94" s="53">
        <f>I94*'Расчет субсидий'!K96</f>
        <v>-0.52295210166177997</v>
      </c>
      <c r="K94" s="54">
        <f t="shared" si="11"/>
        <v>-8.3620276978387693</v>
      </c>
      <c r="L94" s="53" t="s">
        <v>394</v>
      </c>
      <c r="M94" s="53" t="s">
        <v>394</v>
      </c>
      <c r="N94" s="55" t="s">
        <v>394</v>
      </c>
      <c r="O94" s="53" t="s">
        <v>394</v>
      </c>
      <c r="P94" s="53" t="s">
        <v>394</v>
      </c>
      <c r="Q94" s="55" t="s">
        <v>394</v>
      </c>
      <c r="R94" s="53" t="s">
        <v>394</v>
      </c>
      <c r="S94" s="53" t="s">
        <v>394</v>
      </c>
      <c r="T94" s="55" t="s">
        <v>394</v>
      </c>
      <c r="U94" s="53">
        <f>'Расчет субсидий'!Z96-1</f>
        <v>-9.0909090909090939E-2</v>
      </c>
      <c r="V94" s="53">
        <f>U94*'Расчет субсидий'!AA96</f>
        <v>-1.3636363636363642</v>
      </c>
      <c r="W94" s="54">
        <f t="shared" si="12"/>
        <v>-21.804606973129964</v>
      </c>
      <c r="X94" s="56">
        <f t="shared" si="13"/>
        <v>-0.50087981942368587</v>
      </c>
    </row>
    <row r="95" spans="1:24">
      <c r="A95" s="64" t="s">
        <v>80</v>
      </c>
      <c r="B95" s="52">
        <f>'Расчет субсидий'!AF97</f>
        <v>-112.08181818181811</v>
      </c>
      <c r="C95" s="53">
        <f>'Расчет субсидий'!D97-1</f>
        <v>-0.53736356003358521</v>
      </c>
      <c r="D95" s="53">
        <f>C95*'Расчет субсидий'!E97</f>
        <v>-8.0604534005037785</v>
      </c>
      <c r="E95" s="54">
        <f t="shared" si="9"/>
        <v>-90.824014283511644</v>
      </c>
      <c r="F95" s="53">
        <f>'Расчет субсидий'!F97-1</f>
        <v>0</v>
      </c>
      <c r="G95" s="53">
        <f>F95*'Расчет субсидий'!G97</f>
        <v>0</v>
      </c>
      <c r="H95" s="54">
        <f t="shared" si="10"/>
        <v>0</v>
      </c>
      <c r="I95" s="53">
        <f>'Расчет субсидий'!J97-1</f>
        <v>-5.2295210166177997E-2</v>
      </c>
      <c r="J95" s="53">
        <f>I95*'Расчет субсидий'!K97</f>
        <v>-0.52295210166177997</v>
      </c>
      <c r="K95" s="54">
        <f t="shared" si="11"/>
        <v>-5.8925480727862523</v>
      </c>
      <c r="L95" s="53" t="s">
        <v>394</v>
      </c>
      <c r="M95" s="53" t="s">
        <v>394</v>
      </c>
      <c r="N95" s="55" t="s">
        <v>394</v>
      </c>
      <c r="O95" s="53" t="s">
        <v>394</v>
      </c>
      <c r="P95" s="53" t="s">
        <v>394</v>
      </c>
      <c r="Q95" s="55" t="s">
        <v>394</v>
      </c>
      <c r="R95" s="53" t="s">
        <v>394</v>
      </c>
      <c r="S95" s="53" t="s">
        <v>394</v>
      </c>
      <c r="T95" s="55" t="s">
        <v>394</v>
      </c>
      <c r="U95" s="53">
        <f>'Расчет субсидий'!Z97-1</f>
        <v>-9.0909090909090939E-2</v>
      </c>
      <c r="V95" s="53">
        <f>U95*'Расчет субсидий'!AA97</f>
        <v>-1.3636363636363642</v>
      </c>
      <c r="W95" s="54">
        <f t="shared" si="12"/>
        <v>-15.365255825520229</v>
      </c>
      <c r="X95" s="56">
        <f t="shared" si="13"/>
        <v>-9.9470418658019213</v>
      </c>
    </row>
    <row r="96" spans="1:24" ht="15" customHeight="1">
      <c r="A96" s="64" t="s">
        <v>81</v>
      </c>
      <c r="B96" s="52">
        <f>'Расчет субсидий'!AF98</f>
        <v>11.618181818181881</v>
      </c>
      <c r="C96" s="53">
        <f>'Расчет субсидий'!D98-1</f>
        <v>0.20750883960141442</v>
      </c>
      <c r="D96" s="53">
        <f>C96*'Расчет субсидий'!E98</f>
        <v>3.1126325940212163</v>
      </c>
      <c r="E96" s="54">
        <f t="shared" si="9"/>
        <v>29.495782870557512</v>
      </c>
      <c r="F96" s="53">
        <f>'Расчет субсидий'!F98-1</f>
        <v>0</v>
      </c>
      <c r="G96" s="53">
        <f>F96*'Расчет субсидий'!G98</f>
        <v>0</v>
      </c>
      <c r="H96" s="54">
        <f t="shared" si="10"/>
        <v>0</v>
      </c>
      <c r="I96" s="53">
        <f>'Расчет субсидий'!J98-1</f>
        <v>-5.2295210166177997E-2</v>
      </c>
      <c r="J96" s="53">
        <f>I96*'Расчет субсидий'!K98</f>
        <v>-0.52295210166177997</v>
      </c>
      <c r="K96" s="54">
        <f t="shared" si="11"/>
        <v>-4.9555741567269731</v>
      </c>
      <c r="L96" s="53" t="s">
        <v>394</v>
      </c>
      <c r="M96" s="53" t="s">
        <v>394</v>
      </c>
      <c r="N96" s="55" t="s">
        <v>394</v>
      </c>
      <c r="O96" s="53" t="s">
        <v>394</v>
      </c>
      <c r="P96" s="53" t="s">
        <v>394</v>
      </c>
      <c r="Q96" s="55" t="s">
        <v>394</v>
      </c>
      <c r="R96" s="53" t="s">
        <v>394</v>
      </c>
      <c r="S96" s="53" t="s">
        <v>394</v>
      </c>
      <c r="T96" s="55" t="s">
        <v>394</v>
      </c>
      <c r="U96" s="53">
        <f>'Расчет субсидий'!Z98-1</f>
        <v>-9.0909090909090939E-2</v>
      </c>
      <c r="V96" s="53">
        <f>U96*'Расчет субсидий'!AA98</f>
        <v>-1.3636363636363642</v>
      </c>
      <c r="W96" s="54">
        <f t="shared" si="12"/>
        <v>-12.922026895648656</v>
      </c>
      <c r="X96" s="56">
        <f t="shared" si="13"/>
        <v>1.2260441287230721</v>
      </c>
    </row>
    <row r="97" spans="1:24" ht="15" customHeight="1">
      <c r="A97" s="64" t="s">
        <v>82</v>
      </c>
      <c r="B97" s="52">
        <f>'Расчет субсидий'!AF99</f>
        <v>-22.472727272727298</v>
      </c>
      <c r="C97" s="53">
        <f>'Расчет субсидий'!D99-1</f>
        <v>-7.7484047402006651E-3</v>
      </c>
      <c r="D97" s="53">
        <f>C97*'Расчет субсидий'!E99</f>
        <v>-0.11622607110300998</v>
      </c>
      <c r="E97" s="54">
        <f t="shared" si="9"/>
        <v>-1.304123147903596</v>
      </c>
      <c r="F97" s="53">
        <f>'Расчет субсидий'!F99-1</f>
        <v>0</v>
      </c>
      <c r="G97" s="53">
        <f>F97*'Расчет субсидий'!G99</f>
        <v>0</v>
      </c>
      <c r="H97" s="54">
        <f t="shared" si="10"/>
        <v>0</v>
      </c>
      <c r="I97" s="53">
        <f>'Расчет субсидий'!J99-1</f>
        <v>-5.2295210166177997E-2</v>
      </c>
      <c r="J97" s="53">
        <f>I97*'Расчет субсидий'!K99</f>
        <v>-0.52295210166177997</v>
      </c>
      <c r="K97" s="54">
        <f t="shared" si="11"/>
        <v>-5.8678223788320061</v>
      </c>
      <c r="L97" s="53" t="s">
        <v>394</v>
      </c>
      <c r="M97" s="53" t="s">
        <v>394</v>
      </c>
      <c r="N97" s="55" t="s">
        <v>394</v>
      </c>
      <c r="O97" s="53" t="s">
        <v>394</v>
      </c>
      <c r="P97" s="53" t="s">
        <v>394</v>
      </c>
      <c r="Q97" s="55" t="s">
        <v>394</v>
      </c>
      <c r="R97" s="53" t="s">
        <v>394</v>
      </c>
      <c r="S97" s="53" t="s">
        <v>394</v>
      </c>
      <c r="T97" s="55" t="s">
        <v>394</v>
      </c>
      <c r="U97" s="53">
        <f>'Расчет субсидий'!Z99-1</f>
        <v>-9.0909090909090939E-2</v>
      </c>
      <c r="V97" s="53">
        <f>U97*'Расчет субсидий'!AA99</f>
        <v>-1.3636363636363642</v>
      </c>
      <c r="W97" s="54">
        <f t="shared" si="12"/>
        <v>-15.300781745991697</v>
      </c>
      <c r="X97" s="56">
        <f t="shared" si="13"/>
        <v>-2.002814536401154</v>
      </c>
    </row>
    <row r="98" spans="1:24" ht="15" customHeight="1">
      <c r="A98" s="64" t="s">
        <v>83</v>
      </c>
      <c r="B98" s="52">
        <f>'Расчет субсидий'!AF100</f>
        <v>29.081818181818107</v>
      </c>
      <c r="C98" s="53">
        <f>'Расчет субсидий'!D100-1</f>
        <v>0.30000000000000004</v>
      </c>
      <c r="D98" s="53">
        <f>C98*'Расчет субсидий'!E100</f>
        <v>4.5000000000000009</v>
      </c>
      <c r="E98" s="54">
        <f t="shared" si="9"/>
        <v>50.075611927346614</v>
      </c>
      <c r="F98" s="53">
        <f>'Расчет субсидий'!F100-1</f>
        <v>0</v>
      </c>
      <c r="G98" s="53">
        <f>F98*'Расчет субсидий'!G100</f>
        <v>0</v>
      </c>
      <c r="H98" s="54">
        <f t="shared" si="10"/>
        <v>0</v>
      </c>
      <c r="I98" s="53">
        <f>'Расчет субсидий'!J100-1</f>
        <v>-5.2295210166177997E-2</v>
      </c>
      <c r="J98" s="53">
        <f>I98*'Расчет субсидий'!K100</f>
        <v>-0.52295210166177997</v>
      </c>
      <c r="K98" s="54">
        <f t="shared" si="11"/>
        <v>-5.8193658887568001</v>
      </c>
      <c r="L98" s="53" t="s">
        <v>394</v>
      </c>
      <c r="M98" s="53" t="s">
        <v>394</v>
      </c>
      <c r="N98" s="55" t="s">
        <v>394</v>
      </c>
      <c r="O98" s="53" t="s">
        <v>394</v>
      </c>
      <c r="P98" s="53" t="s">
        <v>394</v>
      </c>
      <c r="Q98" s="55" t="s">
        <v>394</v>
      </c>
      <c r="R98" s="53" t="s">
        <v>394</v>
      </c>
      <c r="S98" s="53" t="s">
        <v>394</v>
      </c>
      <c r="T98" s="55" t="s">
        <v>394</v>
      </c>
      <c r="U98" s="53">
        <f>'Расчет субсидий'!Z100-1</f>
        <v>-9.0909090909090939E-2</v>
      </c>
      <c r="V98" s="53">
        <f>U98*'Расчет субсидий'!AA100</f>
        <v>-1.3636363636363642</v>
      </c>
      <c r="W98" s="54">
        <f t="shared" si="12"/>
        <v>-15.174427856771704</v>
      </c>
      <c r="X98" s="56">
        <f t="shared" si="13"/>
        <v>2.6134115347018567</v>
      </c>
    </row>
    <row r="99" spans="1:24" ht="15" customHeight="1">
      <c r="A99" s="64" t="s">
        <v>84</v>
      </c>
      <c r="B99" s="52">
        <f>'Расчет субсидий'!AF101</f>
        <v>-36.31818181818187</v>
      </c>
      <c r="C99" s="53">
        <f>'Расчет субсидий'!D101-1</f>
        <v>-8.6214255228339809E-2</v>
      </c>
      <c r="D99" s="53">
        <f>C99*'Расчет субсидий'!E101</f>
        <v>-1.2932138284250971</v>
      </c>
      <c r="E99" s="54">
        <f t="shared" si="9"/>
        <v>-14.770470177734135</v>
      </c>
      <c r="F99" s="53">
        <f>'Расчет субсидий'!F101-1</f>
        <v>0</v>
      </c>
      <c r="G99" s="53">
        <f>F99*'Расчет субсидий'!G101</f>
        <v>0</v>
      </c>
      <c r="H99" s="54">
        <f t="shared" si="10"/>
        <v>0</v>
      </c>
      <c r="I99" s="53">
        <f>'Расчет субсидий'!J101-1</f>
        <v>-5.2295210166177997E-2</v>
      </c>
      <c r="J99" s="53">
        <f>I99*'Расчет субсидий'!K101</f>
        <v>-0.52295210166177997</v>
      </c>
      <c r="K99" s="54">
        <f t="shared" si="11"/>
        <v>-5.9729089282825418</v>
      </c>
      <c r="L99" s="53" t="s">
        <v>394</v>
      </c>
      <c r="M99" s="53" t="s">
        <v>394</v>
      </c>
      <c r="N99" s="55" t="s">
        <v>394</v>
      </c>
      <c r="O99" s="53" t="s">
        <v>394</v>
      </c>
      <c r="P99" s="53" t="s">
        <v>394</v>
      </c>
      <c r="Q99" s="55" t="s">
        <v>394</v>
      </c>
      <c r="R99" s="53" t="s">
        <v>394</v>
      </c>
      <c r="S99" s="53" t="s">
        <v>394</v>
      </c>
      <c r="T99" s="55" t="s">
        <v>394</v>
      </c>
      <c r="U99" s="53">
        <f>'Расчет субсидий'!Z101-1</f>
        <v>-9.0909090909090939E-2</v>
      </c>
      <c r="V99" s="53">
        <f>U99*'Расчет субсидий'!AA101</f>
        <v>-1.3636363636363642</v>
      </c>
      <c r="W99" s="54">
        <f t="shared" si="12"/>
        <v>-15.574802712165193</v>
      </c>
      <c r="X99" s="56">
        <f t="shared" si="13"/>
        <v>-3.1798022937232413</v>
      </c>
    </row>
    <row r="100" spans="1:24" ht="15" customHeight="1">
      <c r="A100" s="60" t="s">
        <v>85</v>
      </c>
      <c r="B100" s="61"/>
      <c r="C100" s="62"/>
      <c r="D100" s="62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</row>
    <row r="101" spans="1:24" ht="15" customHeight="1">
      <c r="A101" s="64" t="s">
        <v>86</v>
      </c>
      <c r="B101" s="52">
        <f>'Расчет субсидий'!AF103</f>
        <v>-13.409090909090935</v>
      </c>
      <c r="C101" s="53">
        <f>'Расчет субсидий'!D103-1</f>
        <v>-0.45467422096317278</v>
      </c>
      <c r="D101" s="53">
        <f>C101*'Расчет субсидий'!E103</f>
        <v>-6.8201133144475916</v>
      </c>
      <c r="E101" s="54">
        <f t="shared" si="9"/>
        <v>-39.500998581019729</v>
      </c>
      <c r="F101" s="53">
        <f>'Расчет субсидий'!F103-1</f>
        <v>0</v>
      </c>
      <c r="G101" s="53">
        <f>F101*'Расчет субсидий'!G103</f>
        <v>0</v>
      </c>
      <c r="H101" s="54">
        <f t="shared" si="10"/>
        <v>0</v>
      </c>
      <c r="I101" s="53">
        <f>'Расчет субсидий'!J103-1</f>
        <v>4.9435028248590029E-4</v>
      </c>
      <c r="J101" s="53">
        <f>I101*'Расчет субсидий'!K103</f>
        <v>4.9435028248590029E-3</v>
      </c>
      <c r="K101" s="54">
        <f t="shared" si="11"/>
        <v>2.8631972676518361E-2</v>
      </c>
      <c r="L101" s="53" t="s">
        <v>394</v>
      </c>
      <c r="M101" s="53" t="s">
        <v>394</v>
      </c>
      <c r="N101" s="55" t="s">
        <v>394</v>
      </c>
      <c r="O101" s="53" t="s">
        <v>394</v>
      </c>
      <c r="P101" s="53" t="s">
        <v>394</v>
      </c>
      <c r="Q101" s="55" t="s">
        <v>394</v>
      </c>
      <c r="R101" s="53" t="s">
        <v>394</v>
      </c>
      <c r="S101" s="53" t="s">
        <v>394</v>
      </c>
      <c r="T101" s="55" t="s">
        <v>394</v>
      </c>
      <c r="U101" s="53">
        <f>'Расчет субсидий'!Z103-1</f>
        <v>0.30000000000000004</v>
      </c>
      <c r="V101" s="53">
        <f>U101*'Расчет субсидий'!AA103</f>
        <v>4.5000000000000009</v>
      </c>
      <c r="W101" s="54">
        <f t="shared" si="12"/>
        <v>26.06327569925228</v>
      </c>
      <c r="X101" s="56">
        <f t="shared" si="13"/>
        <v>-2.3151698116227317</v>
      </c>
    </row>
    <row r="102" spans="1:24" ht="15" customHeight="1">
      <c r="A102" s="64" t="s">
        <v>87</v>
      </c>
      <c r="B102" s="52">
        <f>'Расчет субсидий'!AF104</f>
        <v>53.236363636363649</v>
      </c>
      <c r="C102" s="53">
        <f>'Расчет субсидий'!D104-1</f>
        <v>-2.3085872173344013E-2</v>
      </c>
      <c r="D102" s="53">
        <f>C102*'Расчет субсидий'!E104</f>
        <v>-0.3462880826001602</v>
      </c>
      <c r="E102" s="54">
        <f t="shared" si="9"/>
        <v>-4.432951621475091</v>
      </c>
      <c r="F102" s="53">
        <f>'Расчет субсидий'!F104-1</f>
        <v>0</v>
      </c>
      <c r="G102" s="53">
        <f>F102*'Расчет субсидий'!G104</f>
        <v>0</v>
      </c>
      <c r="H102" s="54">
        <f t="shared" si="10"/>
        <v>0</v>
      </c>
      <c r="I102" s="53">
        <f>'Расчет субсидий'!J104-1</f>
        <v>4.9435028248590029E-4</v>
      </c>
      <c r="J102" s="53">
        <f>I102*'Расчет субсидий'!K104</f>
        <v>4.9435028248590029E-3</v>
      </c>
      <c r="K102" s="54">
        <f t="shared" si="11"/>
        <v>6.3283462424344114E-2</v>
      </c>
      <c r="L102" s="53" t="s">
        <v>394</v>
      </c>
      <c r="M102" s="53" t="s">
        <v>394</v>
      </c>
      <c r="N102" s="55" t="s">
        <v>394</v>
      </c>
      <c r="O102" s="53" t="s">
        <v>394</v>
      </c>
      <c r="P102" s="53" t="s">
        <v>394</v>
      </c>
      <c r="Q102" s="55" t="s">
        <v>394</v>
      </c>
      <c r="R102" s="53" t="s">
        <v>394</v>
      </c>
      <c r="S102" s="53" t="s">
        <v>394</v>
      </c>
      <c r="T102" s="55" t="s">
        <v>394</v>
      </c>
      <c r="U102" s="53">
        <f>'Расчет субсидий'!Z104-1</f>
        <v>0.30000000000000004</v>
      </c>
      <c r="V102" s="53">
        <f>U102*'Расчет субсидий'!AA104</f>
        <v>4.5000000000000009</v>
      </c>
      <c r="W102" s="54">
        <f t="shared" si="12"/>
        <v>57.606031795414395</v>
      </c>
      <c r="X102" s="56">
        <f t="shared" si="13"/>
        <v>4.1586554202246999</v>
      </c>
    </row>
    <row r="103" spans="1:24" ht="15" customHeight="1">
      <c r="A103" s="64" t="s">
        <v>88</v>
      </c>
      <c r="B103" s="52">
        <f>'Расчет субсидий'!AF105</f>
        <v>-25.227272727272748</v>
      </c>
      <c r="C103" s="53">
        <f>'Расчет субсидий'!D105-1</f>
        <v>-0.56966305234930625</v>
      </c>
      <c r="D103" s="53">
        <f>C103*'Расчет субсидий'!E105</f>
        <v>-8.5449457852395945</v>
      </c>
      <c r="E103" s="54">
        <f t="shared" si="9"/>
        <v>-53.357810885976541</v>
      </c>
      <c r="F103" s="53">
        <f>'Расчет субсидий'!F105-1</f>
        <v>0</v>
      </c>
      <c r="G103" s="53">
        <f>F103*'Расчет субсидий'!G105</f>
        <v>0</v>
      </c>
      <c r="H103" s="54">
        <f t="shared" si="10"/>
        <v>0</v>
      </c>
      <c r="I103" s="53">
        <f>'Расчет субсидий'!J105-1</f>
        <v>4.9435028248590029E-4</v>
      </c>
      <c r="J103" s="53">
        <f>I103*'Расчет субсидий'!K105</f>
        <v>4.9435028248590029E-3</v>
      </c>
      <c r="K103" s="54">
        <f t="shared" si="11"/>
        <v>3.0869065231374247E-2</v>
      </c>
      <c r="L103" s="53" t="s">
        <v>394</v>
      </c>
      <c r="M103" s="53" t="s">
        <v>394</v>
      </c>
      <c r="N103" s="55" t="s">
        <v>394</v>
      </c>
      <c r="O103" s="53" t="s">
        <v>394</v>
      </c>
      <c r="P103" s="53" t="s">
        <v>394</v>
      </c>
      <c r="Q103" s="55" t="s">
        <v>394</v>
      </c>
      <c r="R103" s="53" t="s">
        <v>394</v>
      </c>
      <c r="S103" s="53" t="s">
        <v>394</v>
      </c>
      <c r="T103" s="55" t="s">
        <v>394</v>
      </c>
      <c r="U103" s="53">
        <f>'Расчет субсидий'!Z105-1</f>
        <v>0.30000000000000004</v>
      </c>
      <c r="V103" s="53">
        <f>U103*'Расчет субсидий'!AA105</f>
        <v>4.5000000000000009</v>
      </c>
      <c r="W103" s="54">
        <f t="shared" si="12"/>
        <v>28.099669093472425</v>
      </c>
      <c r="X103" s="56">
        <f t="shared" si="13"/>
        <v>-4.0400022824147355</v>
      </c>
    </row>
    <row r="104" spans="1:24" ht="15" customHeight="1">
      <c r="A104" s="64" t="s">
        <v>89</v>
      </c>
      <c r="B104" s="52">
        <f>'Расчет субсидий'!AF106</f>
        <v>4.136363636363626</v>
      </c>
      <c r="C104" s="53">
        <f>'Расчет субсидий'!D106-1</f>
        <v>-0.25859805723286955</v>
      </c>
      <c r="D104" s="53">
        <f>C104*'Расчет субсидий'!E106</f>
        <v>-3.8789708584930431</v>
      </c>
      <c r="E104" s="54">
        <f t="shared" si="9"/>
        <v>-25.63184533840387</v>
      </c>
      <c r="F104" s="53">
        <f>'Расчет субсидий'!F106-1</f>
        <v>0</v>
      </c>
      <c r="G104" s="53">
        <f>F104*'Расчет субсидий'!G106</f>
        <v>0</v>
      </c>
      <c r="H104" s="54">
        <f t="shared" si="10"/>
        <v>0</v>
      </c>
      <c r="I104" s="53">
        <f>'Расчет субсидий'!J106-1</f>
        <v>4.9435028248590029E-4</v>
      </c>
      <c r="J104" s="53">
        <f>I104*'Расчет субсидий'!K106</f>
        <v>4.9435028248590029E-3</v>
      </c>
      <c r="K104" s="54">
        <f t="shared" si="11"/>
        <v>3.2666164418150616E-2</v>
      </c>
      <c r="L104" s="53" t="s">
        <v>394</v>
      </c>
      <c r="M104" s="53" t="s">
        <v>394</v>
      </c>
      <c r="N104" s="55" t="s">
        <v>394</v>
      </c>
      <c r="O104" s="53" t="s">
        <v>394</v>
      </c>
      <c r="P104" s="53" t="s">
        <v>394</v>
      </c>
      <c r="Q104" s="55" t="s">
        <v>394</v>
      </c>
      <c r="R104" s="53" t="s">
        <v>394</v>
      </c>
      <c r="S104" s="53" t="s">
        <v>394</v>
      </c>
      <c r="T104" s="55" t="s">
        <v>394</v>
      </c>
      <c r="U104" s="53">
        <f>'Расчет субсидий'!Z106-1</f>
        <v>0.30000000000000004</v>
      </c>
      <c r="V104" s="53">
        <f>U104*'Расчет субсидий'!AA106</f>
        <v>4.5000000000000009</v>
      </c>
      <c r="W104" s="54">
        <f t="shared" si="12"/>
        <v>29.735542810349344</v>
      </c>
      <c r="X104" s="56">
        <f t="shared" si="13"/>
        <v>0.62597264433181676</v>
      </c>
    </row>
    <row r="105" spans="1:24" ht="15" customHeight="1">
      <c r="A105" s="64" t="s">
        <v>90</v>
      </c>
      <c r="B105" s="52">
        <f>'Расчет субсидий'!AF107</f>
        <v>86.763636363636351</v>
      </c>
      <c r="C105" s="53">
        <f>'Расчет субсидий'!D107-1</f>
        <v>0.30000000000000004</v>
      </c>
      <c r="D105" s="53">
        <f>C105*'Расчет субсидий'!E107</f>
        <v>4.5000000000000009</v>
      </c>
      <c r="E105" s="54">
        <f t="shared" si="9"/>
        <v>43.358002580902735</v>
      </c>
      <c r="F105" s="53">
        <f>'Расчет субсидий'!F107-1</f>
        <v>0</v>
      </c>
      <c r="G105" s="53">
        <f>F105*'Расчет субсидий'!G107</f>
        <v>0</v>
      </c>
      <c r="H105" s="54">
        <f t="shared" si="10"/>
        <v>0</v>
      </c>
      <c r="I105" s="53">
        <f>'Расчет субсидий'!J107-1</f>
        <v>4.9435028248590029E-4</v>
      </c>
      <c r="J105" s="53">
        <f>I105*'Расчет субсидий'!K107</f>
        <v>4.9435028248590029E-3</v>
      </c>
      <c r="K105" s="54">
        <f t="shared" si="11"/>
        <v>4.7631201830874791E-2</v>
      </c>
      <c r="L105" s="53" t="s">
        <v>394</v>
      </c>
      <c r="M105" s="53" t="s">
        <v>394</v>
      </c>
      <c r="N105" s="55" t="s">
        <v>394</v>
      </c>
      <c r="O105" s="53" t="s">
        <v>394</v>
      </c>
      <c r="P105" s="53" t="s">
        <v>394</v>
      </c>
      <c r="Q105" s="55" t="s">
        <v>394</v>
      </c>
      <c r="R105" s="53" t="s">
        <v>394</v>
      </c>
      <c r="S105" s="53" t="s">
        <v>394</v>
      </c>
      <c r="T105" s="55" t="s">
        <v>394</v>
      </c>
      <c r="U105" s="53">
        <f>'Расчет субсидий'!Z107-1</f>
        <v>0.30000000000000004</v>
      </c>
      <c r="V105" s="53">
        <f>U105*'Расчет субсидий'!AA107</f>
        <v>4.5000000000000009</v>
      </c>
      <c r="W105" s="54">
        <f t="shared" si="12"/>
        <v>43.358002580902735</v>
      </c>
      <c r="X105" s="56">
        <f t="shared" si="13"/>
        <v>9.0049435028248617</v>
      </c>
    </row>
    <row r="106" spans="1:24" ht="15" customHeight="1">
      <c r="A106" s="64" t="s">
        <v>91</v>
      </c>
      <c r="B106" s="52">
        <f>'Расчет субсидий'!AF108</f>
        <v>27.963636363636397</v>
      </c>
      <c r="C106" s="53">
        <f>'Расчет субсидий'!D108-1</f>
        <v>-3.1416603198781479E-2</v>
      </c>
      <c r="D106" s="53">
        <f>C106*'Расчет субсидий'!E108</f>
        <v>-0.47124904798172218</v>
      </c>
      <c r="E106" s="54">
        <f t="shared" si="9"/>
        <v>-3.2669398146030817</v>
      </c>
      <c r="F106" s="53">
        <f>'Расчет субсидий'!F108-1</f>
        <v>0</v>
      </c>
      <c r="G106" s="53">
        <f>F106*'Расчет субсидий'!G108</f>
        <v>0</v>
      </c>
      <c r="H106" s="54">
        <f t="shared" si="10"/>
        <v>0</v>
      </c>
      <c r="I106" s="53">
        <f>'Расчет субсидий'!J108-1</f>
        <v>4.9435028248590029E-4</v>
      </c>
      <c r="J106" s="53">
        <f>I106*'Расчет субсидий'!K108</f>
        <v>4.9435028248590029E-3</v>
      </c>
      <c r="K106" s="54">
        <f t="shared" si="11"/>
        <v>3.4270894066105527E-2</v>
      </c>
      <c r="L106" s="53" t="s">
        <v>394</v>
      </c>
      <c r="M106" s="53" t="s">
        <v>394</v>
      </c>
      <c r="N106" s="55" t="s">
        <v>394</v>
      </c>
      <c r="O106" s="53" t="s">
        <v>394</v>
      </c>
      <c r="P106" s="53" t="s">
        <v>394</v>
      </c>
      <c r="Q106" s="55" t="s">
        <v>394</v>
      </c>
      <c r="R106" s="53" t="s">
        <v>394</v>
      </c>
      <c r="S106" s="53" t="s">
        <v>394</v>
      </c>
      <c r="T106" s="55" t="s">
        <v>394</v>
      </c>
      <c r="U106" s="53">
        <f>'Расчет субсидий'!Z108-1</f>
        <v>0.30000000000000004</v>
      </c>
      <c r="V106" s="53">
        <f>U106*'Расчет субсидий'!AA108</f>
        <v>4.5000000000000009</v>
      </c>
      <c r="W106" s="54">
        <f t="shared" si="12"/>
        <v>31.196305284173373</v>
      </c>
      <c r="X106" s="56">
        <f t="shared" si="13"/>
        <v>4.0336944548431379</v>
      </c>
    </row>
    <row r="107" spans="1:24" ht="15" customHeight="1">
      <c r="A107" s="64" t="s">
        <v>92</v>
      </c>
      <c r="B107" s="52">
        <f>'Расчет субсидий'!AF109</f>
        <v>61.063636363636419</v>
      </c>
      <c r="C107" s="53">
        <f>'Расчет субсидий'!D109-1</f>
        <v>0.10711952971913785</v>
      </c>
      <c r="D107" s="53">
        <f>C107*'Расчет субсидий'!E109</f>
        <v>1.6067929457870678</v>
      </c>
      <c r="E107" s="54">
        <f t="shared" si="9"/>
        <v>16.053804181212936</v>
      </c>
      <c r="F107" s="53">
        <f>'Расчет субсидий'!F109-1</f>
        <v>0</v>
      </c>
      <c r="G107" s="53">
        <f>F107*'Расчет субсидий'!G109</f>
        <v>0</v>
      </c>
      <c r="H107" s="54">
        <f t="shared" si="10"/>
        <v>0</v>
      </c>
      <c r="I107" s="53">
        <f>'Расчет субсидий'!J109-1</f>
        <v>4.9435028248590029E-4</v>
      </c>
      <c r="J107" s="53">
        <f>I107*'Расчет субсидий'!K109</f>
        <v>4.9435028248590029E-3</v>
      </c>
      <c r="K107" s="54">
        <f t="shared" si="11"/>
        <v>4.9391570038717664E-2</v>
      </c>
      <c r="L107" s="53" t="s">
        <v>394</v>
      </c>
      <c r="M107" s="53" t="s">
        <v>394</v>
      </c>
      <c r="N107" s="55" t="s">
        <v>394</v>
      </c>
      <c r="O107" s="53" t="s">
        <v>394</v>
      </c>
      <c r="P107" s="53" t="s">
        <v>394</v>
      </c>
      <c r="Q107" s="55" t="s">
        <v>394</v>
      </c>
      <c r="R107" s="53" t="s">
        <v>394</v>
      </c>
      <c r="S107" s="53" t="s">
        <v>394</v>
      </c>
      <c r="T107" s="55" t="s">
        <v>394</v>
      </c>
      <c r="U107" s="53">
        <f>'Расчет субсидий'!Z109-1</f>
        <v>0.30000000000000004</v>
      </c>
      <c r="V107" s="53">
        <f>U107*'Расчет субсидий'!AA109</f>
        <v>4.5000000000000009</v>
      </c>
      <c r="W107" s="54">
        <f t="shared" si="12"/>
        <v>44.960440612384765</v>
      </c>
      <c r="X107" s="56">
        <f t="shared" si="13"/>
        <v>6.1117364486119277</v>
      </c>
    </row>
    <row r="108" spans="1:24" ht="15" customHeight="1">
      <c r="A108" s="64" t="s">
        <v>93</v>
      </c>
      <c r="B108" s="52">
        <f>'Расчет субсидий'!AF110</f>
        <v>89.518181818181915</v>
      </c>
      <c r="C108" s="53">
        <f>'Расчет субсидий'!D110-1</f>
        <v>0.30000000000000004</v>
      </c>
      <c r="D108" s="53">
        <f>C108*'Расчет субсидий'!E110</f>
        <v>4.5000000000000009</v>
      </c>
      <c r="E108" s="54">
        <f t="shared" si="9"/>
        <v>44.734519217744101</v>
      </c>
      <c r="F108" s="53">
        <f>'Расчет субсидий'!F110-1</f>
        <v>0</v>
      </c>
      <c r="G108" s="53">
        <f>F108*'Расчет субсидий'!G110</f>
        <v>0</v>
      </c>
      <c r="H108" s="54">
        <f t="shared" si="10"/>
        <v>0</v>
      </c>
      <c r="I108" s="53">
        <f>'Расчет субсидий'!J110-1</f>
        <v>4.9435028248590029E-4</v>
      </c>
      <c r="J108" s="53">
        <f>I108*'Расчет субсидий'!K110</f>
        <v>4.9435028248590029E-3</v>
      </c>
      <c r="K108" s="54">
        <f t="shared" si="11"/>
        <v>4.9143382693694955E-2</v>
      </c>
      <c r="L108" s="53" t="s">
        <v>394</v>
      </c>
      <c r="M108" s="53" t="s">
        <v>394</v>
      </c>
      <c r="N108" s="55" t="s">
        <v>394</v>
      </c>
      <c r="O108" s="53" t="s">
        <v>394</v>
      </c>
      <c r="P108" s="53" t="s">
        <v>394</v>
      </c>
      <c r="Q108" s="55" t="s">
        <v>394</v>
      </c>
      <c r="R108" s="53" t="s">
        <v>394</v>
      </c>
      <c r="S108" s="53" t="s">
        <v>394</v>
      </c>
      <c r="T108" s="55" t="s">
        <v>394</v>
      </c>
      <c r="U108" s="53">
        <f>'Расчет субсидий'!Z110-1</f>
        <v>0.30000000000000004</v>
      </c>
      <c r="V108" s="53">
        <f>U108*'Расчет субсидий'!AA110</f>
        <v>4.5000000000000009</v>
      </c>
      <c r="W108" s="54">
        <f t="shared" si="12"/>
        <v>44.734519217744101</v>
      </c>
      <c r="X108" s="56">
        <f t="shared" si="13"/>
        <v>9.0049435028248617</v>
      </c>
    </row>
    <row r="109" spans="1:24" ht="15" customHeight="1">
      <c r="A109" s="64" t="s">
        <v>94</v>
      </c>
      <c r="B109" s="52">
        <f>'Расчет субсидий'!AF111</f>
        <v>15.21818181818179</v>
      </c>
      <c r="C109" s="53">
        <f>'Расчет субсидий'!D111-1</f>
        <v>-0.15287535779339056</v>
      </c>
      <c r="D109" s="53">
        <f>C109*'Расчет субсидий'!E111</f>
        <v>-2.2931303669008587</v>
      </c>
      <c r="E109" s="54">
        <f t="shared" si="9"/>
        <v>-15.777677729412973</v>
      </c>
      <c r="F109" s="53">
        <f>'Расчет субсидий'!F111-1</f>
        <v>0</v>
      </c>
      <c r="G109" s="53">
        <f>F109*'Расчет субсидий'!G111</f>
        <v>0</v>
      </c>
      <c r="H109" s="54">
        <f t="shared" si="10"/>
        <v>0</v>
      </c>
      <c r="I109" s="53">
        <f>'Расчет субсидий'!J111-1</f>
        <v>4.9435028248590029E-4</v>
      </c>
      <c r="J109" s="53">
        <f>I109*'Расчет субсидий'!K111</f>
        <v>4.9435028248590029E-3</v>
      </c>
      <c r="K109" s="54">
        <f t="shared" si="11"/>
        <v>3.4013327611408385E-2</v>
      </c>
      <c r="L109" s="53" t="s">
        <v>394</v>
      </c>
      <c r="M109" s="53" t="s">
        <v>394</v>
      </c>
      <c r="N109" s="55" t="s">
        <v>394</v>
      </c>
      <c r="O109" s="53" t="s">
        <v>394</v>
      </c>
      <c r="P109" s="53" t="s">
        <v>394</v>
      </c>
      <c r="Q109" s="55" t="s">
        <v>394</v>
      </c>
      <c r="R109" s="53" t="s">
        <v>394</v>
      </c>
      <c r="S109" s="53" t="s">
        <v>394</v>
      </c>
      <c r="T109" s="55" t="s">
        <v>394</v>
      </c>
      <c r="U109" s="53">
        <f>'Расчет субсидий'!Z111-1</f>
        <v>0.30000000000000004</v>
      </c>
      <c r="V109" s="53">
        <f>U109*'Расчет субсидий'!AA111</f>
        <v>4.5000000000000009</v>
      </c>
      <c r="W109" s="54">
        <f t="shared" si="12"/>
        <v>30.961846219983357</v>
      </c>
      <c r="X109" s="56">
        <f t="shared" si="13"/>
        <v>2.2118131359240012</v>
      </c>
    </row>
    <row r="110" spans="1:24" ht="15" customHeight="1">
      <c r="A110" s="64" t="s">
        <v>95</v>
      </c>
      <c r="B110" s="52">
        <f>'Расчет субсидий'!AF112</f>
        <v>77.836363636363672</v>
      </c>
      <c r="C110" s="53">
        <f>'Расчет субсидий'!D112-1</f>
        <v>0.22860406091370544</v>
      </c>
      <c r="D110" s="53">
        <f>C110*'Расчет субсидий'!E112</f>
        <v>3.4290609137055816</v>
      </c>
      <c r="E110" s="54">
        <f t="shared" si="9"/>
        <v>33.64072140599432</v>
      </c>
      <c r="F110" s="53">
        <f>'Расчет субсидий'!F112-1</f>
        <v>0</v>
      </c>
      <c r="G110" s="53">
        <f>F110*'Расчет субсидий'!G112</f>
        <v>0</v>
      </c>
      <c r="H110" s="54">
        <f t="shared" si="10"/>
        <v>0</v>
      </c>
      <c r="I110" s="53">
        <f>'Расчет субсидий'!J112-1</f>
        <v>4.9435028248590029E-4</v>
      </c>
      <c r="J110" s="53">
        <f>I110*'Расчет субсидий'!K112</f>
        <v>4.9435028248590029E-3</v>
      </c>
      <c r="K110" s="54">
        <f t="shared" si="11"/>
        <v>4.8498118139614473E-2</v>
      </c>
      <c r="L110" s="53" t="s">
        <v>394</v>
      </c>
      <c r="M110" s="53" t="s">
        <v>394</v>
      </c>
      <c r="N110" s="55" t="s">
        <v>394</v>
      </c>
      <c r="O110" s="53" t="s">
        <v>394</v>
      </c>
      <c r="P110" s="53" t="s">
        <v>394</v>
      </c>
      <c r="Q110" s="55" t="s">
        <v>394</v>
      </c>
      <c r="R110" s="53" t="s">
        <v>394</v>
      </c>
      <c r="S110" s="53" t="s">
        <v>394</v>
      </c>
      <c r="T110" s="55" t="s">
        <v>394</v>
      </c>
      <c r="U110" s="53">
        <f>'Расчет субсидий'!Z112-1</f>
        <v>0.30000000000000004</v>
      </c>
      <c r="V110" s="53">
        <f>U110*'Расчет субсидий'!AA112</f>
        <v>4.5000000000000009</v>
      </c>
      <c r="W110" s="54">
        <f t="shared" si="12"/>
        <v>44.147144112229732</v>
      </c>
      <c r="X110" s="56">
        <f t="shared" si="13"/>
        <v>7.934004416530442</v>
      </c>
    </row>
    <row r="111" spans="1:24" ht="15" customHeight="1">
      <c r="A111" s="64" t="s">
        <v>96</v>
      </c>
      <c r="B111" s="52">
        <f>'Расчет субсидий'!AF113</f>
        <v>26.081818181818164</v>
      </c>
      <c r="C111" s="53">
        <f>'Расчет субсидий'!D113-1</f>
        <v>5.1765172550575E-2</v>
      </c>
      <c r="D111" s="53">
        <f>C111*'Расчет субсидий'!E113</f>
        <v>0.77647758825862501</v>
      </c>
      <c r="E111" s="54">
        <f t="shared" si="9"/>
        <v>3.8345640178945537</v>
      </c>
      <c r="F111" s="53">
        <f>'Расчет субсидий'!F113-1</f>
        <v>0</v>
      </c>
      <c r="G111" s="53">
        <f>F111*'Расчет субсидий'!G113</f>
        <v>0</v>
      </c>
      <c r="H111" s="54">
        <f t="shared" si="10"/>
        <v>0</v>
      </c>
      <c r="I111" s="53">
        <f>'Расчет субсидий'!J113-1</f>
        <v>4.9435028248590029E-4</v>
      </c>
      <c r="J111" s="53">
        <f>I111*'Расчет субсидий'!K113</f>
        <v>4.9435028248590029E-3</v>
      </c>
      <c r="K111" s="54">
        <f t="shared" si="11"/>
        <v>2.4413039527743062E-2</v>
      </c>
      <c r="L111" s="53" t="s">
        <v>394</v>
      </c>
      <c r="M111" s="53" t="s">
        <v>394</v>
      </c>
      <c r="N111" s="55" t="s">
        <v>394</v>
      </c>
      <c r="O111" s="53" t="s">
        <v>394</v>
      </c>
      <c r="P111" s="53" t="s">
        <v>394</v>
      </c>
      <c r="Q111" s="55" t="s">
        <v>394</v>
      </c>
      <c r="R111" s="53" t="s">
        <v>394</v>
      </c>
      <c r="S111" s="53" t="s">
        <v>394</v>
      </c>
      <c r="T111" s="55" t="s">
        <v>394</v>
      </c>
      <c r="U111" s="53">
        <f>'Расчет субсидий'!Z113-1</f>
        <v>0.30000000000000004</v>
      </c>
      <c r="V111" s="53">
        <f>U111*'Расчет субсидий'!AA113</f>
        <v>4.5000000000000009</v>
      </c>
      <c r="W111" s="54">
        <f t="shared" si="12"/>
        <v>22.22284112439587</v>
      </c>
      <c r="X111" s="56">
        <f t="shared" si="13"/>
        <v>5.2814210910834847</v>
      </c>
    </row>
    <row r="112" spans="1:24" ht="15" customHeight="1">
      <c r="A112" s="64" t="s">
        <v>97</v>
      </c>
      <c r="B112" s="52">
        <f>'Расчет субсидий'!AF114</f>
        <v>12.390909090909076</v>
      </c>
      <c r="C112" s="53">
        <f>'Расчет субсидий'!D114-1</f>
        <v>-0.16980601630587566</v>
      </c>
      <c r="D112" s="53">
        <f>C112*'Расчет субсидий'!E114</f>
        <v>-2.5470902445881349</v>
      </c>
      <c r="E112" s="54">
        <f t="shared" si="9"/>
        <v>-16.120086392714175</v>
      </c>
      <c r="F112" s="53">
        <f>'Расчет субсидий'!F114-1</f>
        <v>0</v>
      </c>
      <c r="G112" s="53">
        <f>F112*'Расчет субсидий'!G114</f>
        <v>0</v>
      </c>
      <c r="H112" s="54">
        <f t="shared" si="10"/>
        <v>0</v>
      </c>
      <c r="I112" s="53">
        <f>'Расчет субсидий'!J114-1</f>
        <v>4.9435028248590029E-4</v>
      </c>
      <c r="J112" s="53">
        <f>I112*'Расчет субсидий'!K114</f>
        <v>4.9435028248590029E-3</v>
      </c>
      <c r="K112" s="54">
        <f t="shared" si="11"/>
        <v>3.128656033631802E-2</v>
      </c>
      <c r="L112" s="53" t="s">
        <v>394</v>
      </c>
      <c r="M112" s="53" t="s">
        <v>394</v>
      </c>
      <c r="N112" s="55" t="s">
        <v>394</v>
      </c>
      <c r="O112" s="53" t="s">
        <v>394</v>
      </c>
      <c r="P112" s="53" t="s">
        <v>394</v>
      </c>
      <c r="Q112" s="55" t="s">
        <v>394</v>
      </c>
      <c r="R112" s="53" t="s">
        <v>394</v>
      </c>
      <c r="S112" s="53" t="s">
        <v>394</v>
      </c>
      <c r="T112" s="55" t="s">
        <v>394</v>
      </c>
      <c r="U112" s="53">
        <f>'Расчет субсидий'!Z114-1</f>
        <v>0.30000000000000004</v>
      </c>
      <c r="V112" s="53">
        <f>U112*'Расчет субсидий'!AA114</f>
        <v>4.5000000000000009</v>
      </c>
      <c r="W112" s="54">
        <f t="shared" si="12"/>
        <v>28.479708923286935</v>
      </c>
      <c r="X112" s="56">
        <f t="shared" si="13"/>
        <v>1.957853258236725</v>
      </c>
    </row>
    <row r="113" spans="1:24" ht="15" customHeight="1">
      <c r="A113" s="64" t="s">
        <v>98</v>
      </c>
      <c r="B113" s="52">
        <f>'Расчет субсидий'!AF115</f>
        <v>43.22727272727272</v>
      </c>
      <c r="C113" s="53">
        <f>'Расчет субсидий'!D115-1</f>
        <v>0.30000000000000004</v>
      </c>
      <c r="D113" s="53">
        <f>C113*'Расчет субсидий'!E115</f>
        <v>4.5000000000000009</v>
      </c>
      <c r="E113" s="54">
        <f t="shared" si="9"/>
        <v>21.601770984093932</v>
      </c>
      <c r="F113" s="53">
        <f>'Расчет субсидий'!F115-1</f>
        <v>0</v>
      </c>
      <c r="G113" s="53">
        <f>F113*'Расчет субсидий'!G115</f>
        <v>0</v>
      </c>
      <c r="H113" s="54">
        <f t="shared" si="10"/>
        <v>0</v>
      </c>
      <c r="I113" s="53">
        <f>'Расчет субсидий'!J115-1</f>
        <v>4.9435028248590029E-4</v>
      </c>
      <c r="J113" s="53">
        <f>I113*'Расчет субсидий'!K115</f>
        <v>4.9435028248590029E-3</v>
      </c>
      <c r="K113" s="54">
        <f t="shared" si="11"/>
        <v>2.3730759084850127E-2</v>
      </c>
      <c r="L113" s="53" t="s">
        <v>394</v>
      </c>
      <c r="M113" s="53" t="s">
        <v>394</v>
      </c>
      <c r="N113" s="55" t="s">
        <v>394</v>
      </c>
      <c r="O113" s="53" t="s">
        <v>394</v>
      </c>
      <c r="P113" s="53" t="s">
        <v>394</v>
      </c>
      <c r="Q113" s="55" t="s">
        <v>394</v>
      </c>
      <c r="R113" s="53" t="s">
        <v>394</v>
      </c>
      <c r="S113" s="53" t="s">
        <v>394</v>
      </c>
      <c r="T113" s="55" t="s">
        <v>394</v>
      </c>
      <c r="U113" s="53">
        <f>'Расчет субсидий'!Z115-1</f>
        <v>0.30000000000000004</v>
      </c>
      <c r="V113" s="53">
        <f>U113*'Расчет субсидий'!AA115</f>
        <v>4.5000000000000009</v>
      </c>
      <c r="W113" s="54">
        <f t="shared" si="12"/>
        <v>21.601770984093932</v>
      </c>
      <c r="X113" s="56">
        <f t="shared" si="13"/>
        <v>9.0049435028248617</v>
      </c>
    </row>
    <row r="114" spans="1:24" ht="15" customHeight="1">
      <c r="A114" s="60" t="s">
        <v>99</v>
      </c>
      <c r="B114" s="61"/>
      <c r="C114" s="62"/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</row>
    <row r="115" spans="1:24" ht="15" customHeight="1">
      <c r="A115" s="64" t="s">
        <v>100</v>
      </c>
      <c r="B115" s="52">
        <f>'Расчет субсидий'!AF117</f>
        <v>30.68181818181813</v>
      </c>
      <c r="C115" s="53">
        <f>'Расчет субсидий'!D117-1</f>
        <v>7.030312796547955E-2</v>
      </c>
      <c r="D115" s="53">
        <f>C115*'Расчет субсидий'!E117</f>
        <v>1.0545469194821933</v>
      </c>
      <c r="E115" s="54">
        <f t="shared" si="9"/>
        <v>15.713213782956686</v>
      </c>
      <c r="F115" s="53">
        <f>'Расчет субсидий'!F117-1</f>
        <v>0</v>
      </c>
      <c r="G115" s="53">
        <f>F115*'Расчет субсидий'!G117</f>
        <v>0</v>
      </c>
      <c r="H115" s="54">
        <f t="shared" si="10"/>
        <v>0</v>
      </c>
      <c r="I115" s="53">
        <f>'Расчет субсидий'!J117-1</f>
        <v>6.0889115993868037E-2</v>
      </c>
      <c r="J115" s="53">
        <f>I115*'Расчет субсидий'!K117</f>
        <v>0.60889115993868037</v>
      </c>
      <c r="K115" s="54">
        <f t="shared" si="11"/>
        <v>9.0727465889966137</v>
      </c>
      <c r="L115" s="53" t="s">
        <v>394</v>
      </c>
      <c r="M115" s="53" t="s">
        <v>394</v>
      </c>
      <c r="N115" s="55" t="s">
        <v>394</v>
      </c>
      <c r="O115" s="53" t="s">
        <v>394</v>
      </c>
      <c r="P115" s="53" t="s">
        <v>394</v>
      </c>
      <c r="Q115" s="55" t="s">
        <v>394</v>
      </c>
      <c r="R115" s="53" t="s">
        <v>394</v>
      </c>
      <c r="S115" s="53" t="s">
        <v>394</v>
      </c>
      <c r="T115" s="55" t="s">
        <v>394</v>
      </c>
      <c r="U115" s="53">
        <f>'Расчет субсидий'!Z117-1</f>
        <v>2.6378896882494063E-2</v>
      </c>
      <c r="V115" s="53">
        <f>U115*'Расчет субсидий'!AA117</f>
        <v>0.39568345323741094</v>
      </c>
      <c r="W115" s="54">
        <f t="shared" si="12"/>
        <v>5.8958578098648262</v>
      </c>
      <c r="X115" s="56">
        <f t="shared" si="13"/>
        <v>2.0591215326582848</v>
      </c>
    </row>
    <row r="116" spans="1:24" ht="15" customHeight="1">
      <c r="A116" s="64" t="s">
        <v>101</v>
      </c>
      <c r="B116" s="52">
        <f>'Расчет субсидий'!AF118</f>
        <v>60.281818181818153</v>
      </c>
      <c r="C116" s="53">
        <f>'Расчет субсидий'!D118-1</f>
        <v>0.21194655217085545</v>
      </c>
      <c r="D116" s="53">
        <f>C116*'Расчет субсидий'!E118</f>
        <v>3.1791982825628318</v>
      </c>
      <c r="E116" s="54">
        <f t="shared" si="9"/>
        <v>45.807422536866206</v>
      </c>
      <c r="F116" s="53">
        <f>'Расчет субсидий'!F118-1</f>
        <v>0</v>
      </c>
      <c r="G116" s="53">
        <f>F116*'Расчет субсидий'!G118</f>
        <v>0</v>
      </c>
      <c r="H116" s="54">
        <f t="shared" si="10"/>
        <v>0</v>
      </c>
      <c r="I116" s="53">
        <f>'Расчет субсидий'!J118-1</f>
        <v>6.0889115993868037E-2</v>
      </c>
      <c r="J116" s="53">
        <f>I116*'Расчет субсидий'!K118</f>
        <v>0.60889115993868037</v>
      </c>
      <c r="K116" s="54">
        <f t="shared" si="11"/>
        <v>8.7731975684729804</v>
      </c>
      <c r="L116" s="53" t="s">
        <v>394</v>
      </c>
      <c r="M116" s="53" t="s">
        <v>394</v>
      </c>
      <c r="N116" s="55" t="s">
        <v>394</v>
      </c>
      <c r="O116" s="53" t="s">
        <v>394</v>
      </c>
      <c r="P116" s="53" t="s">
        <v>394</v>
      </c>
      <c r="Q116" s="55" t="s">
        <v>394</v>
      </c>
      <c r="R116" s="53" t="s">
        <v>394</v>
      </c>
      <c r="S116" s="53" t="s">
        <v>394</v>
      </c>
      <c r="T116" s="55" t="s">
        <v>394</v>
      </c>
      <c r="U116" s="53">
        <f>'Расчет субсидий'!Z118-1</f>
        <v>2.6378896882494063E-2</v>
      </c>
      <c r="V116" s="53">
        <f>U116*'Расчет субсидий'!AA118</f>
        <v>0.39568345323741094</v>
      </c>
      <c r="W116" s="54">
        <f t="shared" si="12"/>
        <v>5.7011980764789589</v>
      </c>
      <c r="X116" s="56">
        <f t="shared" si="13"/>
        <v>4.1837728957389233</v>
      </c>
    </row>
    <row r="117" spans="1:24" ht="15" customHeight="1">
      <c r="A117" s="64" t="s">
        <v>102</v>
      </c>
      <c r="B117" s="52">
        <f>'Расчет субсидий'!AF119</f>
        <v>-101.93636363636369</v>
      </c>
      <c r="C117" s="53">
        <f>'Расчет субсидий'!D119-1</f>
        <v>-0.37182243800936365</v>
      </c>
      <c r="D117" s="53">
        <f>C117*'Расчет субсидий'!E119</f>
        <v>-5.5773365701404547</v>
      </c>
      <c r="E117" s="54">
        <f t="shared" si="9"/>
        <v>-124.33041870249659</v>
      </c>
      <c r="F117" s="53">
        <f>'Расчет субсидий'!F119-1</f>
        <v>0</v>
      </c>
      <c r="G117" s="53">
        <f>F117*'Расчет субсидий'!G119</f>
        <v>0</v>
      </c>
      <c r="H117" s="54">
        <f t="shared" si="10"/>
        <v>0</v>
      </c>
      <c r="I117" s="53">
        <f>'Расчет субсидий'!J119-1</f>
        <v>6.0889115993868037E-2</v>
      </c>
      <c r="J117" s="53">
        <f>I117*'Расчет субсидий'!K119</f>
        <v>0.60889115993868037</v>
      </c>
      <c r="K117" s="54">
        <f t="shared" si="11"/>
        <v>13.57344888682565</v>
      </c>
      <c r="L117" s="53" t="s">
        <v>394</v>
      </c>
      <c r="M117" s="53" t="s">
        <v>394</v>
      </c>
      <c r="N117" s="55" t="s">
        <v>394</v>
      </c>
      <c r="O117" s="53" t="s">
        <v>394</v>
      </c>
      <c r="P117" s="53" t="s">
        <v>394</v>
      </c>
      <c r="Q117" s="55" t="s">
        <v>394</v>
      </c>
      <c r="R117" s="53" t="s">
        <v>394</v>
      </c>
      <c r="S117" s="53" t="s">
        <v>394</v>
      </c>
      <c r="T117" s="55" t="s">
        <v>394</v>
      </c>
      <c r="U117" s="53">
        <f>'Расчет субсидий'!Z119-1</f>
        <v>2.6378896882494063E-2</v>
      </c>
      <c r="V117" s="53">
        <f>U117*'Расчет субсидий'!AA119</f>
        <v>0.39568345323741094</v>
      </c>
      <c r="W117" s="54">
        <f t="shared" si="12"/>
        <v>8.8206061793072195</v>
      </c>
      <c r="X117" s="56">
        <f t="shared" si="13"/>
        <v>-4.5727619569643627</v>
      </c>
    </row>
    <row r="118" spans="1:24" ht="15" customHeight="1">
      <c r="A118" s="64" t="s">
        <v>103</v>
      </c>
      <c r="B118" s="52">
        <f>'Расчет субсидий'!AF120</f>
        <v>-50.909090909090878</v>
      </c>
      <c r="C118" s="53">
        <f>'Расчет субсидий'!D120-1</f>
        <v>-0.29438400100622597</v>
      </c>
      <c r="D118" s="53">
        <f>C118*'Расчет субсидий'!E120</f>
        <v>-4.4157600150933893</v>
      </c>
      <c r="E118" s="54">
        <f t="shared" si="9"/>
        <v>-65.901527344355131</v>
      </c>
      <c r="F118" s="53">
        <f>'Расчет субсидий'!F120-1</f>
        <v>0</v>
      </c>
      <c r="G118" s="53">
        <f>F118*'Расчет субсидий'!G120</f>
        <v>0</v>
      </c>
      <c r="H118" s="54">
        <f t="shared" si="10"/>
        <v>0</v>
      </c>
      <c r="I118" s="53">
        <f>'Расчет субсидий'!J120-1</f>
        <v>6.0889115993868037E-2</v>
      </c>
      <c r="J118" s="53">
        <f>I118*'Расчет субсидий'!K120</f>
        <v>0.60889115993868037</v>
      </c>
      <c r="K118" s="54">
        <f t="shared" si="11"/>
        <v>9.0871916248343521</v>
      </c>
      <c r="L118" s="53" t="s">
        <v>394</v>
      </c>
      <c r="M118" s="53" t="s">
        <v>394</v>
      </c>
      <c r="N118" s="55" t="s">
        <v>394</v>
      </c>
      <c r="O118" s="53" t="s">
        <v>394</v>
      </c>
      <c r="P118" s="53" t="s">
        <v>394</v>
      </c>
      <c r="Q118" s="55" t="s">
        <v>394</v>
      </c>
      <c r="R118" s="53" t="s">
        <v>394</v>
      </c>
      <c r="S118" s="53" t="s">
        <v>394</v>
      </c>
      <c r="T118" s="55" t="s">
        <v>394</v>
      </c>
      <c r="U118" s="53">
        <f>'Расчет субсидий'!Z120-1</f>
        <v>2.6378896882494063E-2</v>
      </c>
      <c r="V118" s="53">
        <f>U118*'Расчет субсидий'!AA120</f>
        <v>0.39568345323741094</v>
      </c>
      <c r="W118" s="54">
        <f t="shared" si="12"/>
        <v>5.9052448104299016</v>
      </c>
      <c r="X118" s="56">
        <f t="shared" si="13"/>
        <v>-3.4111854019172982</v>
      </c>
    </row>
    <row r="119" spans="1:24" ht="15" customHeight="1">
      <c r="A119" s="64" t="s">
        <v>104</v>
      </c>
      <c r="B119" s="52">
        <f>'Расчет субсидий'!AF121</f>
        <v>1.8090909090908553</v>
      </c>
      <c r="C119" s="53">
        <f>'Расчет субсидий'!D121-1</f>
        <v>-5.9921325593327746E-2</v>
      </c>
      <c r="D119" s="53">
        <f>C119*'Расчет субсидий'!E121</f>
        <v>-0.89881988389991618</v>
      </c>
      <c r="E119" s="54">
        <f t="shared" si="9"/>
        <v>-15.375642224255206</v>
      </c>
      <c r="F119" s="53">
        <f>'Расчет субсидий'!F121-1</f>
        <v>0</v>
      </c>
      <c r="G119" s="53">
        <f>F119*'Расчет субсидий'!G121</f>
        <v>0</v>
      </c>
      <c r="H119" s="54">
        <f t="shared" si="10"/>
        <v>0</v>
      </c>
      <c r="I119" s="53">
        <f>'Расчет субсидий'!J121-1</f>
        <v>6.0889115993868037E-2</v>
      </c>
      <c r="J119" s="53">
        <f>I119*'Расчет субсидий'!K121</f>
        <v>0.60889115993868037</v>
      </c>
      <c r="K119" s="54">
        <f t="shared" si="11"/>
        <v>10.415982997736368</v>
      </c>
      <c r="L119" s="53" t="s">
        <v>394</v>
      </c>
      <c r="M119" s="53" t="s">
        <v>394</v>
      </c>
      <c r="N119" s="55" t="s">
        <v>394</v>
      </c>
      <c r="O119" s="53" t="s">
        <v>394</v>
      </c>
      <c r="P119" s="53" t="s">
        <v>394</v>
      </c>
      <c r="Q119" s="55" t="s">
        <v>394</v>
      </c>
      <c r="R119" s="53" t="s">
        <v>394</v>
      </c>
      <c r="S119" s="53" t="s">
        <v>394</v>
      </c>
      <c r="T119" s="55" t="s">
        <v>394</v>
      </c>
      <c r="U119" s="53">
        <f>'Расчет субсидий'!Z121-1</f>
        <v>2.6378896882494063E-2</v>
      </c>
      <c r="V119" s="53">
        <f>U119*'Расчет субсидий'!AA121</f>
        <v>0.39568345323741094</v>
      </c>
      <c r="W119" s="54">
        <f t="shared" si="12"/>
        <v>6.7687501356096922</v>
      </c>
      <c r="X119" s="56">
        <f t="shared" si="13"/>
        <v>0.10575472927617513</v>
      </c>
    </row>
    <row r="120" spans="1:24" ht="15" customHeight="1">
      <c r="A120" s="64" t="s">
        <v>105</v>
      </c>
      <c r="B120" s="52">
        <f>'Расчет субсидий'!AF122</f>
        <v>4</v>
      </c>
      <c r="C120" s="53">
        <f>'Расчет субсидий'!D122-1</f>
        <v>-5.5333998005982044E-2</v>
      </c>
      <c r="D120" s="53">
        <f>C120*'Расчет субсидий'!E122</f>
        <v>-0.83000997008973065</v>
      </c>
      <c r="E120" s="54">
        <f t="shared" si="9"/>
        <v>-19.018970976364507</v>
      </c>
      <c r="F120" s="53">
        <f>'Расчет субсидий'!F122-1</f>
        <v>0</v>
      </c>
      <c r="G120" s="53">
        <f>F120*'Расчет субсидий'!G122</f>
        <v>0</v>
      </c>
      <c r="H120" s="54">
        <f t="shared" si="10"/>
        <v>0</v>
      </c>
      <c r="I120" s="53">
        <f>'Расчет субсидий'!J122-1</f>
        <v>6.0889115993868037E-2</v>
      </c>
      <c r="J120" s="53">
        <f>I120*'Расчет субсидий'!K122</f>
        <v>0.60889115993868037</v>
      </c>
      <c r="K120" s="54">
        <f t="shared" si="11"/>
        <v>13.952221920161682</v>
      </c>
      <c r="L120" s="53" t="s">
        <v>394</v>
      </c>
      <c r="M120" s="53" t="s">
        <v>394</v>
      </c>
      <c r="N120" s="55" t="s">
        <v>394</v>
      </c>
      <c r="O120" s="53" t="s">
        <v>394</v>
      </c>
      <c r="P120" s="53" t="s">
        <v>394</v>
      </c>
      <c r="Q120" s="55" t="s">
        <v>394</v>
      </c>
      <c r="R120" s="53" t="s">
        <v>394</v>
      </c>
      <c r="S120" s="53" t="s">
        <v>394</v>
      </c>
      <c r="T120" s="55" t="s">
        <v>394</v>
      </c>
      <c r="U120" s="53">
        <f>'Расчет субсидий'!Z122-1</f>
        <v>2.6378896882494063E-2</v>
      </c>
      <c r="V120" s="53">
        <f>U120*'Расчет субсидий'!AA122</f>
        <v>0.39568345323741094</v>
      </c>
      <c r="W120" s="54">
        <f t="shared" si="12"/>
        <v>9.066749056202827</v>
      </c>
      <c r="X120" s="56">
        <f t="shared" si="13"/>
        <v>0.17456464308636066</v>
      </c>
    </row>
    <row r="121" spans="1:24" ht="15" customHeight="1">
      <c r="A121" s="64" t="s">
        <v>106</v>
      </c>
      <c r="B121" s="52">
        <f>'Расчет субсидий'!AF123</f>
        <v>99.581818181818335</v>
      </c>
      <c r="C121" s="53">
        <f>'Расчет субсидий'!D123-1</f>
        <v>0.23199566374297809</v>
      </c>
      <c r="D121" s="53">
        <f>C121*'Расчет субсидий'!E123</f>
        <v>3.4799349561446711</v>
      </c>
      <c r="E121" s="54">
        <f t="shared" ref="E121:E184" si="14">$B121*D121/$X121</f>
        <v>77.274503427994759</v>
      </c>
      <c r="F121" s="53">
        <f>'Расчет субсидий'!F123-1</f>
        <v>0</v>
      </c>
      <c r="G121" s="53">
        <f>F121*'Расчет субсидий'!G123</f>
        <v>0</v>
      </c>
      <c r="H121" s="54">
        <f t="shared" ref="H121:H184" si="15">$B121*G121/$X121</f>
        <v>0</v>
      </c>
      <c r="I121" s="53">
        <f>'Расчет субсидий'!J123-1</f>
        <v>6.0889115993868037E-2</v>
      </c>
      <c r="J121" s="53">
        <f>I121*'Расчет субсидий'!K123</f>
        <v>0.60889115993868037</v>
      </c>
      <c r="K121" s="54">
        <f t="shared" ref="K121:K184" si="16">$B121*J121/$X121</f>
        <v>13.520873987278394</v>
      </c>
      <c r="L121" s="53" t="s">
        <v>394</v>
      </c>
      <c r="M121" s="53" t="s">
        <v>394</v>
      </c>
      <c r="N121" s="55" t="s">
        <v>394</v>
      </c>
      <c r="O121" s="53" t="s">
        <v>394</v>
      </c>
      <c r="P121" s="53" t="s">
        <v>394</v>
      </c>
      <c r="Q121" s="55" t="s">
        <v>394</v>
      </c>
      <c r="R121" s="53" t="s">
        <v>394</v>
      </c>
      <c r="S121" s="53" t="s">
        <v>394</v>
      </c>
      <c r="T121" s="55" t="s">
        <v>394</v>
      </c>
      <c r="U121" s="53">
        <f>'Расчет субсидий'!Z123-1</f>
        <v>2.6378896882494063E-2</v>
      </c>
      <c r="V121" s="53">
        <f>U121*'Расчет субсидий'!AA123</f>
        <v>0.39568345323741094</v>
      </c>
      <c r="W121" s="54">
        <f t="shared" ref="W121:W184" si="17">$B121*V121/$X121</f>
        <v>8.7864407665451694</v>
      </c>
      <c r="X121" s="56">
        <f t="shared" ref="X121:X184" si="18">D121+G121+J121+V121</f>
        <v>4.4845095693207631</v>
      </c>
    </row>
    <row r="122" spans="1:24" ht="15" customHeight="1">
      <c r="A122" s="64" t="s">
        <v>107</v>
      </c>
      <c r="B122" s="52">
        <f>'Расчет субсидий'!AF124</f>
        <v>-50.68181818181813</v>
      </c>
      <c r="C122" s="53">
        <f>'Расчет субсидий'!D124-1</f>
        <v>-0.29598453301606187</v>
      </c>
      <c r="D122" s="53">
        <f>C122*'Расчет субсидий'!E124</f>
        <v>-4.4397679952409277</v>
      </c>
      <c r="E122" s="54">
        <f t="shared" si="14"/>
        <v>-65.503012284275783</v>
      </c>
      <c r="F122" s="53">
        <f>'Расчет субсидий'!F124-1</f>
        <v>0</v>
      </c>
      <c r="G122" s="53">
        <f>F122*'Расчет субсидий'!G124</f>
        <v>0</v>
      </c>
      <c r="H122" s="54">
        <f t="shared" si="15"/>
        <v>0</v>
      </c>
      <c r="I122" s="53">
        <f>'Расчет субсидий'!J124-1</f>
        <v>6.0889115993868037E-2</v>
      </c>
      <c r="J122" s="53">
        <f>I122*'Расчет субсидий'!K124</f>
        <v>0.60889115993868037</v>
      </c>
      <c r="K122" s="54">
        <f t="shared" si="16"/>
        <v>8.9833984955977328</v>
      </c>
      <c r="L122" s="53" t="s">
        <v>394</v>
      </c>
      <c r="M122" s="53" t="s">
        <v>394</v>
      </c>
      <c r="N122" s="55" t="s">
        <v>394</v>
      </c>
      <c r="O122" s="53" t="s">
        <v>394</v>
      </c>
      <c r="P122" s="53" t="s">
        <v>394</v>
      </c>
      <c r="Q122" s="55" t="s">
        <v>394</v>
      </c>
      <c r="R122" s="53" t="s">
        <v>394</v>
      </c>
      <c r="S122" s="53" t="s">
        <v>394</v>
      </c>
      <c r="T122" s="55" t="s">
        <v>394</v>
      </c>
      <c r="U122" s="53">
        <f>'Расчет субсидий'!Z124-1</f>
        <v>2.6378896882494063E-2</v>
      </c>
      <c r="V122" s="53">
        <f>U122*'Расчет субсидий'!AA124</f>
        <v>0.39568345323741094</v>
      </c>
      <c r="W122" s="54">
        <f t="shared" si="17"/>
        <v>5.8377956068599266</v>
      </c>
      <c r="X122" s="56">
        <f t="shared" si="18"/>
        <v>-3.4351933820648366</v>
      </c>
    </row>
    <row r="123" spans="1:24" ht="15" customHeight="1">
      <c r="A123" s="64" t="s">
        <v>108</v>
      </c>
      <c r="B123" s="52">
        <f>'Расчет субсидий'!AF125</f>
        <v>-71.590909090909008</v>
      </c>
      <c r="C123" s="53">
        <f>'Расчет субсидий'!D125-1</f>
        <v>-0.19485861182519282</v>
      </c>
      <c r="D123" s="53">
        <f>C123*'Расчет субсидий'!E125</f>
        <v>-2.9228791773778924</v>
      </c>
      <c r="E123" s="54">
        <f t="shared" si="14"/>
        <v>-109.08151988807906</v>
      </c>
      <c r="F123" s="53">
        <f>'Расчет субсидий'!F125-1</f>
        <v>0</v>
      </c>
      <c r="G123" s="53">
        <f>F123*'Расчет субсидий'!G125</f>
        <v>0</v>
      </c>
      <c r="H123" s="54">
        <f t="shared" si="15"/>
        <v>0</v>
      </c>
      <c r="I123" s="53">
        <f>'Расчет субсидий'!J125-1</f>
        <v>6.0889115993868037E-2</v>
      </c>
      <c r="J123" s="53">
        <f>I123*'Расчет субсидий'!K125</f>
        <v>0.60889115993868037</v>
      </c>
      <c r="K123" s="54">
        <f t="shared" si="16"/>
        <v>22.723749132904906</v>
      </c>
      <c r="L123" s="53" t="s">
        <v>394</v>
      </c>
      <c r="M123" s="53" t="s">
        <v>394</v>
      </c>
      <c r="N123" s="55" t="s">
        <v>394</v>
      </c>
      <c r="O123" s="53" t="s">
        <v>394</v>
      </c>
      <c r="P123" s="53" t="s">
        <v>394</v>
      </c>
      <c r="Q123" s="55" t="s">
        <v>394</v>
      </c>
      <c r="R123" s="53" t="s">
        <v>394</v>
      </c>
      <c r="S123" s="53" t="s">
        <v>394</v>
      </c>
      <c r="T123" s="55" t="s">
        <v>394</v>
      </c>
      <c r="U123" s="53">
        <f>'Расчет субсидий'!Z125-1</f>
        <v>2.6378896882494063E-2</v>
      </c>
      <c r="V123" s="53">
        <f>U123*'Расчет субсидий'!AA125</f>
        <v>0.39568345323741094</v>
      </c>
      <c r="W123" s="54">
        <f t="shared" si="17"/>
        <v>14.766861664265145</v>
      </c>
      <c r="X123" s="56">
        <f t="shared" si="18"/>
        <v>-1.9183045642018011</v>
      </c>
    </row>
    <row r="124" spans="1:24" ht="15" customHeight="1">
      <c r="A124" s="64" t="s">
        <v>109</v>
      </c>
      <c r="B124" s="52">
        <f>'Расчет субсидий'!AF126</f>
        <v>0</v>
      </c>
      <c r="C124" s="53">
        <f>'Расчет субсидий'!D126-1</f>
        <v>4.7032324217108235E-2</v>
      </c>
      <c r="D124" s="53">
        <f>C124*'Расчет субсидий'!E126</f>
        <v>0.70548486325662352</v>
      </c>
      <c r="E124" s="54">
        <f t="shared" si="14"/>
        <v>0</v>
      </c>
      <c r="F124" s="53">
        <f>'Расчет субсидий'!F126-1</f>
        <v>0</v>
      </c>
      <c r="G124" s="53">
        <f>F124*'Расчет субсидий'!G126</f>
        <v>0</v>
      </c>
      <c r="H124" s="54">
        <f t="shared" si="15"/>
        <v>0</v>
      </c>
      <c r="I124" s="53">
        <f>'Расчет субсидий'!J126-1</f>
        <v>6.0889115993868037E-2</v>
      </c>
      <c r="J124" s="53">
        <f>I124*'Расчет субсидий'!K126</f>
        <v>0.60889115993868037</v>
      </c>
      <c r="K124" s="54">
        <f t="shared" si="16"/>
        <v>0</v>
      </c>
      <c r="L124" s="53" t="s">
        <v>394</v>
      </c>
      <c r="M124" s="53" t="s">
        <v>394</v>
      </c>
      <c r="N124" s="55" t="s">
        <v>394</v>
      </c>
      <c r="O124" s="53" t="s">
        <v>394</v>
      </c>
      <c r="P124" s="53" t="s">
        <v>394</v>
      </c>
      <c r="Q124" s="55" t="s">
        <v>394</v>
      </c>
      <c r="R124" s="53" t="s">
        <v>394</v>
      </c>
      <c r="S124" s="53" t="s">
        <v>394</v>
      </c>
      <c r="T124" s="55" t="s">
        <v>394</v>
      </c>
      <c r="U124" s="53">
        <f>'Расчет субсидий'!Z126-1</f>
        <v>2.6378896882494063E-2</v>
      </c>
      <c r="V124" s="53">
        <f>U124*'Расчет субсидий'!AA126</f>
        <v>0.39568345323741094</v>
      </c>
      <c r="W124" s="54">
        <f t="shared" si="17"/>
        <v>0</v>
      </c>
      <c r="X124" s="56">
        <f t="shared" si="18"/>
        <v>1.7100594764327148</v>
      </c>
    </row>
    <row r="125" spans="1:24" ht="15" customHeight="1">
      <c r="A125" s="64" t="s">
        <v>110</v>
      </c>
      <c r="B125" s="52">
        <f>'Расчет субсидий'!AF127</f>
        <v>137.40000000000009</v>
      </c>
      <c r="C125" s="53">
        <f>'Расчет субсидий'!D127-1</f>
        <v>0.23353120760822521</v>
      </c>
      <c r="D125" s="53">
        <f>C125*'Расчет субсидий'!E127</f>
        <v>3.5029681141233784</v>
      </c>
      <c r="E125" s="54">
        <f t="shared" si="14"/>
        <v>106.7783153702706</v>
      </c>
      <c r="F125" s="53">
        <f>'Расчет субсидий'!F127-1</f>
        <v>0</v>
      </c>
      <c r="G125" s="53">
        <f>F125*'Расчет субсидий'!G127</f>
        <v>0</v>
      </c>
      <c r="H125" s="54">
        <f t="shared" si="15"/>
        <v>0</v>
      </c>
      <c r="I125" s="53">
        <f>'Расчет субсидий'!J127-1</f>
        <v>6.0889115993868037E-2</v>
      </c>
      <c r="J125" s="53">
        <f>I125*'Расчет субсидий'!K127</f>
        <v>0.60889115993868037</v>
      </c>
      <c r="K125" s="54">
        <f t="shared" si="16"/>
        <v>18.560366575980868</v>
      </c>
      <c r="L125" s="53" t="s">
        <v>394</v>
      </c>
      <c r="M125" s="53" t="s">
        <v>394</v>
      </c>
      <c r="N125" s="55" t="s">
        <v>394</v>
      </c>
      <c r="O125" s="53" t="s">
        <v>394</v>
      </c>
      <c r="P125" s="53" t="s">
        <v>394</v>
      </c>
      <c r="Q125" s="55" t="s">
        <v>394</v>
      </c>
      <c r="R125" s="53" t="s">
        <v>394</v>
      </c>
      <c r="S125" s="53" t="s">
        <v>394</v>
      </c>
      <c r="T125" s="55" t="s">
        <v>394</v>
      </c>
      <c r="U125" s="53">
        <f>'Расчет субсидий'!Z127-1</f>
        <v>2.6378896882494063E-2</v>
      </c>
      <c r="V125" s="53">
        <f>U125*'Расчет субсидий'!AA127</f>
        <v>0.39568345323741094</v>
      </c>
      <c r="W125" s="54">
        <f t="shared" si="17"/>
        <v>12.061318053748598</v>
      </c>
      <c r="X125" s="56">
        <f t="shared" si="18"/>
        <v>4.5075427272994704</v>
      </c>
    </row>
    <row r="126" spans="1:24" ht="15" customHeight="1">
      <c r="A126" s="64" t="s">
        <v>111</v>
      </c>
      <c r="B126" s="52">
        <f>'Расчет субсидий'!AF128</f>
        <v>-63.754545454545507</v>
      </c>
      <c r="C126" s="53">
        <f>'Расчет субсидий'!D128-1</f>
        <v>-0.44442672619996804</v>
      </c>
      <c r="D126" s="53">
        <f>C126*'Расчет субсидий'!E128</f>
        <v>-6.6664008929995209</v>
      </c>
      <c r="E126" s="54">
        <f t="shared" si="14"/>
        <v>-75.066478154857009</v>
      </c>
      <c r="F126" s="53">
        <f>'Расчет субсидий'!F128-1</f>
        <v>0</v>
      </c>
      <c r="G126" s="53">
        <f>F126*'Расчет субсидий'!G128</f>
        <v>0</v>
      </c>
      <c r="H126" s="54">
        <f t="shared" si="15"/>
        <v>0</v>
      </c>
      <c r="I126" s="53">
        <f>'Расчет субсидий'!J128-1</f>
        <v>6.0889115993868037E-2</v>
      </c>
      <c r="J126" s="53">
        <f>I126*'Расчет субсидий'!K128</f>
        <v>0.60889115993868037</v>
      </c>
      <c r="K126" s="54">
        <f t="shared" si="16"/>
        <v>6.8563705798462209</v>
      </c>
      <c r="L126" s="53" t="s">
        <v>394</v>
      </c>
      <c r="M126" s="53" t="s">
        <v>394</v>
      </c>
      <c r="N126" s="55" t="s">
        <v>394</v>
      </c>
      <c r="O126" s="53" t="s">
        <v>394</v>
      </c>
      <c r="P126" s="53" t="s">
        <v>394</v>
      </c>
      <c r="Q126" s="55" t="s">
        <v>394</v>
      </c>
      <c r="R126" s="53" t="s">
        <v>394</v>
      </c>
      <c r="S126" s="53" t="s">
        <v>394</v>
      </c>
      <c r="T126" s="55" t="s">
        <v>394</v>
      </c>
      <c r="U126" s="53">
        <f>'Расчет субсидий'!Z128-1</f>
        <v>2.6378896882494063E-2</v>
      </c>
      <c r="V126" s="53">
        <f>U126*'Расчет субсидий'!AA128</f>
        <v>0.39568345323741094</v>
      </c>
      <c r="W126" s="54">
        <f t="shared" si="17"/>
        <v>4.4555621204652667</v>
      </c>
      <c r="X126" s="56">
        <f t="shared" si="18"/>
        <v>-5.6618262798234289</v>
      </c>
    </row>
    <row r="127" spans="1:24" ht="15" customHeight="1">
      <c r="A127" s="64" t="s">
        <v>112</v>
      </c>
      <c r="B127" s="52">
        <f>'Расчет субсидий'!AF129</f>
        <v>-80.390909090908963</v>
      </c>
      <c r="C127" s="53">
        <f>'Расчет субсидий'!D129-1</f>
        <v>-0.30006551648831614</v>
      </c>
      <c r="D127" s="53">
        <f>C127*'Расчет субсидий'!E129</f>
        <v>-4.5009827473247421</v>
      </c>
      <c r="E127" s="54">
        <f t="shared" si="14"/>
        <v>-103.48851763784089</v>
      </c>
      <c r="F127" s="53">
        <f>'Расчет субсидий'!F129-1</f>
        <v>0</v>
      </c>
      <c r="G127" s="53">
        <f>F127*'Расчет субсидий'!G129</f>
        <v>0</v>
      </c>
      <c r="H127" s="54">
        <f t="shared" si="15"/>
        <v>0</v>
      </c>
      <c r="I127" s="53">
        <f>'Расчет субсидий'!J129-1</f>
        <v>6.0889115993868037E-2</v>
      </c>
      <c r="J127" s="53">
        <f>I127*'Расчет субсидий'!K129</f>
        <v>0.60889115993868037</v>
      </c>
      <c r="K127" s="54">
        <f t="shared" si="16"/>
        <v>13.999885598826793</v>
      </c>
      <c r="L127" s="53" t="s">
        <v>394</v>
      </c>
      <c r="M127" s="53" t="s">
        <v>394</v>
      </c>
      <c r="N127" s="55" t="s">
        <v>394</v>
      </c>
      <c r="O127" s="53" t="s">
        <v>394</v>
      </c>
      <c r="P127" s="53" t="s">
        <v>394</v>
      </c>
      <c r="Q127" s="55" t="s">
        <v>394</v>
      </c>
      <c r="R127" s="53" t="s">
        <v>394</v>
      </c>
      <c r="S127" s="53" t="s">
        <v>394</v>
      </c>
      <c r="T127" s="55" t="s">
        <v>394</v>
      </c>
      <c r="U127" s="53">
        <f>'Расчет субсидий'!Z129-1</f>
        <v>2.6378896882494063E-2</v>
      </c>
      <c r="V127" s="53">
        <f>U127*'Расчет субсидий'!AA129</f>
        <v>0.39568345323741094</v>
      </c>
      <c r="W127" s="54">
        <f t="shared" si="17"/>
        <v>9.0977229481051314</v>
      </c>
      <c r="X127" s="56">
        <f t="shared" si="18"/>
        <v>-3.496408134148651</v>
      </c>
    </row>
    <row r="128" spans="1:24" ht="15" customHeight="1">
      <c r="A128" s="64" t="s">
        <v>113</v>
      </c>
      <c r="B128" s="52">
        <f>'Расчет субсидий'!AF130</f>
        <v>-16.74545454545455</v>
      </c>
      <c r="C128" s="53">
        <f>'Расчет субсидий'!D130-1</f>
        <v>-0.14525268879380138</v>
      </c>
      <c r="D128" s="53">
        <f>C128*'Расчет субсидий'!E130</f>
        <v>-2.1787903319070208</v>
      </c>
      <c r="E128" s="54">
        <f t="shared" si="14"/>
        <v>-31.071662459481448</v>
      </c>
      <c r="F128" s="53">
        <f>'Расчет субсидий'!F130-1</f>
        <v>0</v>
      </c>
      <c r="G128" s="53">
        <f>F128*'Расчет субсидий'!G130</f>
        <v>0</v>
      </c>
      <c r="H128" s="54">
        <f t="shared" si="15"/>
        <v>0</v>
      </c>
      <c r="I128" s="53">
        <f>'Расчет субсидий'!J130-1</f>
        <v>6.0889115993868037E-2</v>
      </c>
      <c r="J128" s="53">
        <f>I128*'Расчет субсидий'!K130</f>
        <v>0.60889115993868037</v>
      </c>
      <c r="K128" s="54">
        <f t="shared" si="16"/>
        <v>8.6833782577038647</v>
      </c>
      <c r="L128" s="53" t="s">
        <v>394</v>
      </c>
      <c r="M128" s="53" t="s">
        <v>394</v>
      </c>
      <c r="N128" s="55" t="s">
        <v>394</v>
      </c>
      <c r="O128" s="53" t="s">
        <v>394</v>
      </c>
      <c r="P128" s="53" t="s">
        <v>394</v>
      </c>
      <c r="Q128" s="55" t="s">
        <v>394</v>
      </c>
      <c r="R128" s="53" t="s">
        <v>394</v>
      </c>
      <c r="S128" s="53" t="s">
        <v>394</v>
      </c>
      <c r="T128" s="55" t="s">
        <v>394</v>
      </c>
      <c r="U128" s="53">
        <f>'Расчет субсидий'!Z130-1</f>
        <v>2.6378896882494063E-2</v>
      </c>
      <c r="V128" s="53">
        <f>U128*'Расчет субсидий'!AA130</f>
        <v>0.39568345323741094</v>
      </c>
      <c r="W128" s="54">
        <f t="shared" si="17"/>
        <v>5.6428296563230349</v>
      </c>
      <c r="X128" s="56">
        <f t="shared" si="18"/>
        <v>-1.1742157187309294</v>
      </c>
    </row>
    <row r="129" spans="1:24" ht="15" customHeight="1">
      <c r="A129" s="64" t="s">
        <v>114</v>
      </c>
      <c r="B129" s="52">
        <f>'Расчет субсидий'!AF131</f>
        <v>92</v>
      </c>
      <c r="C129" s="53">
        <f>'Расчет субсидий'!D131-1</f>
        <v>0.26914252399318328</v>
      </c>
      <c r="D129" s="53">
        <f>C129*'Расчет субсидий'!E131</f>
        <v>4.037137859897749</v>
      </c>
      <c r="E129" s="54">
        <f t="shared" si="14"/>
        <v>73.668755426694702</v>
      </c>
      <c r="F129" s="53">
        <f>'Расчет субсидий'!F131-1</f>
        <v>0</v>
      </c>
      <c r="G129" s="53">
        <f>F129*'Расчет субсидий'!G131</f>
        <v>0</v>
      </c>
      <c r="H129" s="54">
        <f t="shared" si="15"/>
        <v>0</v>
      </c>
      <c r="I129" s="53">
        <f>'Расчет субсидий'!J131-1</f>
        <v>6.0889115993868037E-2</v>
      </c>
      <c r="J129" s="53">
        <f>I129*'Расчет субсидий'!K131</f>
        <v>0.60889115993868037</v>
      </c>
      <c r="K129" s="54">
        <f t="shared" si="16"/>
        <v>11.110904680410194</v>
      </c>
      <c r="L129" s="53" t="s">
        <v>394</v>
      </c>
      <c r="M129" s="53" t="s">
        <v>394</v>
      </c>
      <c r="N129" s="55" t="s">
        <v>394</v>
      </c>
      <c r="O129" s="53" t="s">
        <v>394</v>
      </c>
      <c r="P129" s="53" t="s">
        <v>394</v>
      </c>
      <c r="Q129" s="55" t="s">
        <v>394</v>
      </c>
      <c r="R129" s="53" t="s">
        <v>394</v>
      </c>
      <c r="S129" s="53" t="s">
        <v>394</v>
      </c>
      <c r="T129" s="55" t="s">
        <v>394</v>
      </c>
      <c r="U129" s="53">
        <f>'Расчет субсидий'!Z131-1</f>
        <v>2.6378896882494063E-2</v>
      </c>
      <c r="V129" s="53">
        <f>U129*'Расчет субсидий'!AA131</f>
        <v>0.39568345323741094</v>
      </c>
      <c r="W129" s="54">
        <f t="shared" si="17"/>
        <v>7.2203398928950886</v>
      </c>
      <c r="X129" s="56">
        <f t="shared" si="18"/>
        <v>5.041712473073841</v>
      </c>
    </row>
    <row r="130" spans="1:24" ht="15" customHeight="1">
      <c r="A130" s="60" t="s">
        <v>115</v>
      </c>
      <c r="B130" s="61"/>
      <c r="C130" s="62"/>
      <c r="D130" s="62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</row>
    <row r="131" spans="1:24" ht="15" customHeight="1">
      <c r="A131" s="64" t="s">
        <v>116</v>
      </c>
      <c r="B131" s="52">
        <f>'Расчет субсидий'!AF133</f>
        <v>-40.609090909090924</v>
      </c>
      <c r="C131" s="53">
        <f>'Расчет субсидий'!D133-1</f>
        <v>7.4252651880424292E-2</v>
      </c>
      <c r="D131" s="53">
        <f>C131*'Расчет субсидий'!E133</f>
        <v>1.1137897782063644</v>
      </c>
      <c r="E131" s="54">
        <f t="shared" si="14"/>
        <v>8.5318022905566835</v>
      </c>
      <c r="F131" s="53">
        <f>'Расчет субсидий'!F133-1</f>
        <v>0</v>
      </c>
      <c r="G131" s="53">
        <f>F131*'Расчет субсидий'!G133</f>
        <v>0</v>
      </c>
      <c r="H131" s="54">
        <f t="shared" si="15"/>
        <v>0</v>
      </c>
      <c r="I131" s="53">
        <f>'Расчет субсидий'!J133-1</f>
        <v>-8.6513043478260832E-2</v>
      </c>
      <c r="J131" s="53">
        <f>I131*'Расчет субсидий'!K133</f>
        <v>-0.86513043478260832</v>
      </c>
      <c r="K131" s="54">
        <f t="shared" si="16"/>
        <v>-6.6270331884308007</v>
      </c>
      <c r="L131" s="53" t="s">
        <v>394</v>
      </c>
      <c r="M131" s="53" t="s">
        <v>394</v>
      </c>
      <c r="N131" s="55" t="s">
        <v>394</v>
      </c>
      <c r="O131" s="53" t="s">
        <v>394</v>
      </c>
      <c r="P131" s="53" t="s">
        <v>394</v>
      </c>
      <c r="Q131" s="55" t="s">
        <v>394</v>
      </c>
      <c r="R131" s="53" t="s">
        <v>394</v>
      </c>
      <c r="S131" s="53" t="s">
        <v>394</v>
      </c>
      <c r="T131" s="55" t="s">
        <v>394</v>
      </c>
      <c r="U131" s="53">
        <f>'Расчет субсидий'!Z133-1</f>
        <v>-0.37</v>
      </c>
      <c r="V131" s="53">
        <f>U131*'Расчет субсидий'!AA133</f>
        <v>-5.55</v>
      </c>
      <c r="W131" s="54">
        <f t="shared" si="17"/>
        <v>-42.513860011216806</v>
      </c>
      <c r="X131" s="56">
        <f t="shared" si="18"/>
        <v>-5.3013406565762438</v>
      </c>
    </row>
    <row r="132" spans="1:24" ht="15" customHeight="1">
      <c r="A132" s="64" t="s">
        <v>117</v>
      </c>
      <c r="B132" s="52">
        <f>'Расчет субсидий'!AF134</f>
        <v>-23.699999999999989</v>
      </c>
      <c r="C132" s="53">
        <f>'Расчет субсидий'!D134-1</f>
        <v>-7.8849774633422798E-2</v>
      </c>
      <c r="D132" s="53">
        <f>C132*'Расчет субсидий'!E134</f>
        <v>-1.1827466195013421</v>
      </c>
      <c r="E132" s="54">
        <f t="shared" si="14"/>
        <v>-3.6893325177428182</v>
      </c>
      <c r="F132" s="53">
        <f>'Расчет субсидий'!F134-1</f>
        <v>0</v>
      </c>
      <c r="G132" s="53">
        <f>F132*'Расчет субсидий'!G134</f>
        <v>0</v>
      </c>
      <c r="H132" s="54">
        <f t="shared" si="15"/>
        <v>0</v>
      </c>
      <c r="I132" s="53">
        <f>'Расчет субсидий'!J134-1</f>
        <v>-8.6513043478260832E-2</v>
      </c>
      <c r="J132" s="53">
        <f>I132*'Расчет субсидий'!K134</f>
        <v>-0.86513043478260832</v>
      </c>
      <c r="K132" s="54">
        <f t="shared" si="16"/>
        <v>-2.6985947729684785</v>
      </c>
      <c r="L132" s="53" t="s">
        <v>394</v>
      </c>
      <c r="M132" s="53" t="s">
        <v>394</v>
      </c>
      <c r="N132" s="55" t="s">
        <v>394</v>
      </c>
      <c r="O132" s="53" t="s">
        <v>394</v>
      </c>
      <c r="P132" s="53" t="s">
        <v>394</v>
      </c>
      <c r="Q132" s="55" t="s">
        <v>394</v>
      </c>
      <c r="R132" s="53" t="s">
        <v>394</v>
      </c>
      <c r="S132" s="53" t="s">
        <v>394</v>
      </c>
      <c r="T132" s="55" t="s">
        <v>394</v>
      </c>
      <c r="U132" s="53">
        <f>'Расчет субсидий'!Z134-1</f>
        <v>-0.37</v>
      </c>
      <c r="V132" s="53">
        <f>U132*'Расчет субсидий'!AA134</f>
        <v>-5.55</v>
      </c>
      <c r="W132" s="54">
        <f t="shared" si="17"/>
        <v>-17.312072709288692</v>
      </c>
      <c r="X132" s="56">
        <f t="shared" si="18"/>
        <v>-7.5978770542839502</v>
      </c>
    </row>
    <row r="133" spans="1:24" ht="15" customHeight="1">
      <c r="A133" s="64" t="s">
        <v>118</v>
      </c>
      <c r="B133" s="52">
        <f>'Расчет субсидий'!AF135</f>
        <v>-62.718181818181819</v>
      </c>
      <c r="C133" s="53">
        <f>'Расчет субсидий'!D135-1</f>
        <v>-0.24038273774653396</v>
      </c>
      <c r="D133" s="53">
        <f>C133*'Расчет субсидий'!E135</f>
        <v>-3.6057410661980094</v>
      </c>
      <c r="E133" s="54">
        <f t="shared" si="14"/>
        <v>-22.567450720923969</v>
      </c>
      <c r="F133" s="53">
        <f>'Расчет субсидий'!F135-1</f>
        <v>0</v>
      </c>
      <c r="G133" s="53">
        <f>F133*'Расчет субсидий'!G135</f>
        <v>0</v>
      </c>
      <c r="H133" s="54">
        <f t="shared" si="15"/>
        <v>0</v>
      </c>
      <c r="I133" s="53">
        <f>'Расчет субсидий'!J135-1</f>
        <v>-8.6513043478260832E-2</v>
      </c>
      <c r="J133" s="53">
        <f>I133*'Расчет субсидий'!K135</f>
        <v>-0.86513043478260832</v>
      </c>
      <c r="K133" s="54">
        <f t="shared" si="16"/>
        <v>-5.4146396248897739</v>
      </c>
      <c r="L133" s="53" t="s">
        <v>394</v>
      </c>
      <c r="M133" s="53" t="s">
        <v>394</v>
      </c>
      <c r="N133" s="55" t="s">
        <v>394</v>
      </c>
      <c r="O133" s="53" t="s">
        <v>394</v>
      </c>
      <c r="P133" s="53" t="s">
        <v>394</v>
      </c>
      <c r="Q133" s="55" t="s">
        <v>394</v>
      </c>
      <c r="R133" s="53" t="s">
        <v>394</v>
      </c>
      <c r="S133" s="53" t="s">
        <v>394</v>
      </c>
      <c r="T133" s="55" t="s">
        <v>394</v>
      </c>
      <c r="U133" s="53">
        <f>'Расчет субсидий'!Z135-1</f>
        <v>-0.37</v>
      </c>
      <c r="V133" s="53">
        <f>U133*'Расчет субсидий'!AA135</f>
        <v>-5.55</v>
      </c>
      <c r="W133" s="54">
        <f t="shared" si="17"/>
        <v>-34.736091472368066</v>
      </c>
      <c r="X133" s="56">
        <f t="shared" si="18"/>
        <v>-10.020871500980618</v>
      </c>
    </row>
    <row r="134" spans="1:24" ht="15" customHeight="1">
      <c r="A134" s="64" t="s">
        <v>119</v>
      </c>
      <c r="B134" s="52">
        <f>'Расчет субсидий'!AF136</f>
        <v>-32.290909090909111</v>
      </c>
      <c r="C134" s="53">
        <f>'Расчет субсидий'!D136-1</f>
        <v>0.17909922589725569</v>
      </c>
      <c r="D134" s="53">
        <f>C134*'Расчет субсидий'!E136</f>
        <v>2.6864883884588355</v>
      </c>
      <c r="E134" s="54">
        <f t="shared" si="14"/>
        <v>23.265615537173076</v>
      </c>
      <c r="F134" s="53">
        <f>'Расчет субсидий'!F136-1</f>
        <v>0</v>
      </c>
      <c r="G134" s="53">
        <f>F134*'Расчет субсидий'!G136</f>
        <v>0</v>
      </c>
      <c r="H134" s="54">
        <f t="shared" si="15"/>
        <v>0</v>
      </c>
      <c r="I134" s="53">
        <f>'Расчет субсидий'!J136-1</f>
        <v>-8.6513043478260832E-2</v>
      </c>
      <c r="J134" s="53">
        <f>I134*'Расчет субсидий'!K136</f>
        <v>-0.86513043478260832</v>
      </c>
      <c r="K134" s="54">
        <f t="shared" si="16"/>
        <v>-7.4922311861196285</v>
      </c>
      <c r="L134" s="53" t="s">
        <v>394</v>
      </c>
      <c r="M134" s="53" t="s">
        <v>394</v>
      </c>
      <c r="N134" s="55" t="s">
        <v>394</v>
      </c>
      <c r="O134" s="53" t="s">
        <v>394</v>
      </c>
      <c r="P134" s="53" t="s">
        <v>394</v>
      </c>
      <c r="Q134" s="55" t="s">
        <v>394</v>
      </c>
      <c r="R134" s="53" t="s">
        <v>394</v>
      </c>
      <c r="S134" s="53" t="s">
        <v>394</v>
      </c>
      <c r="T134" s="55" t="s">
        <v>394</v>
      </c>
      <c r="U134" s="53">
        <f>'Расчет субсидий'!Z136-1</f>
        <v>-0.37</v>
      </c>
      <c r="V134" s="53">
        <f>U134*'Расчет субсидий'!AA136</f>
        <v>-5.55</v>
      </c>
      <c r="W134" s="54">
        <f t="shared" si="17"/>
        <v>-48.064293441962555</v>
      </c>
      <c r="X134" s="56">
        <f t="shared" si="18"/>
        <v>-3.7286420463237726</v>
      </c>
    </row>
    <row r="135" spans="1:24" ht="15" customHeight="1">
      <c r="A135" s="64" t="s">
        <v>120</v>
      </c>
      <c r="B135" s="52">
        <f>'Расчет субсидий'!AF137</f>
        <v>-107.97272727272724</v>
      </c>
      <c r="C135" s="53">
        <f>'Расчет субсидий'!D137-1</f>
        <v>-0.37679932260795934</v>
      </c>
      <c r="D135" s="53">
        <f>C135*'Расчет субсидий'!E137</f>
        <v>-5.6519898391193903</v>
      </c>
      <c r="E135" s="54">
        <f t="shared" si="14"/>
        <v>-50.572194823258421</v>
      </c>
      <c r="F135" s="53">
        <f>'Расчет субсидий'!F137-1</f>
        <v>0</v>
      </c>
      <c r="G135" s="53">
        <f>F135*'Расчет субсидий'!G137</f>
        <v>0</v>
      </c>
      <c r="H135" s="54">
        <f t="shared" si="15"/>
        <v>0</v>
      </c>
      <c r="I135" s="53">
        <f>'Расчет субсидий'!J137-1</f>
        <v>-8.6513043478260832E-2</v>
      </c>
      <c r="J135" s="53">
        <f>I135*'Расчет субсидий'!K137</f>
        <v>-0.86513043478260832</v>
      </c>
      <c r="K135" s="54">
        <f t="shared" si="16"/>
        <v>-7.7409100406615483</v>
      </c>
      <c r="L135" s="53" t="s">
        <v>394</v>
      </c>
      <c r="M135" s="53" t="s">
        <v>394</v>
      </c>
      <c r="N135" s="55" t="s">
        <v>394</v>
      </c>
      <c r="O135" s="53" t="s">
        <v>394</v>
      </c>
      <c r="P135" s="53" t="s">
        <v>394</v>
      </c>
      <c r="Q135" s="55" t="s">
        <v>394</v>
      </c>
      <c r="R135" s="53" t="s">
        <v>394</v>
      </c>
      <c r="S135" s="53" t="s">
        <v>394</v>
      </c>
      <c r="T135" s="55" t="s">
        <v>394</v>
      </c>
      <c r="U135" s="53">
        <f>'Расчет субсидий'!Z137-1</f>
        <v>-0.37</v>
      </c>
      <c r="V135" s="53">
        <f>U135*'Расчет субсидий'!AA137</f>
        <v>-5.55</v>
      </c>
      <c r="W135" s="54">
        <f t="shared" si="17"/>
        <v>-49.659622408807266</v>
      </c>
      <c r="X135" s="56">
        <f t="shared" si="18"/>
        <v>-12.067120273901999</v>
      </c>
    </row>
    <row r="136" spans="1:24" ht="15" customHeight="1">
      <c r="A136" s="64" t="s">
        <v>121</v>
      </c>
      <c r="B136" s="52">
        <f>'Расчет субсидий'!AF138</f>
        <v>-81.463636363636397</v>
      </c>
      <c r="C136" s="53">
        <f>'Расчет субсидий'!D138-1</f>
        <v>-0.19481571486431748</v>
      </c>
      <c r="D136" s="53">
        <f>C136*'Расчет субсидий'!E138</f>
        <v>-2.9222357229647624</v>
      </c>
      <c r="E136" s="54">
        <f t="shared" si="14"/>
        <v>-25.494978378555977</v>
      </c>
      <c r="F136" s="53">
        <f>'Расчет субсидий'!F138-1</f>
        <v>0</v>
      </c>
      <c r="G136" s="53">
        <f>F136*'Расчет субсидий'!G138</f>
        <v>0</v>
      </c>
      <c r="H136" s="54">
        <f t="shared" si="15"/>
        <v>0</v>
      </c>
      <c r="I136" s="53">
        <f>'Расчет субсидий'!J138-1</f>
        <v>-8.6513043478260832E-2</v>
      </c>
      <c r="J136" s="53">
        <f>I136*'Расчет субсидий'!K138</f>
        <v>-0.86513043478260832</v>
      </c>
      <c r="K136" s="54">
        <f t="shared" si="16"/>
        <v>-7.5478105876537116</v>
      </c>
      <c r="L136" s="53" t="s">
        <v>394</v>
      </c>
      <c r="M136" s="53" t="s">
        <v>394</v>
      </c>
      <c r="N136" s="55" t="s">
        <v>394</v>
      </c>
      <c r="O136" s="53" t="s">
        <v>394</v>
      </c>
      <c r="P136" s="53" t="s">
        <v>394</v>
      </c>
      <c r="Q136" s="55" t="s">
        <v>394</v>
      </c>
      <c r="R136" s="53" t="s">
        <v>394</v>
      </c>
      <c r="S136" s="53" t="s">
        <v>394</v>
      </c>
      <c r="T136" s="55" t="s">
        <v>394</v>
      </c>
      <c r="U136" s="53">
        <f>'Расчет субсидий'!Z138-1</f>
        <v>-0.37</v>
      </c>
      <c r="V136" s="53">
        <f>U136*'Расчет субсидий'!AA138</f>
        <v>-5.55</v>
      </c>
      <c r="W136" s="54">
        <f t="shared" si="17"/>
        <v>-48.420847397426712</v>
      </c>
      <c r="X136" s="56">
        <f t="shared" si="18"/>
        <v>-9.3373661577473701</v>
      </c>
    </row>
    <row r="137" spans="1:24" ht="15" customHeight="1">
      <c r="A137" s="64" t="s">
        <v>122</v>
      </c>
      <c r="B137" s="52">
        <f>'Расчет субсидий'!AF139</f>
        <v>-11.654545454545428</v>
      </c>
      <c r="C137" s="53">
        <f>'Расчет субсидий'!D139-1</f>
        <v>0.29784776902887122</v>
      </c>
      <c r="D137" s="53">
        <f>C137*'Расчет субсидий'!E139</f>
        <v>4.4677165354330679</v>
      </c>
      <c r="E137" s="54">
        <f t="shared" si="14"/>
        <v>26.737616208665578</v>
      </c>
      <c r="F137" s="53">
        <f>'Расчет субсидий'!F139-1</f>
        <v>0</v>
      </c>
      <c r="G137" s="53">
        <f>F137*'Расчет субсидий'!G139</f>
        <v>0</v>
      </c>
      <c r="H137" s="54">
        <f t="shared" si="15"/>
        <v>0</v>
      </c>
      <c r="I137" s="53">
        <f>'Расчет субсидий'!J139-1</f>
        <v>-8.6513043478260832E-2</v>
      </c>
      <c r="J137" s="53">
        <f>I137*'Расчет субсидий'!K139</f>
        <v>-0.86513043478260832</v>
      </c>
      <c r="K137" s="54">
        <f t="shared" si="16"/>
        <v>-5.1774828040676413</v>
      </c>
      <c r="L137" s="53" t="s">
        <v>394</v>
      </c>
      <c r="M137" s="53" t="s">
        <v>394</v>
      </c>
      <c r="N137" s="55" t="s">
        <v>394</v>
      </c>
      <c r="O137" s="53" t="s">
        <v>394</v>
      </c>
      <c r="P137" s="53" t="s">
        <v>394</v>
      </c>
      <c r="Q137" s="55" t="s">
        <v>394</v>
      </c>
      <c r="R137" s="53" t="s">
        <v>394</v>
      </c>
      <c r="S137" s="53" t="s">
        <v>394</v>
      </c>
      <c r="T137" s="55" t="s">
        <v>394</v>
      </c>
      <c r="U137" s="53">
        <f>'Расчет субсидий'!Z139-1</f>
        <v>-0.37</v>
      </c>
      <c r="V137" s="53">
        <f>U137*'Расчет субсидий'!AA139</f>
        <v>-5.55</v>
      </c>
      <c r="W137" s="54">
        <f t="shared" si="17"/>
        <v>-33.214678859143369</v>
      </c>
      <c r="X137" s="56">
        <f t="shared" si="18"/>
        <v>-1.9474138993495402</v>
      </c>
    </row>
    <row r="138" spans="1:24" ht="15" customHeight="1">
      <c r="A138" s="60" t="s">
        <v>123</v>
      </c>
      <c r="B138" s="61"/>
      <c r="C138" s="62"/>
      <c r="D138" s="6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</row>
    <row r="139" spans="1:24" ht="15" customHeight="1">
      <c r="A139" s="64" t="s">
        <v>124</v>
      </c>
      <c r="B139" s="52">
        <f>'Расчет субсидий'!AF141</f>
        <v>9.863636363636374</v>
      </c>
      <c r="C139" s="53">
        <f>'Расчет субсидий'!D141-1</f>
        <v>-0.1628795703367073</v>
      </c>
      <c r="D139" s="53">
        <f>C139*'Расчет субсидий'!E141</f>
        <v>-2.4431935550506094</v>
      </c>
      <c r="E139" s="54">
        <f t="shared" si="14"/>
        <v>-18.375375524465994</v>
      </c>
      <c r="F139" s="53">
        <f>'Расчет субсидий'!F141-1</f>
        <v>0</v>
      </c>
      <c r="G139" s="53">
        <f>F139*'Расчет субсидий'!G141</f>
        <v>0</v>
      </c>
      <c r="H139" s="54">
        <f t="shared" si="15"/>
        <v>0</v>
      </c>
      <c r="I139" s="53">
        <f>'Расчет субсидий'!J141-1</f>
        <v>2.671645919778709E-2</v>
      </c>
      <c r="J139" s="53">
        <f>I139*'Расчет субсидий'!K141</f>
        <v>0.2671645919778709</v>
      </c>
      <c r="K139" s="54">
        <f t="shared" si="16"/>
        <v>2.0093576680757166</v>
      </c>
      <c r="L139" s="53" t="s">
        <v>394</v>
      </c>
      <c r="M139" s="53" t="s">
        <v>394</v>
      </c>
      <c r="N139" s="55" t="s">
        <v>394</v>
      </c>
      <c r="O139" s="53" t="s">
        <v>394</v>
      </c>
      <c r="P139" s="53" t="s">
        <v>394</v>
      </c>
      <c r="Q139" s="55" t="s">
        <v>394</v>
      </c>
      <c r="R139" s="53" t="s">
        <v>394</v>
      </c>
      <c r="S139" s="53" t="s">
        <v>394</v>
      </c>
      <c r="T139" s="55" t="s">
        <v>394</v>
      </c>
      <c r="U139" s="53">
        <f>'Расчет субсидий'!Z141-1</f>
        <v>0.23249999999999993</v>
      </c>
      <c r="V139" s="53">
        <f>U139*'Расчет субсидий'!AA141</f>
        <v>3.4874999999999989</v>
      </c>
      <c r="W139" s="54">
        <f t="shared" si="17"/>
        <v>26.229654220026653</v>
      </c>
      <c r="X139" s="56">
        <f t="shared" si="18"/>
        <v>1.3114710369272604</v>
      </c>
    </row>
    <row r="140" spans="1:24" ht="15" customHeight="1">
      <c r="A140" s="64" t="s">
        <v>125</v>
      </c>
      <c r="B140" s="52">
        <f>'Расчет субсидий'!AF142</f>
        <v>-22.627272727272725</v>
      </c>
      <c r="C140" s="53">
        <f>'Расчет субсидий'!D142-1</f>
        <v>-0.46707960541408577</v>
      </c>
      <c r="D140" s="53">
        <f>C140*'Расчет субсидий'!E142</f>
        <v>-7.0061940812112864</v>
      </c>
      <c r="E140" s="54">
        <f t="shared" si="14"/>
        <v>-48.755843913058641</v>
      </c>
      <c r="F140" s="53">
        <f>'Расчет субсидий'!F142-1</f>
        <v>0</v>
      </c>
      <c r="G140" s="53">
        <f>F140*'Расчет субсидий'!G142</f>
        <v>0</v>
      </c>
      <c r="H140" s="54">
        <f t="shared" si="15"/>
        <v>0</v>
      </c>
      <c r="I140" s="53">
        <f>'Расчет субсидий'!J142-1</f>
        <v>2.671645919778709E-2</v>
      </c>
      <c r="J140" s="53">
        <f>I140*'Расчет субсидий'!K142</f>
        <v>0.2671645919778709</v>
      </c>
      <c r="K140" s="54">
        <f t="shared" si="16"/>
        <v>1.8591884544707136</v>
      </c>
      <c r="L140" s="53" t="s">
        <v>394</v>
      </c>
      <c r="M140" s="53" t="s">
        <v>394</v>
      </c>
      <c r="N140" s="55" t="s">
        <v>394</v>
      </c>
      <c r="O140" s="53" t="s">
        <v>394</v>
      </c>
      <c r="P140" s="53" t="s">
        <v>394</v>
      </c>
      <c r="Q140" s="55" t="s">
        <v>394</v>
      </c>
      <c r="R140" s="53" t="s">
        <v>394</v>
      </c>
      <c r="S140" s="53" t="s">
        <v>394</v>
      </c>
      <c r="T140" s="55" t="s">
        <v>394</v>
      </c>
      <c r="U140" s="53">
        <f>'Расчет субсидий'!Z142-1</f>
        <v>0.23249999999999993</v>
      </c>
      <c r="V140" s="53">
        <f>U140*'Расчет субсидий'!AA142</f>
        <v>3.4874999999999989</v>
      </c>
      <c r="W140" s="54">
        <f t="shared" si="17"/>
        <v>24.269382731315201</v>
      </c>
      <c r="X140" s="56">
        <f t="shared" si="18"/>
        <v>-3.2515294892334161</v>
      </c>
    </row>
    <row r="141" spans="1:24" ht="15" customHeight="1">
      <c r="A141" s="64" t="s">
        <v>126</v>
      </c>
      <c r="B141" s="52">
        <f>'Расчет субсидий'!AF143</f>
        <v>35.136363636363626</v>
      </c>
      <c r="C141" s="53">
        <f>'Расчет субсидий'!D143-1</f>
        <v>-4.2912949682234247E-2</v>
      </c>
      <c r="D141" s="53">
        <f>C141*'Расчет субсидий'!E143</f>
        <v>-0.64369424523351371</v>
      </c>
      <c r="E141" s="54">
        <f t="shared" si="14"/>
        <v>-7.2701030708403342</v>
      </c>
      <c r="F141" s="53">
        <f>'Расчет субсидий'!F143-1</f>
        <v>0</v>
      </c>
      <c r="G141" s="53">
        <f>F141*'Расчет субсидий'!G143</f>
        <v>0</v>
      </c>
      <c r="H141" s="54">
        <f t="shared" si="15"/>
        <v>0</v>
      </c>
      <c r="I141" s="53">
        <f>'Расчет субсидий'!J143-1</f>
        <v>2.671645919778709E-2</v>
      </c>
      <c r="J141" s="53">
        <f>I141*'Расчет субсидий'!K143</f>
        <v>0.2671645919778709</v>
      </c>
      <c r="K141" s="54">
        <f t="shared" si="16"/>
        <v>3.0174483226170659</v>
      </c>
      <c r="L141" s="53" t="s">
        <v>394</v>
      </c>
      <c r="M141" s="53" t="s">
        <v>394</v>
      </c>
      <c r="N141" s="55" t="s">
        <v>394</v>
      </c>
      <c r="O141" s="53" t="s">
        <v>394</v>
      </c>
      <c r="P141" s="53" t="s">
        <v>394</v>
      </c>
      <c r="Q141" s="55" t="s">
        <v>394</v>
      </c>
      <c r="R141" s="53" t="s">
        <v>394</v>
      </c>
      <c r="S141" s="53" t="s">
        <v>394</v>
      </c>
      <c r="T141" s="55" t="s">
        <v>394</v>
      </c>
      <c r="U141" s="53">
        <f>'Расчет субсидий'!Z143-1</f>
        <v>0.23249999999999993</v>
      </c>
      <c r="V141" s="53">
        <f>U141*'Расчет субсидий'!AA143</f>
        <v>3.4874999999999989</v>
      </c>
      <c r="W141" s="54">
        <f t="shared" si="17"/>
        <v>39.389018384586898</v>
      </c>
      <c r="X141" s="56">
        <f t="shared" si="18"/>
        <v>3.1109703467443559</v>
      </c>
    </row>
    <row r="142" spans="1:24" ht="15" customHeight="1">
      <c r="A142" s="64" t="s">
        <v>127</v>
      </c>
      <c r="B142" s="52">
        <f>'Расчет субсидий'!AF144</f>
        <v>-12.509090909090901</v>
      </c>
      <c r="C142" s="53">
        <f>'Расчет субсидий'!D144-1</f>
        <v>-0.35554939725647772</v>
      </c>
      <c r="D142" s="53">
        <f>C142*'Расчет субсидий'!E144</f>
        <v>-5.3332409588471661</v>
      </c>
      <c r="E142" s="54">
        <f t="shared" si="14"/>
        <v>-42.262127695865956</v>
      </c>
      <c r="F142" s="53">
        <f>'Расчет субсидий'!F144-1</f>
        <v>0</v>
      </c>
      <c r="G142" s="53">
        <f>F142*'Расчет субсидий'!G144</f>
        <v>0</v>
      </c>
      <c r="H142" s="54">
        <f t="shared" si="15"/>
        <v>0</v>
      </c>
      <c r="I142" s="53">
        <f>'Расчет субсидий'!J144-1</f>
        <v>2.671645919778709E-2</v>
      </c>
      <c r="J142" s="53">
        <f>I142*'Расчет субсидий'!K144</f>
        <v>0.2671645919778709</v>
      </c>
      <c r="K142" s="54">
        <f t="shared" si="16"/>
        <v>2.117088687555448</v>
      </c>
      <c r="L142" s="53" t="s">
        <v>394</v>
      </c>
      <c r="M142" s="53" t="s">
        <v>394</v>
      </c>
      <c r="N142" s="55" t="s">
        <v>394</v>
      </c>
      <c r="O142" s="53" t="s">
        <v>394</v>
      </c>
      <c r="P142" s="53" t="s">
        <v>394</v>
      </c>
      <c r="Q142" s="55" t="s">
        <v>394</v>
      </c>
      <c r="R142" s="53" t="s">
        <v>394</v>
      </c>
      <c r="S142" s="53" t="s">
        <v>394</v>
      </c>
      <c r="T142" s="55" t="s">
        <v>394</v>
      </c>
      <c r="U142" s="53">
        <f>'Расчет субсидий'!Z144-1</f>
        <v>0.23249999999999993</v>
      </c>
      <c r="V142" s="53">
        <f>U142*'Расчет субсидий'!AA144</f>
        <v>3.4874999999999989</v>
      </c>
      <c r="W142" s="54">
        <f t="shared" si="17"/>
        <v>27.635948099219604</v>
      </c>
      <c r="X142" s="56">
        <f t="shared" si="18"/>
        <v>-1.5785763668692958</v>
      </c>
    </row>
    <row r="143" spans="1:24" ht="15" customHeight="1">
      <c r="A143" s="64" t="s">
        <v>128</v>
      </c>
      <c r="B143" s="52">
        <f>'Расчет субсидий'!AF145</f>
        <v>63.572727272727207</v>
      </c>
      <c r="C143" s="53">
        <f>'Расчет субсидий'!D145-1</f>
        <v>0.20307692307692315</v>
      </c>
      <c r="D143" s="53">
        <f>C143*'Расчет субсидий'!E145</f>
        <v>3.0461538461538473</v>
      </c>
      <c r="E143" s="54">
        <f t="shared" si="14"/>
        <v>28.474853350960309</v>
      </c>
      <c r="F143" s="53">
        <f>'Расчет субсидий'!F145-1</f>
        <v>0</v>
      </c>
      <c r="G143" s="53">
        <f>F143*'Расчет субсидий'!G145</f>
        <v>0</v>
      </c>
      <c r="H143" s="54">
        <f t="shared" si="15"/>
        <v>0</v>
      </c>
      <c r="I143" s="53">
        <f>'Расчет субсидий'!J145-1</f>
        <v>2.671645919778709E-2</v>
      </c>
      <c r="J143" s="53">
        <f>I143*'Расчет субсидий'!K145</f>
        <v>0.2671645919778709</v>
      </c>
      <c r="K143" s="54">
        <f t="shared" si="16"/>
        <v>2.4974026137072531</v>
      </c>
      <c r="L143" s="53" t="s">
        <v>394</v>
      </c>
      <c r="M143" s="53" t="s">
        <v>394</v>
      </c>
      <c r="N143" s="55" t="s">
        <v>394</v>
      </c>
      <c r="O143" s="53" t="s">
        <v>394</v>
      </c>
      <c r="P143" s="53" t="s">
        <v>394</v>
      </c>
      <c r="Q143" s="55" t="s">
        <v>394</v>
      </c>
      <c r="R143" s="53" t="s">
        <v>394</v>
      </c>
      <c r="S143" s="53" t="s">
        <v>394</v>
      </c>
      <c r="T143" s="55" t="s">
        <v>394</v>
      </c>
      <c r="U143" s="53">
        <f>'Расчет субсидий'!Z145-1</f>
        <v>0.23249999999999993</v>
      </c>
      <c r="V143" s="53">
        <f>U143*'Расчет субсидий'!AA145</f>
        <v>3.4874999999999989</v>
      </c>
      <c r="W143" s="54">
        <f t="shared" si="17"/>
        <v>32.600471308059646</v>
      </c>
      <c r="X143" s="56">
        <f t="shared" si="18"/>
        <v>6.8008184381317172</v>
      </c>
    </row>
    <row r="144" spans="1:24" ht="15" customHeight="1">
      <c r="A144" s="64" t="s">
        <v>129</v>
      </c>
      <c r="B144" s="52">
        <f>'Расчет субсидий'!AF146</f>
        <v>-32.25454545454545</v>
      </c>
      <c r="C144" s="53">
        <f>'Расчет субсидий'!D146-1</f>
        <v>-0.61323737869370842</v>
      </c>
      <c r="D144" s="53">
        <f>C144*'Расчет субсидий'!E146</f>
        <v>-9.1985606804056257</v>
      </c>
      <c r="E144" s="54">
        <f t="shared" si="14"/>
        <v>-54.50056150286035</v>
      </c>
      <c r="F144" s="53">
        <f>'Расчет субсидий'!F146-1</f>
        <v>0</v>
      </c>
      <c r="G144" s="53">
        <f>F144*'Расчет субсидий'!G146</f>
        <v>0</v>
      </c>
      <c r="H144" s="54">
        <f t="shared" si="15"/>
        <v>0</v>
      </c>
      <c r="I144" s="53">
        <f>'Расчет субсидий'!J146-1</f>
        <v>2.671645919778709E-2</v>
      </c>
      <c r="J144" s="53">
        <f>I144*'Расчет субсидий'!K146</f>
        <v>0.2671645919778709</v>
      </c>
      <c r="K144" s="54">
        <f t="shared" si="16"/>
        <v>1.582923761919943</v>
      </c>
      <c r="L144" s="53" t="s">
        <v>394</v>
      </c>
      <c r="M144" s="53" t="s">
        <v>394</v>
      </c>
      <c r="N144" s="55" t="s">
        <v>394</v>
      </c>
      <c r="O144" s="53" t="s">
        <v>394</v>
      </c>
      <c r="P144" s="53" t="s">
        <v>394</v>
      </c>
      <c r="Q144" s="55" t="s">
        <v>394</v>
      </c>
      <c r="R144" s="53" t="s">
        <v>394</v>
      </c>
      <c r="S144" s="53" t="s">
        <v>394</v>
      </c>
      <c r="T144" s="55" t="s">
        <v>394</v>
      </c>
      <c r="U144" s="53">
        <f>'Расчет субсидий'!Z146-1</f>
        <v>0.23249999999999993</v>
      </c>
      <c r="V144" s="53">
        <f>U144*'Расчет субсидий'!AA146</f>
        <v>3.4874999999999989</v>
      </c>
      <c r="W144" s="54">
        <f t="shared" si="17"/>
        <v>20.663092286394953</v>
      </c>
      <c r="X144" s="56">
        <f t="shared" si="18"/>
        <v>-5.4438960884277563</v>
      </c>
    </row>
    <row r="145" spans="1:24" ht="15" customHeight="1">
      <c r="A145" s="64" t="s">
        <v>130</v>
      </c>
      <c r="B145" s="52">
        <f>'Расчет субсидий'!AF147</f>
        <v>5.4363636363636374</v>
      </c>
      <c r="C145" s="53">
        <f>'Расчет субсидий'!D147-1</f>
        <v>-0.1956538085570344</v>
      </c>
      <c r="D145" s="53">
        <f>C145*'Расчет субсидий'!E147</f>
        <v>-2.9348071283555162</v>
      </c>
      <c r="E145" s="54">
        <f t="shared" si="14"/>
        <v>-19.460307992855977</v>
      </c>
      <c r="F145" s="53">
        <f>'Расчет субсидий'!F147-1</f>
        <v>0</v>
      </c>
      <c r="G145" s="53">
        <f>F145*'Расчет субсидий'!G147</f>
        <v>0</v>
      </c>
      <c r="H145" s="54">
        <f t="shared" si="15"/>
        <v>0</v>
      </c>
      <c r="I145" s="53">
        <f>'Расчет субсидий'!J147-1</f>
        <v>2.671645919778709E-2</v>
      </c>
      <c r="J145" s="53">
        <f>I145*'Расчет субсидий'!K147</f>
        <v>0.2671645919778709</v>
      </c>
      <c r="K145" s="54">
        <f t="shared" si="16"/>
        <v>1.7715321713792904</v>
      </c>
      <c r="L145" s="53" t="s">
        <v>394</v>
      </c>
      <c r="M145" s="53" t="s">
        <v>394</v>
      </c>
      <c r="N145" s="55" t="s">
        <v>394</v>
      </c>
      <c r="O145" s="53" t="s">
        <v>394</v>
      </c>
      <c r="P145" s="53" t="s">
        <v>394</v>
      </c>
      <c r="Q145" s="55" t="s">
        <v>394</v>
      </c>
      <c r="R145" s="53" t="s">
        <v>394</v>
      </c>
      <c r="S145" s="53" t="s">
        <v>394</v>
      </c>
      <c r="T145" s="55" t="s">
        <v>394</v>
      </c>
      <c r="U145" s="53">
        <f>'Расчет субсидий'!Z147-1</f>
        <v>0.23249999999999993</v>
      </c>
      <c r="V145" s="53">
        <f>U145*'Расчет субсидий'!AA147</f>
        <v>3.4874999999999989</v>
      </c>
      <c r="W145" s="54">
        <f t="shared" si="17"/>
        <v>23.125139457840326</v>
      </c>
      <c r="X145" s="56">
        <f t="shared" si="18"/>
        <v>0.81985746362235368</v>
      </c>
    </row>
    <row r="146" spans="1:24" ht="15" customHeight="1">
      <c r="A146" s="64" t="s">
        <v>131</v>
      </c>
      <c r="B146" s="52">
        <f>'Расчет субсидий'!AF148</f>
        <v>-1.0636363636363626</v>
      </c>
      <c r="C146" s="53">
        <f>'Расчет субсидий'!D148-1</f>
        <v>-0.27475636592266572</v>
      </c>
      <c r="D146" s="53">
        <f>C146*'Расчет субсидий'!E148</f>
        <v>-4.1213454888399861</v>
      </c>
      <c r="E146" s="54">
        <f t="shared" si="14"/>
        <v>-11.954844025286839</v>
      </c>
      <c r="F146" s="53">
        <f>'Расчет субсидий'!F148-1</f>
        <v>0</v>
      </c>
      <c r="G146" s="53">
        <f>F146*'Расчет субсидий'!G148</f>
        <v>0</v>
      </c>
      <c r="H146" s="54">
        <f t="shared" si="15"/>
        <v>0</v>
      </c>
      <c r="I146" s="53">
        <f>'Расчет субсидий'!J148-1</f>
        <v>2.671645919778709E-2</v>
      </c>
      <c r="J146" s="53">
        <f>I146*'Расчет субсидий'!K148</f>
        <v>0.2671645919778709</v>
      </c>
      <c r="K146" s="54">
        <f t="shared" si="16"/>
        <v>0.77496803770115863</v>
      </c>
      <c r="L146" s="53" t="s">
        <v>394</v>
      </c>
      <c r="M146" s="53" t="s">
        <v>394</v>
      </c>
      <c r="N146" s="55" t="s">
        <v>394</v>
      </c>
      <c r="O146" s="53" t="s">
        <v>394</v>
      </c>
      <c r="P146" s="53" t="s">
        <v>394</v>
      </c>
      <c r="Q146" s="55" t="s">
        <v>394</v>
      </c>
      <c r="R146" s="53" t="s">
        <v>394</v>
      </c>
      <c r="S146" s="53" t="s">
        <v>394</v>
      </c>
      <c r="T146" s="55" t="s">
        <v>394</v>
      </c>
      <c r="U146" s="53">
        <f>'Расчет субсидий'!Z148-1</f>
        <v>0.23249999999999993</v>
      </c>
      <c r="V146" s="53">
        <f>U146*'Расчет субсидий'!AA148</f>
        <v>3.4874999999999989</v>
      </c>
      <c r="W146" s="54">
        <f t="shared" si="17"/>
        <v>10.116239623949317</v>
      </c>
      <c r="X146" s="56">
        <f t="shared" si="18"/>
        <v>-0.36668089686211625</v>
      </c>
    </row>
    <row r="147" spans="1:24" ht="15" customHeight="1">
      <c r="A147" s="60" t="s">
        <v>132</v>
      </c>
      <c r="B147" s="61"/>
      <c r="C147" s="62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</row>
    <row r="148" spans="1:24" ht="15" customHeight="1">
      <c r="A148" s="64" t="s">
        <v>133</v>
      </c>
      <c r="B148" s="52">
        <f>'Расчет субсидий'!AF150</f>
        <v>23.690909090909088</v>
      </c>
      <c r="C148" s="53">
        <f>'Расчет субсидий'!D150-1</f>
        <v>0.30000000000000004</v>
      </c>
      <c r="D148" s="53">
        <f>C148*'Расчет субсидий'!E150</f>
        <v>4.5000000000000009</v>
      </c>
      <c r="E148" s="54">
        <f t="shared" si="14"/>
        <v>28.221628708635681</v>
      </c>
      <c r="F148" s="53">
        <f>'Расчет субсидий'!F150-1</f>
        <v>0</v>
      </c>
      <c r="G148" s="53">
        <f>F148*'Расчет субсидий'!G150</f>
        <v>0</v>
      </c>
      <c r="H148" s="54">
        <f t="shared" si="15"/>
        <v>0</v>
      </c>
      <c r="I148" s="53">
        <f>'Расчет субсидий'!J150-1</f>
        <v>-0.2065716666666666</v>
      </c>
      <c r="J148" s="53">
        <f>I148*'Расчет субсидий'!K150</f>
        <v>-2.065716666666666</v>
      </c>
      <c r="K148" s="54">
        <f t="shared" si="16"/>
        <v>-12.955086396423816</v>
      </c>
      <c r="L148" s="53" t="s">
        <v>394</v>
      </c>
      <c r="M148" s="53" t="s">
        <v>394</v>
      </c>
      <c r="N148" s="55" t="s">
        <v>394</v>
      </c>
      <c r="O148" s="53" t="s">
        <v>394</v>
      </c>
      <c r="P148" s="53" t="s">
        <v>394</v>
      </c>
      <c r="Q148" s="55" t="s">
        <v>394</v>
      </c>
      <c r="R148" s="53" t="s">
        <v>394</v>
      </c>
      <c r="S148" s="53" t="s">
        <v>394</v>
      </c>
      <c r="T148" s="55" t="s">
        <v>394</v>
      </c>
      <c r="U148" s="53">
        <f>'Расчет субсидий'!Z150-1</f>
        <v>8.9552238805970186E-2</v>
      </c>
      <c r="V148" s="53">
        <f>U148*'Расчет субсидий'!AA150</f>
        <v>1.3432835820895528</v>
      </c>
      <c r="W148" s="54">
        <f t="shared" si="17"/>
        <v>8.4243667786972214</v>
      </c>
      <c r="X148" s="56">
        <f t="shared" si="18"/>
        <v>3.7775669154228879</v>
      </c>
    </row>
    <row r="149" spans="1:24" ht="15" customHeight="1">
      <c r="A149" s="64" t="s">
        <v>134</v>
      </c>
      <c r="B149" s="52">
        <f>'Расчет субсидий'!AF151</f>
        <v>30.763636363636351</v>
      </c>
      <c r="C149" s="53">
        <f>'Расчет субсидий'!D151-1</f>
        <v>0.30000000000000004</v>
      </c>
      <c r="D149" s="53">
        <f>C149*'Расчет субсидий'!E151</f>
        <v>4.5000000000000009</v>
      </c>
      <c r="E149" s="54">
        <f t="shared" si="14"/>
        <v>36.646965291643561</v>
      </c>
      <c r="F149" s="53">
        <f>'Расчет субсидий'!F151-1</f>
        <v>0</v>
      </c>
      <c r="G149" s="53">
        <f>F149*'Расчет субсидий'!G151</f>
        <v>0</v>
      </c>
      <c r="H149" s="54">
        <f t="shared" si="15"/>
        <v>0</v>
      </c>
      <c r="I149" s="53">
        <f>'Расчет субсидий'!J151-1</f>
        <v>-0.2065716666666666</v>
      </c>
      <c r="J149" s="53">
        <f>I149*'Расчет субсидий'!K151</f>
        <v>-2.065716666666666</v>
      </c>
      <c r="K149" s="54">
        <f t="shared" si="16"/>
        <v>-16.822721552378429</v>
      </c>
      <c r="L149" s="53" t="s">
        <v>394</v>
      </c>
      <c r="M149" s="53" t="s">
        <v>394</v>
      </c>
      <c r="N149" s="55" t="s">
        <v>394</v>
      </c>
      <c r="O149" s="53" t="s">
        <v>394</v>
      </c>
      <c r="P149" s="53" t="s">
        <v>394</v>
      </c>
      <c r="Q149" s="55" t="s">
        <v>394</v>
      </c>
      <c r="R149" s="53" t="s">
        <v>394</v>
      </c>
      <c r="S149" s="53" t="s">
        <v>394</v>
      </c>
      <c r="T149" s="55" t="s">
        <v>394</v>
      </c>
      <c r="U149" s="53">
        <f>'Расчет субсидий'!Z151-1</f>
        <v>8.9552238805970186E-2</v>
      </c>
      <c r="V149" s="53">
        <f>U149*'Расчет субсидий'!AA151</f>
        <v>1.3432835820895528</v>
      </c>
      <c r="W149" s="54">
        <f t="shared" si="17"/>
        <v>10.939392624371216</v>
      </c>
      <c r="X149" s="56">
        <f t="shared" si="18"/>
        <v>3.7775669154228879</v>
      </c>
    </row>
    <row r="150" spans="1:24" ht="15" customHeight="1">
      <c r="A150" s="64" t="s">
        <v>135</v>
      </c>
      <c r="B150" s="52">
        <f>'Расчет субсидий'!AF152</f>
        <v>-38.218181818181847</v>
      </c>
      <c r="C150" s="53">
        <f>'Расчет субсидий'!D152-1</f>
        <v>-0.16265617769551133</v>
      </c>
      <c r="D150" s="53">
        <f>C150*'Расчет субсидий'!E152</f>
        <v>-2.4398426654326699</v>
      </c>
      <c r="E150" s="54">
        <f t="shared" si="14"/>
        <v>-29.487102949505498</v>
      </c>
      <c r="F150" s="53">
        <f>'Расчет субсидий'!F152-1</f>
        <v>0</v>
      </c>
      <c r="G150" s="53">
        <f>F150*'Расчет субсидий'!G152</f>
        <v>0</v>
      </c>
      <c r="H150" s="54">
        <f t="shared" si="15"/>
        <v>0</v>
      </c>
      <c r="I150" s="53">
        <f>'Расчет субсидий'!J152-1</f>
        <v>-0.2065716666666666</v>
      </c>
      <c r="J150" s="53">
        <f>I150*'Расчет субсидий'!K152</f>
        <v>-2.065716666666666</v>
      </c>
      <c r="K150" s="54">
        <f t="shared" si="16"/>
        <v>-24.965544244922643</v>
      </c>
      <c r="L150" s="53" t="s">
        <v>394</v>
      </c>
      <c r="M150" s="53" t="s">
        <v>394</v>
      </c>
      <c r="N150" s="55" t="s">
        <v>394</v>
      </c>
      <c r="O150" s="53" t="s">
        <v>394</v>
      </c>
      <c r="P150" s="53" t="s">
        <v>394</v>
      </c>
      <c r="Q150" s="55" t="s">
        <v>394</v>
      </c>
      <c r="R150" s="53" t="s">
        <v>394</v>
      </c>
      <c r="S150" s="53" t="s">
        <v>394</v>
      </c>
      <c r="T150" s="55" t="s">
        <v>394</v>
      </c>
      <c r="U150" s="53">
        <f>'Расчет субсидий'!Z152-1</f>
        <v>8.9552238805970186E-2</v>
      </c>
      <c r="V150" s="53">
        <f>U150*'Расчет субсидий'!AA152</f>
        <v>1.3432835820895528</v>
      </c>
      <c r="W150" s="54">
        <f t="shared" si="17"/>
        <v>16.234465376246302</v>
      </c>
      <c r="X150" s="56">
        <f t="shared" si="18"/>
        <v>-3.1622757500097833</v>
      </c>
    </row>
    <row r="151" spans="1:24" ht="15" customHeight="1">
      <c r="A151" s="64" t="s">
        <v>136</v>
      </c>
      <c r="B151" s="52">
        <f>'Расчет субсидий'!AF153</f>
        <v>-10.281818181818153</v>
      </c>
      <c r="C151" s="53">
        <f>'Расчет субсидий'!D153-1</f>
        <v>-2.2195083098815904E-2</v>
      </c>
      <c r="D151" s="53">
        <f>C151*'Расчет субсидий'!E153</f>
        <v>-0.33292624648223856</v>
      </c>
      <c r="E151" s="54">
        <f t="shared" si="14"/>
        <v>-3.2435276152336807</v>
      </c>
      <c r="F151" s="53">
        <f>'Расчет субсидий'!F153-1</f>
        <v>0</v>
      </c>
      <c r="G151" s="53">
        <f>F151*'Расчет субсидий'!G153</f>
        <v>0</v>
      </c>
      <c r="H151" s="54">
        <f t="shared" si="15"/>
        <v>0</v>
      </c>
      <c r="I151" s="53">
        <f>'Расчет субсидий'!J153-1</f>
        <v>-0.2065716666666666</v>
      </c>
      <c r="J151" s="53">
        <f>I151*'Расчет субсидий'!K153</f>
        <v>-2.065716666666666</v>
      </c>
      <c r="K151" s="54">
        <f t="shared" si="16"/>
        <v>-20.12520528008071</v>
      </c>
      <c r="L151" s="53" t="s">
        <v>394</v>
      </c>
      <c r="M151" s="53" t="s">
        <v>394</v>
      </c>
      <c r="N151" s="55" t="s">
        <v>394</v>
      </c>
      <c r="O151" s="53" t="s">
        <v>394</v>
      </c>
      <c r="P151" s="53" t="s">
        <v>394</v>
      </c>
      <c r="Q151" s="55" t="s">
        <v>394</v>
      </c>
      <c r="R151" s="53" t="s">
        <v>394</v>
      </c>
      <c r="S151" s="53" t="s">
        <v>394</v>
      </c>
      <c r="T151" s="55" t="s">
        <v>394</v>
      </c>
      <c r="U151" s="53">
        <f>'Расчет субсидий'!Z153-1</f>
        <v>8.9552238805970186E-2</v>
      </c>
      <c r="V151" s="53">
        <f>U151*'Расчет субсидий'!AA153</f>
        <v>1.3432835820895528</v>
      </c>
      <c r="W151" s="54">
        <f t="shared" si="17"/>
        <v>13.08691471349624</v>
      </c>
      <c r="X151" s="56">
        <f t="shared" si="18"/>
        <v>-1.0553593310593519</v>
      </c>
    </row>
    <row r="152" spans="1:24" ht="15" customHeight="1">
      <c r="A152" s="64" t="s">
        <v>137</v>
      </c>
      <c r="B152" s="52">
        <f>'Расчет субсидий'!AF154</f>
        <v>-4.7090909090909037</v>
      </c>
      <c r="C152" s="53">
        <f>'Расчет субсидий'!D154-1</f>
        <v>-0.28519734637807403</v>
      </c>
      <c r="D152" s="53">
        <f>C152*'Расчет субсидий'!E154</f>
        <v>-4.2779601956711106</v>
      </c>
      <c r="E152" s="54">
        <f t="shared" si="14"/>
        <v>-4.0287438083045215</v>
      </c>
      <c r="F152" s="53">
        <f>'Расчет субсидий'!F154-1</f>
        <v>0</v>
      </c>
      <c r="G152" s="53">
        <f>F152*'Расчет субсидий'!G154</f>
        <v>0</v>
      </c>
      <c r="H152" s="54">
        <f t="shared" si="15"/>
        <v>0</v>
      </c>
      <c r="I152" s="53">
        <f>'Расчет субсидий'!J154-1</f>
        <v>-0.2065716666666666</v>
      </c>
      <c r="J152" s="53">
        <f>I152*'Расчет субсидий'!K154</f>
        <v>-2.065716666666666</v>
      </c>
      <c r="K152" s="54">
        <f t="shared" si="16"/>
        <v>-1.9453764995209883</v>
      </c>
      <c r="L152" s="53" t="s">
        <v>394</v>
      </c>
      <c r="M152" s="53" t="s">
        <v>394</v>
      </c>
      <c r="N152" s="55" t="s">
        <v>394</v>
      </c>
      <c r="O152" s="53" t="s">
        <v>394</v>
      </c>
      <c r="P152" s="53" t="s">
        <v>394</v>
      </c>
      <c r="Q152" s="55" t="s">
        <v>394</v>
      </c>
      <c r="R152" s="53" t="s">
        <v>394</v>
      </c>
      <c r="S152" s="53" t="s">
        <v>394</v>
      </c>
      <c r="T152" s="55" t="s">
        <v>394</v>
      </c>
      <c r="U152" s="53">
        <f>'Расчет субсидий'!Z154-1</f>
        <v>8.9552238805970186E-2</v>
      </c>
      <c r="V152" s="53">
        <f>U152*'Расчет субсидий'!AA154</f>
        <v>1.3432835820895528</v>
      </c>
      <c r="W152" s="54">
        <f t="shared" si="17"/>
        <v>1.2650293987346066</v>
      </c>
      <c r="X152" s="56">
        <f t="shared" si="18"/>
        <v>-5.0003932802482236</v>
      </c>
    </row>
    <row r="153" spans="1:24" ht="15" customHeight="1">
      <c r="A153" s="64" t="s">
        <v>138</v>
      </c>
      <c r="B153" s="52">
        <f>'Расчет субсидий'!AF155</f>
        <v>30.936363636363637</v>
      </c>
      <c r="C153" s="53">
        <f>'Расчет субсидий'!D155-1</f>
        <v>0.30000000000000004</v>
      </c>
      <c r="D153" s="53">
        <f>C153*'Расчет субсидий'!E155</f>
        <v>4.5000000000000009</v>
      </c>
      <c r="E153" s="54">
        <f t="shared" si="14"/>
        <v>36.852725439557652</v>
      </c>
      <c r="F153" s="53">
        <f>'Расчет субсидий'!F155-1</f>
        <v>0</v>
      </c>
      <c r="G153" s="53">
        <f>F153*'Расчет субсидий'!G155</f>
        <v>0</v>
      </c>
      <c r="H153" s="54">
        <f t="shared" si="15"/>
        <v>0</v>
      </c>
      <c r="I153" s="53">
        <f>'Расчет субсидий'!J155-1</f>
        <v>-0.2065716666666666</v>
      </c>
      <c r="J153" s="53">
        <f>I153*'Расчет субсидий'!K155</f>
        <v>-2.065716666666666</v>
      </c>
      <c r="K153" s="54">
        <f t="shared" si="16"/>
        <v>-16.917175367241082</v>
      </c>
      <c r="L153" s="53" t="s">
        <v>394</v>
      </c>
      <c r="M153" s="53" t="s">
        <v>394</v>
      </c>
      <c r="N153" s="55" t="s">
        <v>394</v>
      </c>
      <c r="O153" s="53" t="s">
        <v>394</v>
      </c>
      <c r="P153" s="53" t="s">
        <v>394</v>
      </c>
      <c r="Q153" s="55" t="s">
        <v>394</v>
      </c>
      <c r="R153" s="53" t="s">
        <v>394</v>
      </c>
      <c r="S153" s="53" t="s">
        <v>394</v>
      </c>
      <c r="T153" s="55" t="s">
        <v>394</v>
      </c>
      <c r="U153" s="53">
        <f>'Расчет субсидий'!Z155-1</f>
        <v>8.9552238805970186E-2</v>
      </c>
      <c r="V153" s="53">
        <f>U153*'Расчет субсидий'!AA155</f>
        <v>1.3432835820895528</v>
      </c>
      <c r="W153" s="54">
        <f t="shared" si="17"/>
        <v>11.000813564047062</v>
      </c>
      <c r="X153" s="56">
        <f t="shared" si="18"/>
        <v>3.7775669154228879</v>
      </c>
    </row>
    <row r="154" spans="1:24" ht="15" customHeight="1">
      <c r="A154" s="60" t="s">
        <v>139</v>
      </c>
      <c r="B154" s="61"/>
      <c r="C154" s="62"/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</row>
    <row r="155" spans="1:24" ht="15" customHeight="1">
      <c r="A155" s="64" t="s">
        <v>140</v>
      </c>
      <c r="B155" s="52">
        <f>'Расчет субсидий'!AF157</f>
        <v>-19.027272727272702</v>
      </c>
      <c r="C155" s="53">
        <f>'Расчет субсидий'!D157-1</f>
        <v>-7.3563755254553942E-2</v>
      </c>
      <c r="D155" s="53">
        <f>C155*'Расчет субсидий'!E157</f>
        <v>-1.103456328818309</v>
      </c>
      <c r="E155" s="54">
        <f t="shared" si="14"/>
        <v>-12.430327457986722</v>
      </c>
      <c r="F155" s="53">
        <f>'Расчет субсидий'!F157-1</f>
        <v>0</v>
      </c>
      <c r="G155" s="53">
        <f>F155*'Расчет субсидий'!G157</f>
        <v>0</v>
      </c>
      <c r="H155" s="54">
        <f t="shared" si="15"/>
        <v>0</v>
      </c>
      <c r="I155" s="53">
        <f>'Расчет субсидий'!J157-1</f>
        <v>9.8154477101845439E-2</v>
      </c>
      <c r="J155" s="53">
        <f>I155*'Расчет субсидий'!K157</f>
        <v>0.98154477101845439</v>
      </c>
      <c r="K155" s="54">
        <f t="shared" si="16"/>
        <v>11.057005700896154</v>
      </c>
      <c r="L155" s="53" t="s">
        <v>394</v>
      </c>
      <c r="M155" s="53" t="s">
        <v>394</v>
      </c>
      <c r="N155" s="55" t="s">
        <v>394</v>
      </c>
      <c r="O155" s="53" t="s">
        <v>394</v>
      </c>
      <c r="P155" s="53" t="s">
        <v>394</v>
      </c>
      <c r="Q155" s="55" t="s">
        <v>394</v>
      </c>
      <c r="R155" s="53" t="s">
        <v>394</v>
      </c>
      <c r="S155" s="53" t="s">
        <v>394</v>
      </c>
      <c r="T155" s="55" t="s">
        <v>394</v>
      </c>
      <c r="U155" s="53">
        <f>'Расчет субсидий'!Z157-1</f>
        <v>-0.10447761194029848</v>
      </c>
      <c r="V155" s="53">
        <f>U155*'Расчет субсидий'!AA157</f>
        <v>-1.567164179104477</v>
      </c>
      <c r="W155" s="54">
        <f t="shared" si="17"/>
        <v>-17.653950970182134</v>
      </c>
      <c r="X155" s="56">
        <f t="shared" si="18"/>
        <v>-1.6890757369043317</v>
      </c>
    </row>
    <row r="156" spans="1:24" ht="15" customHeight="1">
      <c r="A156" s="64" t="s">
        <v>141</v>
      </c>
      <c r="B156" s="52">
        <f>'Расчет субсидий'!AF158</f>
        <v>37.990909090909099</v>
      </c>
      <c r="C156" s="53">
        <f>'Расчет субсидий'!D158-1</f>
        <v>0.27519737779677911</v>
      </c>
      <c r="D156" s="53">
        <f>C156*'Расчет субсидий'!E158</f>
        <v>4.1279606669516866</v>
      </c>
      <c r="E156" s="54">
        <f t="shared" si="14"/>
        <v>44.271561368209021</v>
      </c>
      <c r="F156" s="53">
        <f>'Расчет субсидий'!F158-1</f>
        <v>0</v>
      </c>
      <c r="G156" s="53">
        <f>F156*'Расчет субсидий'!G158</f>
        <v>0</v>
      </c>
      <c r="H156" s="54">
        <f t="shared" si="15"/>
        <v>0</v>
      </c>
      <c r="I156" s="53">
        <f>'Расчет субсидий'!J158-1</f>
        <v>9.8154477101845439E-2</v>
      </c>
      <c r="J156" s="53">
        <f>I156*'Расчет субсидий'!K158</f>
        <v>0.98154477101845439</v>
      </c>
      <c r="K156" s="54">
        <f t="shared" si="16"/>
        <v>10.526873454411421</v>
      </c>
      <c r="L156" s="53" t="s">
        <v>394</v>
      </c>
      <c r="M156" s="53" t="s">
        <v>394</v>
      </c>
      <c r="N156" s="55" t="s">
        <v>394</v>
      </c>
      <c r="O156" s="53" t="s">
        <v>394</v>
      </c>
      <c r="P156" s="53" t="s">
        <v>394</v>
      </c>
      <c r="Q156" s="55" t="s">
        <v>394</v>
      </c>
      <c r="R156" s="53" t="s">
        <v>394</v>
      </c>
      <c r="S156" s="53" t="s">
        <v>394</v>
      </c>
      <c r="T156" s="55" t="s">
        <v>394</v>
      </c>
      <c r="U156" s="53">
        <f>'Расчет субсидий'!Z158-1</f>
        <v>-0.10447761194029848</v>
      </c>
      <c r="V156" s="53">
        <f>U156*'Расчет субсидий'!AA158</f>
        <v>-1.567164179104477</v>
      </c>
      <c r="W156" s="54">
        <f t="shared" si="17"/>
        <v>-16.807525731711337</v>
      </c>
      <c r="X156" s="56">
        <f t="shared" si="18"/>
        <v>3.5423412588656635</v>
      </c>
    </row>
    <row r="157" spans="1:24" ht="15" customHeight="1">
      <c r="A157" s="64" t="s">
        <v>142</v>
      </c>
      <c r="B157" s="52">
        <f>'Расчет субсидий'!AF159</f>
        <v>9.0909090909090935</v>
      </c>
      <c r="C157" s="53">
        <f>'Расчет субсидий'!D159-1</f>
        <v>0.22681055155875285</v>
      </c>
      <c r="D157" s="53">
        <f>C157*'Расчет субсидий'!E159</f>
        <v>3.4021582733812927</v>
      </c>
      <c r="E157" s="54">
        <f t="shared" si="14"/>
        <v>10.981105908847876</v>
      </c>
      <c r="F157" s="53">
        <f>'Расчет субсидий'!F159-1</f>
        <v>0</v>
      </c>
      <c r="G157" s="53">
        <f>F157*'Расчет субсидий'!G159</f>
        <v>0</v>
      </c>
      <c r="H157" s="54">
        <f t="shared" si="15"/>
        <v>0</v>
      </c>
      <c r="I157" s="53">
        <f>'Расчет субсидий'!J159-1</f>
        <v>9.8154477101845439E-2</v>
      </c>
      <c r="J157" s="53">
        <f>I157*'Расчет субсидий'!K159</f>
        <v>0.98154477101845439</v>
      </c>
      <c r="K157" s="54">
        <f t="shared" si="16"/>
        <v>3.1681204161372372</v>
      </c>
      <c r="L157" s="53" t="s">
        <v>394</v>
      </c>
      <c r="M157" s="53" t="s">
        <v>394</v>
      </c>
      <c r="N157" s="55" t="s">
        <v>394</v>
      </c>
      <c r="O157" s="53" t="s">
        <v>394</v>
      </c>
      <c r="P157" s="53" t="s">
        <v>394</v>
      </c>
      <c r="Q157" s="55" t="s">
        <v>394</v>
      </c>
      <c r="R157" s="53" t="s">
        <v>394</v>
      </c>
      <c r="S157" s="53" t="s">
        <v>394</v>
      </c>
      <c r="T157" s="55" t="s">
        <v>394</v>
      </c>
      <c r="U157" s="53">
        <f>'Расчет субсидий'!Z159-1</f>
        <v>-0.10447761194029848</v>
      </c>
      <c r="V157" s="53">
        <f>U157*'Расчет субсидий'!AA159</f>
        <v>-1.567164179104477</v>
      </c>
      <c r="W157" s="54">
        <f t="shared" si="17"/>
        <v>-5.0583172340760187</v>
      </c>
      <c r="X157" s="56">
        <f t="shared" si="18"/>
        <v>2.8165388652952696</v>
      </c>
    </row>
    <row r="158" spans="1:24" ht="15" customHeight="1">
      <c r="A158" s="64" t="s">
        <v>143</v>
      </c>
      <c r="B158" s="52">
        <f>'Расчет субсидий'!AF160</f>
        <v>-106.75454545454545</v>
      </c>
      <c r="C158" s="53">
        <f>'Расчет субсидий'!D160-1</f>
        <v>-0.17871193355675363</v>
      </c>
      <c r="D158" s="53">
        <f>C158*'Расчет субсидий'!E160</f>
        <v>-2.6806790033513046</v>
      </c>
      <c r="E158" s="54">
        <f t="shared" si="14"/>
        <v>-87.614367233023856</v>
      </c>
      <c r="F158" s="53">
        <f>'Расчет субсидий'!F160-1</f>
        <v>0</v>
      </c>
      <c r="G158" s="53">
        <f>F158*'Расчет субсидий'!G160</f>
        <v>0</v>
      </c>
      <c r="H158" s="54">
        <f t="shared" si="15"/>
        <v>0</v>
      </c>
      <c r="I158" s="53">
        <f>'Расчет субсидий'!J160-1</f>
        <v>9.8154477101845439E-2</v>
      </c>
      <c r="J158" s="53">
        <f>I158*'Расчет субсидий'!K160</f>
        <v>0.98154477101845439</v>
      </c>
      <c r="K158" s="54">
        <f t="shared" si="16"/>
        <v>32.080463164800328</v>
      </c>
      <c r="L158" s="53" t="s">
        <v>394</v>
      </c>
      <c r="M158" s="53" t="s">
        <v>394</v>
      </c>
      <c r="N158" s="55" t="s">
        <v>394</v>
      </c>
      <c r="O158" s="53" t="s">
        <v>394</v>
      </c>
      <c r="P158" s="53" t="s">
        <v>394</v>
      </c>
      <c r="Q158" s="55" t="s">
        <v>394</v>
      </c>
      <c r="R158" s="53" t="s">
        <v>394</v>
      </c>
      <c r="S158" s="53" t="s">
        <v>394</v>
      </c>
      <c r="T158" s="55" t="s">
        <v>394</v>
      </c>
      <c r="U158" s="53">
        <f>'Расчет субсидий'!Z160-1</f>
        <v>-0.10447761194029848</v>
      </c>
      <c r="V158" s="53">
        <f>U158*'Расчет субсидий'!AA160</f>
        <v>-1.567164179104477</v>
      </c>
      <c r="W158" s="54">
        <f t="shared" si="17"/>
        <v>-51.220641386321915</v>
      </c>
      <c r="X158" s="56">
        <f t="shared" si="18"/>
        <v>-3.2662984114373272</v>
      </c>
    </row>
    <row r="159" spans="1:24" ht="15" customHeight="1">
      <c r="A159" s="64" t="s">
        <v>144</v>
      </c>
      <c r="B159" s="52">
        <f>'Расчет субсидий'!AF161</f>
        <v>0.87272727272727302</v>
      </c>
      <c r="C159" s="53">
        <f>'Расчет субсидий'!D161-1</f>
        <v>0.23434741666143499</v>
      </c>
      <c r="D159" s="53">
        <f>C159*'Расчет субсидий'!E161</f>
        <v>3.5152112499215251</v>
      </c>
      <c r="E159" s="54">
        <f t="shared" si="14"/>
        <v>1.0471836668148735</v>
      </c>
      <c r="F159" s="53">
        <f>'Расчет субсидий'!F161-1</f>
        <v>0</v>
      </c>
      <c r="G159" s="53">
        <f>F159*'Расчет субсидий'!G161</f>
        <v>0</v>
      </c>
      <c r="H159" s="54">
        <f t="shared" si="15"/>
        <v>0</v>
      </c>
      <c r="I159" s="53">
        <f>'Расчет субсидий'!J161-1</f>
        <v>9.8154477101845439E-2</v>
      </c>
      <c r="J159" s="53">
        <f>I159*'Расчет субсидий'!K161</f>
        <v>0.98154477101845439</v>
      </c>
      <c r="K159" s="54">
        <f t="shared" si="16"/>
        <v>0.29240281148992592</v>
      </c>
      <c r="L159" s="53" t="s">
        <v>394</v>
      </c>
      <c r="M159" s="53" t="s">
        <v>394</v>
      </c>
      <c r="N159" s="55" t="s">
        <v>394</v>
      </c>
      <c r="O159" s="53" t="s">
        <v>394</v>
      </c>
      <c r="P159" s="53" t="s">
        <v>394</v>
      </c>
      <c r="Q159" s="55" t="s">
        <v>394</v>
      </c>
      <c r="R159" s="53" t="s">
        <v>394</v>
      </c>
      <c r="S159" s="53" t="s">
        <v>394</v>
      </c>
      <c r="T159" s="55" t="s">
        <v>394</v>
      </c>
      <c r="U159" s="53">
        <f>'Расчет субсидий'!Z161-1</f>
        <v>-0.10447761194029848</v>
      </c>
      <c r="V159" s="53">
        <f>U159*'Расчет субсидий'!AA161</f>
        <v>-1.567164179104477</v>
      </c>
      <c r="W159" s="54">
        <f t="shared" si="17"/>
        <v>-0.46685920557752664</v>
      </c>
      <c r="X159" s="56">
        <f t="shared" si="18"/>
        <v>2.9295918418355029</v>
      </c>
    </row>
    <row r="160" spans="1:24" ht="15" customHeight="1">
      <c r="A160" s="64" t="s">
        <v>145</v>
      </c>
      <c r="B160" s="52">
        <f>'Расчет субсидий'!AF162</f>
        <v>-9.0909090909093493E-2</v>
      </c>
      <c r="C160" s="53">
        <f>'Расчет субсидий'!D162-1</f>
        <v>3.4829655930340486E-2</v>
      </c>
      <c r="D160" s="53">
        <f>C160*'Расчет субсидий'!E162</f>
        <v>0.52244483895510729</v>
      </c>
      <c r="E160" s="54">
        <f t="shared" si="14"/>
        <v>0.75180544977099395</v>
      </c>
      <c r="F160" s="53">
        <f>'Расчет субсидий'!F162-1</f>
        <v>0</v>
      </c>
      <c r="G160" s="53">
        <f>F160*'Расчет субсидий'!G162</f>
        <v>0</v>
      </c>
      <c r="H160" s="54">
        <f t="shared" si="15"/>
        <v>0</v>
      </c>
      <c r="I160" s="53">
        <f>'Расчет субсидий'!J162-1</f>
        <v>9.8154477101845439E-2</v>
      </c>
      <c r="J160" s="53">
        <f>I160*'Расчет субсидий'!K162</f>
        <v>0.98154477101845439</v>
      </c>
      <c r="K160" s="54">
        <f t="shared" si="16"/>
        <v>1.4124566902063038</v>
      </c>
      <c r="L160" s="53" t="s">
        <v>394</v>
      </c>
      <c r="M160" s="53" t="s">
        <v>394</v>
      </c>
      <c r="N160" s="55" t="s">
        <v>394</v>
      </c>
      <c r="O160" s="53" t="s">
        <v>394</v>
      </c>
      <c r="P160" s="53" t="s">
        <v>394</v>
      </c>
      <c r="Q160" s="55" t="s">
        <v>394</v>
      </c>
      <c r="R160" s="53" t="s">
        <v>394</v>
      </c>
      <c r="S160" s="53" t="s">
        <v>394</v>
      </c>
      <c r="T160" s="55" t="s">
        <v>394</v>
      </c>
      <c r="U160" s="53">
        <f>'Расчет субсидий'!Z162-1</f>
        <v>-0.10447761194029848</v>
      </c>
      <c r="V160" s="53">
        <f>U160*'Расчет субсидий'!AA162</f>
        <v>-1.567164179104477</v>
      </c>
      <c r="W160" s="54">
        <f t="shared" si="17"/>
        <v>-2.2551712308863912</v>
      </c>
      <c r="X160" s="56">
        <f t="shared" si="18"/>
        <v>-6.3174569130915348E-2</v>
      </c>
    </row>
    <row r="161" spans="1:24" ht="15" customHeight="1">
      <c r="A161" s="64" t="s">
        <v>146</v>
      </c>
      <c r="B161" s="52">
        <f>'Расчет субсидий'!AF163</f>
        <v>-61.490909090909099</v>
      </c>
      <c r="C161" s="53">
        <f>'Расчет субсидий'!D163-1</f>
        <v>-0.26935950957162735</v>
      </c>
      <c r="D161" s="53">
        <f>C161*'Расчет субсидий'!E163</f>
        <v>-4.0403926435744104</v>
      </c>
      <c r="E161" s="54">
        <f t="shared" si="14"/>
        <v>-53.70660818932275</v>
      </c>
      <c r="F161" s="53">
        <f>'Расчет субсидий'!F163-1</f>
        <v>0</v>
      </c>
      <c r="G161" s="53">
        <f>F161*'Расчет субсидий'!G163</f>
        <v>0</v>
      </c>
      <c r="H161" s="54">
        <f t="shared" si="15"/>
        <v>0</v>
      </c>
      <c r="I161" s="53">
        <f>'Расчет субсидий'!J163-1</f>
        <v>9.8154477101845439E-2</v>
      </c>
      <c r="J161" s="53">
        <f>I161*'Расчет субсидий'!K163</f>
        <v>0.98154477101845439</v>
      </c>
      <c r="K161" s="54">
        <f t="shared" si="16"/>
        <v>13.047108310426712</v>
      </c>
      <c r="L161" s="53" t="s">
        <v>394</v>
      </c>
      <c r="M161" s="53" t="s">
        <v>394</v>
      </c>
      <c r="N161" s="55" t="s">
        <v>394</v>
      </c>
      <c r="O161" s="53" t="s">
        <v>394</v>
      </c>
      <c r="P161" s="53" t="s">
        <v>394</v>
      </c>
      <c r="Q161" s="55" t="s">
        <v>394</v>
      </c>
      <c r="R161" s="53" t="s">
        <v>394</v>
      </c>
      <c r="S161" s="53" t="s">
        <v>394</v>
      </c>
      <c r="T161" s="55" t="s">
        <v>394</v>
      </c>
      <c r="U161" s="53">
        <f>'Расчет субсидий'!Z163-1</f>
        <v>-0.10447761194029848</v>
      </c>
      <c r="V161" s="53">
        <f>U161*'Расчет субсидий'!AA163</f>
        <v>-1.567164179104477</v>
      </c>
      <c r="W161" s="54">
        <f t="shared" si="17"/>
        <v>-20.83140921201306</v>
      </c>
      <c r="X161" s="56">
        <f t="shared" si="18"/>
        <v>-4.6260120516604335</v>
      </c>
    </row>
    <row r="162" spans="1:24" ht="15" customHeight="1">
      <c r="A162" s="64" t="s">
        <v>147</v>
      </c>
      <c r="B162" s="52">
        <f>'Расчет субсидий'!AF164</f>
        <v>-130.88181818181812</v>
      </c>
      <c r="C162" s="53">
        <f>'Расчет субсидий'!D164-1</f>
        <v>-0.67117661270838369</v>
      </c>
      <c r="D162" s="53">
        <f>C162*'Расчет субсидий'!E164</f>
        <v>-10.067649190625755</v>
      </c>
      <c r="E162" s="54">
        <f t="shared" si="14"/>
        <v>-123.68713120076076</v>
      </c>
      <c r="F162" s="53">
        <f>'Расчет субсидий'!F164-1</f>
        <v>0</v>
      </c>
      <c r="G162" s="53">
        <f>F162*'Расчет субсидий'!G164</f>
        <v>0</v>
      </c>
      <c r="H162" s="54">
        <f t="shared" si="15"/>
        <v>0</v>
      </c>
      <c r="I162" s="53">
        <f>'Расчет субсидий'!J164-1</f>
        <v>9.8154477101845439E-2</v>
      </c>
      <c r="J162" s="53">
        <f>I162*'Расчет субсидий'!K164</f>
        <v>0.98154477101845439</v>
      </c>
      <c r="K162" s="54">
        <f t="shared" si="16"/>
        <v>12.058868418401293</v>
      </c>
      <c r="L162" s="53" t="s">
        <v>394</v>
      </c>
      <c r="M162" s="53" t="s">
        <v>394</v>
      </c>
      <c r="N162" s="55" t="s">
        <v>394</v>
      </c>
      <c r="O162" s="53" t="s">
        <v>394</v>
      </c>
      <c r="P162" s="53" t="s">
        <v>394</v>
      </c>
      <c r="Q162" s="55" t="s">
        <v>394</v>
      </c>
      <c r="R162" s="53" t="s">
        <v>394</v>
      </c>
      <c r="S162" s="53" t="s">
        <v>394</v>
      </c>
      <c r="T162" s="55" t="s">
        <v>394</v>
      </c>
      <c r="U162" s="53">
        <f>'Расчет субсидий'!Z164-1</f>
        <v>-0.10447761194029848</v>
      </c>
      <c r="V162" s="53">
        <f>U162*'Расчет субсидий'!AA164</f>
        <v>-1.567164179104477</v>
      </c>
      <c r="W162" s="54">
        <f t="shared" si="17"/>
        <v>-19.253555399458648</v>
      </c>
      <c r="X162" s="56">
        <f t="shared" si="18"/>
        <v>-10.653268598711778</v>
      </c>
    </row>
    <row r="163" spans="1:24" ht="15" customHeight="1">
      <c r="A163" s="64" t="s">
        <v>148</v>
      </c>
      <c r="B163" s="52">
        <f>'Расчет субсидий'!AF165</f>
        <v>15.345454545454459</v>
      </c>
      <c r="C163" s="53">
        <f>'Расчет субсидий'!D165-1</f>
        <v>8.6330935251798691E-2</v>
      </c>
      <c r="D163" s="53">
        <f>C163*'Расчет субсидий'!E165</f>
        <v>1.2949640287769804</v>
      </c>
      <c r="E163" s="54">
        <f t="shared" si="14"/>
        <v>28.014326269562755</v>
      </c>
      <c r="F163" s="53">
        <f>'Расчет субсидий'!F165-1</f>
        <v>0</v>
      </c>
      <c r="G163" s="53">
        <f>F163*'Расчет субсидий'!G165</f>
        <v>0</v>
      </c>
      <c r="H163" s="54">
        <f t="shared" si="15"/>
        <v>0</v>
      </c>
      <c r="I163" s="53">
        <f>'Расчет субсидий'!J165-1</f>
        <v>9.8154477101845439E-2</v>
      </c>
      <c r="J163" s="53">
        <f>I163*'Расчет субсидий'!K165</f>
        <v>0.98154477101845439</v>
      </c>
      <c r="K163" s="54">
        <f t="shared" si="16"/>
        <v>21.234038052364969</v>
      </c>
      <c r="L163" s="53" t="s">
        <v>394</v>
      </c>
      <c r="M163" s="53" t="s">
        <v>394</v>
      </c>
      <c r="N163" s="55" t="s">
        <v>394</v>
      </c>
      <c r="O163" s="53" t="s">
        <v>394</v>
      </c>
      <c r="P163" s="53" t="s">
        <v>394</v>
      </c>
      <c r="Q163" s="55" t="s">
        <v>394</v>
      </c>
      <c r="R163" s="53" t="s">
        <v>394</v>
      </c>
      <c r="S163" s="53" t="s">
        <v>394</v>
      </c>
      <c r="T163" s="55" t="s">
        <v>394</v>
      </c>
      <c r="U163" s="53">
        <f>'Расчет субсидий'!Z165-1</f>
        <v>-0.10447761194029848</v>
      </c>
      <c r="V163" s="53">
        <f>U163*'Расчет субсидий'!AA165</f>
        <v>-1.567164179104477</v>
      </c>
      <c r="W163" s="54">
        <f t="shared" si="17"/>
        <v>-33.902909776473273</v>
      </c>
      <c r="X163" s="56">
        <f t="shared" si="18"/>
        <v>0.70934462069095794</v>
      </c>
    </row>
    <row r="164" spans="1:24" ht="15" customHeight="1">
      <c r="A164" s="64" t="s">
        <v>149</v>
      </c>
      <c r="B164" s="52">
        <f>'Расчет субсидий'!AF166</f>
        <v>-0.10909090909092356</v>
      </c>
      <c r="C164" s="53">
        <f>'Расчет субсидий'!D166-1</f>
        <v>3.8684719535783341E-2</v>
      </c>
      <c r="D164" s="53">
        <f>C164*'Расчет субсидий'!E166</f>
        <v>0.58027079303675011</v>
      </c>
      <c r="E164" s="54">
        <f t="shared" si="14"/>
        <v>11.83526347440166</v>
      </c>
      <c r="F164" s="53">
        <f>'Расчет субсидий'!F166-1</f>
        <v>0</v>
      </c>
      <c r="G164" s="53">
        <f>F164*'Расчет субсидий'!G166</f>
        <v>0</v>
      </c>
      <c r="H164" s="54">
        <f t="shared" si="15"/>
        <v>0</v>
      </c>
      <c r="I164" s="53">
        <f>'Расчет субсидий'!J166-1</f>
        <v>9.8154477101845439E-2</v>
      </c>
      <c r="J164" s="53">
        <f>I164*'Расчет субсидий'!K166</f>
        <v>0.98154477101845439</v>
      </c>
      <c r="K164" s="54">
        <f t="shared" si="16"/>
        <v>20.019689283566834</v>
      </c>
      <c r="L164" s="53" t="s">
        <v>394</v>
      </c>
      <c r="M164" s="53" t="s">
        <v>394</v>
      </c>
      <c r="N164" s="55" t="s">
        <v>394</v>
      </c>
      <c r="O164" s="53" t="s">
        <v>394</v>
      </c>
      <c r="P164" s="53" t="s">
        <v>394</v>
      </c>
      <c r="Q164" s="55" t="s">
        <v>394</v>
      </c>
      <c r="R164" s="53" t="s">
        <v>394</v>
      </c>
      <c r="S164" s="53" t="s">
        <v>394</v>
      </c>
      <c r="T164" s="55" t="s">
        <v>394</v>
      </c>
      <c r="U164" s="53">
        <f>'Расчет субсидий'!Z166-1</f>
        <v>-0.10447761194029848</v>
      </c>
      <c r="V164" s="53">
        <f>U164*'Расчет субсидий'!AA166</f>
        <v>-1.567164179104477</v>
      </c>
      <c r="W164" s="54">
        <f t="shared" si="17"/>
        <v>-31.964043667059418</v>
      </c>
      <c r="X164" s="56">
        <f t="shared" si="18"/>
        <v>-5.3486150492725315E-3</v>
      </c>
    </row>
    <row r="165" spans="1:24" ht="15" customHeight="1">
      <c r="A165" s="64" t="s">
        <v>150</v>
      </c>
      <c r="B165" s="52">
        <f>'Расчет субсидий'!AF167</f>
        <v>17.627272727272725</v>
      </c>
      <c r="C165" s="53">
        <f>'Расчет субсидий'!D167-1</f>
        <v>0.21174268389137874</v>
      </c>
      <c r="D165" s="53">
        <f>C165*'Расчет субсидий'!E167</f>
        <v>3.176140258370681</v>
      </c>
      <c r="E165" s="54">
        <f t="shared" si="14"/>
        <v>21.612136628129583</v>
      </c>
      <c r="F165" s="53">
        <f>'Расчет субсидий'!F167-1</f>
        <v>0</v>
      </c>
      <c r="G165" s="53">
        <f>F165*'Расчет субсидий'!G167</f>
        <v>0</v>
      </c>
      <c r="H165" s="54">
        <f t="shared" si="15"/>
        <v>0</v>
      </c>
      <c r="I165" s="53">
        <f>'Расчет субсидий'!J167-1</f>
        <v>9.8154477101845439E-2</v>
      </c>
      <c r="J165" s="53">
        <f>I165*'Расчет субсидий'!K167</f>
        <v>0.98154477101845439</v>
      </c>
      <c r="K165" s="54">
        <f t="shared" si="16"/>
        <v>6.6789492819058127</v>
      </c>
      <c r="L165" s="53" t="s">
        <v>394</v>
      </c>
      <c r="M165" s="53" t="s">
        <v>394</v>
      </c>
      <c r="N165" s="55" t="s">
        <v>394</v>
      </c>
      <c r="O165" s="53" t="s">
        <v>394</v>
      </c>
      <c r="P165" s="53" t="s">
        <v>394</v>
      </c>
      <c r="Q165" s="55" t="s">
        <v>394</v>
      </c>
      <c r="R165" s="53" t="s">
        <v>394</v>
      </c>
      <c r="S165" s="53" t="s">
        <v>394</v>
      </c>
      <c r="T165" s="55" t="s">
        <v>394</v>
      </c>
      <c r="U165" s="53">
        <f>'Расчет субсидий'!Z167-1</f>
        <v>-0.10447761194029848</v>
      </c>
      <c r="V165" s="53">
        <f>U165*'Расчет субсидий'!AA167</f>
        <v>-1.567164179104477</v>
      </c>
      <c r="W165" s="54">
        <f t="shared" si="17"/>
        <v>-10.663813182762668</v>
      </c>
      <c r="X165" s="56">
        <f t="shared" si="18"/>
        <v>2.5905208502846584</v>
      </c>
    </row>
    <row r="166" spans="1:24" ht="15" customHeight="1">
      <c r="A166" s="64" t="s">
        <v>151</v>
      </c>
      <c r="B166" s="52">
        <f>'Расчет субсидий'!AF168</f>
        <v>-22.763636363636351</v>
      </c>
      <c r="C166" s="53">
        <f>'Расчет субсидий'!D168-1</f>
        <v>-7.448572201921777E-2</v>
      </c>
      <c r="D166" s="53">
        <f>C166*'Расчет субсидий'!E168</f>
        <v>-1.1172858302882664</v>
      </c>
      <c r="E166" s="54">
        <f t="shared" si="14"/>
        <v>-14.935351528547871</v>
      </c>
      <c r="F166" s="53">
        <f>'Расчет субсидий'!F168-1</f>
        <v>0</v>
      </c>
      <c r="G166" s="53">
        <f>F166*'Расчет субсидий'!G168</f>
        <v>0</v>
      </c>
      <c r="H166" s="54">
        <f t="shared" si="15"/>
        <v>0</v>
      </c>
      <c r="I166" s="53">
        <f>'Расчет субсидий'!J168-1</f>
        <v>9.8154477101845439E-2</v>
      </c>
      <c r="J166" s="53">
        <f>I166*'Расчет субсидий'!K168</f>
        <v>0.98154477101845439</v>
      </c>
      <c r="K166" s="54">
        <f t="shared" si="16"/>
        <v>13.120828886182464</v>
      </c>
      <c r="L166" s="53" t="s">
        <v>394</v>
      </c>
      <c r="M166" s="53" t="s">
        <v>394</v>
      </c>
      <c r="N166" s="55" t="s">
        <v>394</v>
      </c>
      <c r="O166" s="53" t="s">
        <v>394</v>
      </c>
      <c r="P166" s="53" t="s">
        <v>394</v>
      </c>
      <c r="Q166" s="55" t="s">
        <v>394</v>
      </c>
      <c r="R166" s="53" t="s">
        <v>394</v>
      </c>
      <c r="S166" s="53" t="s">
        <v>394</v>
      </c>
      <c r="T166" s="55" t="s">
        <v>394</v>
      </c>
      <c r="U166" s="53">
        <f>'Расчет субсидий'!Z168-1</f>
        <v>-0.10447761194029848</v>
      </c>
      <c r="V166" s="53">
        <f>U166*'Расчет субсидий'!AA168</f>
        <v>-1.567164179104477</v>
      </c>
      <c r="W166" s="54">
        <f t="shared" si="17"/>
        <v>-20.949113721270944</v>
      </c>
      <c r="X166" s="56">
        <f t="shared" si="18"/>
        <v>-1.7029052383742891</v>
      </c>
    </row>
    <row r="167" spans="1:24" ht="15" customHeight="1">
      <c r="A167" s="60" t="s">
        <v>152</v>
      </c>
      <c r="B167" s="61"/>
      <c r="C167" s="62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</row>
    <row r="168" spans="1:24" ht="15" customHeight="1">
      <c r="A168" s="64" t="s">
        <v>67</v>
      </c>
      <c r="B168" s="52">
        <f>'Расчет субсидий'!AF170</f>
        <v>-85.200000000000045</v>
      </c>
      <c r="C168" s="53">
        <f>'Расчет субсидий'!D170-1</f>
        <v>-0.35595026642984007</v>
      </c>
      <c r="D168" s="53">
        <f>C168*'Расчет субсидий'!E170</f>
        <v>-5.3392539964476011</v>
      </c>
      <c r="E168" s="54">
        <f t="shared" si="14"/>
        <v>-82.652883078457023</v>
      </c>
      <c r="F168" s="53">
        <f>'Расчет субсидий'!F170-1</f>
        <v>0</v>
      </c>
      <c r="G168" s="53">
        <f>F168*'Расчет субсидий'!G170</f>
        <v>0</v>
      </c>
      <c r="H168" s="54">
        <f t="shared" si="15"/>
        <v>0</v>
      </c>
      <c r="I168" s="53">
        <f>'Расчет субсидий'!J170-1</f>
        <v>-2.9059040590405871E-2</v>
      </c>
      <c r="J168" s="53">
        <f>I168*'Расчет субсидий'!K170</f>
        <v>-0.29059040590405871</v>
      </c>
      <c r="K168" s="54">
        <f t="shared" si="16"/>
        <v>-4.4984064925342873</v>
      </c>
      <c r="L168" s="53" t="s">
        <v>394</v>
      </c>
      <c r="M168" s="53" t="s">
        <v>394</v>
      </c>
      <c r="N168" s="55" t="s">
        <v>394</v>
      </c>
      <c r="O168" s="53" t="s">
        <v>394</v>
      </c>
      <c r="P168" s="53" t="s">
        <v>394</v>
      </c>
      <c r="Q168" s="55" t="s">
        <v>394</v>
      </c>
      <c r="R168" s="53" t="s">
        <v>394</v>
      </c>
      <c r="S168" s="53" t="s">
        <v>394</v>
      </c>
      <c r="T168" s="55" t="s">
        <v>394</v>
      </c>
      <c r="U168" s="53">
        <f>'Расчет субсидий'!Z170-1</f>
        <v>8.4033613445377853E-3</v>
      </c>
      <c r="V168" s="53">
        <f>U168*'Расчет субсидий'!AA170</f>
        <v>0.12605042016806678</v>
      </c>
      <c r="W168" s="54">
        <f t="shared" si="17"/>
        <v>1.9512895709912588</v>
      </c>
      <c r="X168" s="56">
        <f t="shared" si="18"/>
        <v>-5.5037939821835931</v>
      </c>
    </row>
    <row r="169" spans="1:24" ht="15" customHeight="1">
      <c r="A169" s="64" t="s">
        <v>153</v>
      </c>
      <c r="B169" s="52">
        <f>'Расчет субсидий'!AF171</f>
        <v>-108.5090909090909</v>
      </c>
      <c r="C169" s="53">
        <f>'Расчет субсидий'!D171-1</f>
        <v>-0.59931740614334472</v>
      </c>
      <c r="D169" s="53">
        <f>C169*'Расчет субсидий'!E171</f>
        <v>-8.9897610921501716</v>
      </c>
      <c r="E169" s="54">
        <f t="shared" si="14"/>
        <v>-106.55874165593634</v>
      </c>
      <c r="F169" s="53">
        <f>'Расчет субсидий'!F171-1</f>
        <v>0</v>
      </c>
      <c r="G169" s="53">
        <f>F169*'Расчет субсидий'!G171</f>
        <v>0</v>
      </c>
      <c r="H169" s="54">
        <f t="shared" si="15"/>
        <v>0</v>
      </c>
      <c r="I169" s="53">
        <f>'Расчет субсидий'!J171-1</f>
        <v>-2.9059040590405871E-2</v>
      </c>
      <c r="J169" s="53">
        <f>I169*'Расчет субсидий'!K171</f>
        <v>-0.29059040590405871</v>
      </c>
      <c r="K169" s="54">
        <f t="shared" si="16"/>
        <v>-3.4444683983273769</v>
      </c>
      <c r="L169" s="53" t="s">
        <v>394</v>
      </c>
      <c r="M169" s="53" t="s">
        <v>394</v>
      </c>
      <c r="N169" s="55" t="s">
        <v>394</v>
      </c>
      <c r="O169" s="53" t="s">
        <v>394</v>
      </c>
      <c r="P169" s="53" t="s">
        <v>394</v>
      </c>
      <c r="Q169" s="55" t="s">
        <v>394</v>
      </c>
      <c r="R169" s="53" t="s">
        <v>394</v>
      </c>
      <c r="S169" s="53" t="s">
        <v>394</v>
      </c>
      <c r="T169" s="55" t="s">
        <v>394</v>
      </c>
      <c r="U169" s="53">
        <f>'Расчет субсидий'!Z171-1</f>
        <v>8.4033613445377853E-3</v>
      </c>
      <c r="V169" s="53">
        <f>U169*'Расчет субсидий'!AA171</f>
        <v>0.12605042016806678</v>
      </c>
      <c r="W169" s="54">
        <f t="shared" si="17"/>
        <v>1.494119145172816</v>
      </c>
      <c r="X169" s="56">
        <f t="shared" si="18"/>
        <v>-9.1543010778861635</v>
      </c>
    </row>
    <row r="170" spans="1:24" ht="15" customHeight="1">
      <c r="A170" s="64" t="s">
        <v>154</v>
      </c>
      <c r="B170" s="52">
        <f>'Расчет субсидий'!AF172</f>
        <v>77.827272727272771</v>
      </c>
      <c r="C170" s="53">
        <f>'Расчет субсидий'!D172-1</f>
        <v>0.30000000000000004</v>
      </c>
      <c r="D170" s="53">
        <f>C170*'Расчет субсидий'!E172</f>
        <v>4.5000000000000009</v>
      </c>
      <c r="E170" s="54">
        <f t="shared" si="14"/>
        <v>80.780984283205669</v>
      </c>
      <c r="F170" s="53">
        <f>'Расчет субсидий'!F172-1</f>
        <v>0</v>
      </c>
      <c r="G170" s="53">
        <f>F170*'Расчет субсидий'!G172</f>
        <v>0</v>
      </c>
      <c r="H170" s="54">
        <f t="shared" si="15"/>
        <v>0</v>
      </c>
      <c r="I170" s="53">
        <f>'Расчет субсидий'!J172-1</f>
        <v>-2.9059040590405871E-2</v>
      </c>
      <c r="J170" s="53">
        <f>I170*'Расчет субсидий'!K172</f>
        <v>-0.29059040590405871</v>
      </c>
      <c r="K170" s="54">
        <f t="shared" si="16"/>
        <v>-5.2164842249302481</v>
      </c>
      <c r="L170" s="53" t="s">
        <v>394</v>
      </c>
      <c r="M170" s="53" t="s">
        <v>394</v>
      </c>
      <c r="N170" s="55" t="s">
        <v>394</v>
      </c>
      <c r="O170" s="53" t="s">
        <v>394</v>
      </c>
      <c r="P170" s="53" t="s">
        <v>394</v>
      </c>
      <c r="Q170" s="55" t="s">
        <v>394</v>
      </c>
      <c r="R170" s="53" t="s">
        <v>394</v>
      </c>
      <c r="S170" s="53" t="s">
        <v>394</v>
      </c>
      <c r="T170" s="55" t="s">
        <v>394</v>
      </c>
      <c r="U170" s="53">
        <f>'Расчет субсидий'!Z172-1</f>
        <v>8.4033613445377853E-3</v>
      </c>
      <c r="V170" s="53">
        <f>U170*'Расчет субсидий'!AA172</f>
        <v>0.12605042016806678</v>
      </c>
      <c r="W170" s="54">
        <f t="shared" si="17"/>
        <v>2.2627726689973491</v>
      </c>
      <c r="X170" s="56">
        <f t="shared" si="18"/>
        <v>4.335460014264009</v>
      </c>
    </row>
    <row r="171" spans="1:24" ht="15" customHeight="1">
      <c r="A171" s="64" t="s">
        <v>155</v>
      </c>
      <c r="B171" s="52">
        <f>'Расчет субсидий'!AF173</f>
        <v>-136.94545454545448</v>
      </c>
      <c r="C171" s="53">
        <f>'Расчет субсидий'!D173-1</f>
        <v>-0.49945345235926397</v>
      </c>
      <c r="D171" s="53">
        <f>C171*'Расчет субсидий'!E173</f>
        <v>-7.4918017853889598</v>
      </c>
      <c r="E171" s="54">
        <f t="shared" si="14"/>
        <v>-134.00240369805127</v>
      </c>
      <c r="F171" s="53">
        <f>'Расчет субсидий'!F173-1</f>
        <v>0</v>
      </c>
      <c r="G171" s="53">
        <f>F171*'Расчет субсидий'!G173</f>
        <v>0</v>
      </c>
      <c r="H171" s="54">
        <f t="shared" si="15"/>
        <v>0</v>
      </c>
      <c r="I171" s="53">
        <f>'Расчет субсидий'!J173-1</f>
        <v>-2.9059040590405871E-2</v>
      </c>
      <c r="J171" s="53">
        <f>I171*'Расчет субсидий'!K173</f>
        <v>-0.29059040590405871</v>
      </c>
      <c r="K171" s="54">
        <f t="shared" si="16"/>
        <v>-5.1976565849191871</v>
      </c>
      <c r="L171" s="53" t="s">
        <v>394</v>
      </c>
      <c r="M171" s="53" t="s">
        <v>394</v>
      </c>
      <c r="N171" s="55" t="s">
        <v>394</v>
      </c>
      <c r="O171" s="53" t="s">
        <v>394</v>
      </c>
      <c r="P171" s="53" t="s">
        <v>394</v>
      </c>
      <c r="Q171" s="55" t="s">
        <v>394</v>
      </c>
      <c r="R171" s="53" t="s">
        <v>394</v>
      </c>
      <c r="S171" s="53" t="s">
        <v>394</v>
      </c>
      <c r="T171" s="55" t="s">
        <v>394</v>
      </c>
      <c r="U171" s="53">
        <f>'Расчет субсидий'!Z173-1</f>
        <v>8.4033613445377853E-3</v>
      </c>
      <c r="V171" s="53">
        <f>U171*'Расчет субсидий'!AA173</f>
        <v>0.12605042016806678</v>
      </c>
      <c r="W171" s="54">
        <f t="shared" si="17"/>
        <v>2.2546057375159609</v>
      </c>
      <c r="X171" s="56">
        <f t="shared" si="18"/>
        <v>-7.6563417711249517</v>
      </c>
    </row>
    <row r="172" spans="1:24" ht="15" customHeight="1">
      <c r="A172" s="64" t="s">
        <v>156</v>
      </c>
      <c r="B172" s="52">
        <f>'Расчет субсидий'!AF174</f>
        <v>-19.227272727272748</v>
      </c>
      <c r="C172" s="53">
        <f>'Расчет субсидий'!D174-1</f>
        <v>-0.10924930396068822</v>
      </c>
      <c r="D172" s="53">
        <f>C172*'Расчет субсидий'!E174</f>
        <v>-1.6387395594103231</v>
      </c>
      <c r="E172" s="54">
        <f t="shared" si="14"/>
        <v>-17.472882960692885</v>
      </c>
      <c r="F172" s="53">
        <f>'Расчет субсидий'!F174-1</f>
        <v>0</v>
      </c>
      <c r="G172" s="53">
        <f>F172*'Расчет субсидий'!G174</f>
        <v>0</v>
      </c>
      <c r="H172" s="54">
        <f t="shared" si="15"/>
        <v>0</v>
      </c>
      <c r="I172" s="53">
        <f>'Расчет субсидий'!J174-1</f>
        <v>-2.9059040590405871E-2</v>
      </c>
      <c r="J172" s="53">
        <f>I172*'Расчет субсидий'!K174</f>
        <v>-0.29059040590405871</v>
      </c>
      <c r="K172" s="54">
        <f t="shared" si="16"/>
        <v>-3.0983887114367978</v>
      </c>
      <c r="L172" s="53" t="s">
        <v>394</v>
      </c>
      <c r="M172" s="53" t="s">
        <v>394</v>
      </c>
      <c r="N172" s="55" t="s">
        <v>394</v>
      </c>
      <c r="O172" s="53" t="s">
        <v>394</v>
      </c>
      <c r="P172" s="53" t="s">
        <v>394</v>
      </c>
      <c r="Q172" s="55" t="s">
        <v>394</v>
      </c>
      <c r="R172" s="53" t="s">
        <v>394</v>
      </c>
      <c r="S172" s="53" t="s">
        <v>394</v>
      </c>
      <c r="T172" s="55" t="s">
        <v>394</v>
      </c>
      <c r="U172" s="53">
        <f>'Расчет субсидий'!Z174-1</f>
        <v>8.4033613445377853E-3</v>
      </c>
      <c r="V172" s="53">
        <f>U172*'Расчет субсидий'!AA174</f>
        <v>0.12605042016806678</v>
      </c>
      <c r="W172" s="54">
        <f t="shared" si="17"/>
        <v>1.3439989448569352</v>
      </c>
      <c r="X172" s="56">
        <f t="shared" si="18"/>
        <v>-1.8032795451463151</v>
      </c>
    </row>
    <row r="173" spans="1:24" ht="15" customHeight="1">
      <c r="A173" s="64" t="s">
        <v>157</v>
      </c>
      <c r="B173" s="52">
        <f>'Расчет субсидий'!AF175</f>
        <v>38.218181818181847</v>
      </c>
      <c r="C173" s="53">
        <f>'Расчет субсидий'!D175-1</f>
        <v>0.24575916230366479</v>
      </c>
      <c r="D173" s="53">
        <f>C173*'Расчет субсидий'!E175</f>
        <v>3.6863874345549719</v>
      </c>
      <c r="E173" s="54">
        <f t="shared" si="14"/>
        <v>40.003727382720122</v>
      </c>
      <c r="F173" s="53">
        <f>'Расчет субсидий'!F175-1</f>
        <v>0</v>
      </c>
      <c r="G173" s="53">
        <f>F173*'Расчет субсидий'!G175</f>
        <v>0</v>
      </c>
      <c r="H173" s="54">
        <f t="shared" si="15"/>
        <v>0</v>
      </c>
      <c r="I173" s="53">
        <f>'Расчет субсидий'!J175-1</f>
        <v>-2.9059040590405871E-2</v>
      </c>
      <c r="J173" s="53">
        <f>I173*'Расчет субсидий'!K175</f>
        <v>-0.29059040590405871</v>
      </c>
      <c r="K173" s="54">
        <f t="shared" si="16"/>
        <v>-3.1534122726368579</v>
      </c>
      <c r="L173" s="53" t="s">
        <v>394</v>
      </c>
      <c r="M173" s="53" t="s">
        <v>394</v>
      </c>
      <c r="N173" s="55" t="s">
        <v>394</v>
      </c>
      <c r="O173" s="53" t="s">
        <v>394</v>
      </c>
      <c r="P173" s="53" t="s">
        <v>394</v>
      </c>
      <c r="Q173" s="55" t="s">
        <v>394</v>
      </c>
      <c r="R173" s="53" t="s">
        <v>394</v>
      </c>
      <c r="S173" s="53" t="s">
        <v>394</v>
      </c>
      <c r="T173" s="55" t="s">
        <v>394</v>
      </c>
      <c r="U173" s="53">
        <f>'Расчет субсидий'!Z175-1</f>
        <v>8.4033613445377853E-3</v>
      </c>
      <c r="V173" s="53">
        <f>U173*'Расчет субсидий'!AA175</f>
        <v>0.12605042016806678</v>
      </c>
      <c r="W173" s="54">
        <f t="shared" si="17"/>
        <v>1.3678667080985778</v>
      </c>
      <c r="X173" s="56">
        <f t="shared" si="18"/>
        <v>3.5218474488189799</v>
      </c>
    </row>
    <row r="174" spans="1:24" ht="15" customHeight="1">
      <c r="A174" s="64" t="s">
        <v>158</v>
      </c>
      <c r="B174" s="52">
        <f>'Расчет субсидий'!AF176</f>
        <v>-48.927272727272793</v>
      </c>
      <c r="C174" s="53">
        <f>'Расчет субсидий'!D176-1</f>
        <v>-0.22961874623267031</v>
      </c>
      <c r="D174" s="53">
        <f>C174*'Расчет субсидий'!E176</f>
        <v>-3.4442811934900548</v>
      </c>
      <c r="E174" s="54">
        <f t="shared" si="14"/>
        <v>-46.696490885548798</v>
      </c>
      <c r="F174" s="53">
        <f>'Расчет субсидий'!F176-1</f>
        <v>0</v>
      </c>
      <c r="G174" s="53">
        <f>F174*'Расчет субсидий'!G176</f>
        <v>0</v>
      </c>
      <c r="H174" s="54">
        <f t="shared" si="15"/>
        <v>0</v>
      </c>
      <c r="I174" s="53">
        <f>'Расчет субсидий'!J176-1</f>
        <v>-2.9059040590405871E-2</v>
      </c>
      <c r="J174" s="53">
        <f>I174*'Расчет субсидий'!K176</f>
        <v>-0.29059040590405871</v>
      </c>
      <c r="K174" s="54">
        <f t="shared" si="16"/>
        <v>-3.9397341501542487</v>
      </c>
      <c r="L174" s="53" t="s">
        <v>394</v>
      </c>
      <c r="M174" s="53" t="s">
        <v>394</v>
      </c>
      <c r="N174" s="55" t="s">
        <v>394</v>
      </c>
      <c r="O174" s="53" t="s">
        <v>394</v>
      </c>
      <c r="P174" s="53" t="s">
        <v>394</v>
      </c>
      <c r="Q174" s="55" t="s">
        <v>394</v>
      </c>
      <c r="R174" s="53" t="s">
        <v>394</v>
      </c>
      <c r="S174" s="53" t="s">
        <v>394</v>
      </c>
      <c r="T174" s="55" t="s">
        <v>394</v>
      </c>
      <c r="U174" s="53">
        <f>'Расчет субсидий'!Z176-1</f>
        <v>8.4033613445377853E-3</v>
      </c>
      <c r="V174" s="53">
        <f>U174*'Расчет субсидий'!AA176</f>
        <v>0.12605042016806678</v>
      </c>
      <c r="W174" s="54">
        <f t="shared" si="17"/>
        <v>1.7089523084302503</v>
      </c>
      <c r="X174" s="56">
        <f t="shared" si="18"/>
        <v>-3.6088211792260467</v>
      </c>
    </row>
    <row r="175" spans="1:24" ht="15" customHeight="1">
      <c r="A175" s="64" t="s">
        <v>159</v>
      </c>
      <c r="B175" s="52">
        <f>'Расчет субсидий'!AF177</f>
        <v>-26.699999999999989</v>
      </c>
      <c r="C175" s="53">
        <f>'Расчет субсидий'!D177-1</f>
        <v>-0.17811655731377862</v>
      </c>
      <c r="D175" s="53">
        <f>C175*'Расчет субсидий'!E177</f>
        <v>-2.6717483597066796</v>
      </c>
      <c r="E175" s="54">
        <f t="shared" si="14"/>
        <v>-25.151068056528874</v>
      </c>
      <c r="F175" s="53">
        <f>'Расчет субсидий'!F177-1</f>
        <v>0</v>
      </c>
      <c r="G175" s="53">
        <f>F175*'Расчет субсидий'!G177</f>
        <v>0</v>
      </c>
      <c r="H175" s="54">
        <f t="shared" si="15"/>
        <v>0</v>
      </c>
      <c r="I175" s="53">
        <f>'Расчет субсидий'!J177-1</f>
        <v>-2.9059040590405871E-2</v>
      </c>
      <c r="J175" s="53">
        <f>I175*'Расчет субсидий'!K177</f>
        <v>-0.29059040590405871</v>
      </c>
      <c r="K175" s="54">
        <f t="shared" si="16"/>
        <v>-2.7355342238404963</v>
      </c>
      <c r="L175" s="53" t="s">
        <v>394</v>
      </c>
      <c r="M175" s="53" t="s">
        <v>394</v>
      </c>
      <c r="N175" s="55" t="s">
        <v>394</v>
      </c>
      <c r="O175" s="53" t="s">
        <v>394</v>
      </c>
      <c r="P175" s="53" t="s">
        <v>394</v>
      </c>
      <c r="Q175" s="55" t="s">
        <v>394</v>
      </c>
      <c r="R175" s="53" t="s">
        <v>394</v>
      </c>
      <c r="S175" s="53" t="s">
        <v>394</v>
      </c>
      <c r="T175" s="55" t="s">
        <v>394</v>
      </c>
      <c r="U175" s="53">
        <f>'Расчет субсидий'!Z177-1</f>
        <v>8.4033613445377853E-3</v>
      </c>
      <c r="V175" s="53">
        <f>U175*'Расчет субсидий'!AA177</f>
        <v>0.12605042016806678</v>
      </c>
      <c r="W175" s="54">
        <f t="shared" si="17"/>
        <v>1.1866022803693841</v>
      </c>
      <c r="X175" s="56">
        <f t="shared" si="18"/>
        <v>-2.8362883454426715</v>
      </c>
    </row>
    <row r="176" spans="1:24" ht="15" customHeight="1">
      <c r="A176" s="64" t="s">
        <v>160</v>
      </c>
      <c r="B176" s="52">
        <f>'Расчет субсидий'!AF178</f>
        <v>-88.272727272727252</v>
      </c>
      <c r="C176" s="53">
        <f>'Расчет субсидий'!D178-1</f>
        <v>-0.4942696016008733</v>
      </c>
      <c r="D176" s="53">
        <f>C176*'Расчет субсидий'!E178</f>
        <v>-7.4140440240130996</v>
      </c>
      <c r="E176" s="54">
        <f t="shared" si="14"/>
        <v>-86.356222386372821</v>
      </c>
      <c r="F176" s="53">
        <f>'Расчет субсидий'!F178-1</f>
        <v>0</v>
      </c>
      <c r="G176" s="53">
        <f>F176*'Расчет субсидий'!G178</f>
        <v>0</v>
      </c>
      <c r="H176" s="54">
        <f t="shared" si="15"/>
        <v>0</v>
      </c>
      <c r="I176" s="53">
        <f>'Расчет субсидий'!J178-1</f>
        <v>-2.9059040590405871E-2</v>
      </c>
      <c r="J176" s="53">
        <f>I176*'Расчет субсидий'!K178</f>
        <v>-0.29059040590405871</v>
      </c>
      <c r="K176" s="54">
        <f t="shared" si="16"/>
        <v>-3.3846966155474911</v>
      </c>
      <c r="L176" s="53" t="s">
        <v>394</v>
      </c>
      <c r="M176" s="53" t="s">
        <v>394</v>
      </c>
      <c r="N176" s="55" t="s">
        <v>394</v>
      </c>
      <c r="O176" s="53" t="s">
        <v>394</v>
      </c>
      <c r="P176" s="53" t="s">
        <v>394</v>
      </c>
      <c r="Q176" s="55" t="s">
        <v>394</v>
      </c>
      <c r="R176" s="53" t="s">
        <v>394</v>
      </c>
      <c r="S176" s="53" t="s">
        <v>394</v>
      </c>
      <c r="T176" s="55" t="s">
        <v>394</v>
      </c>
      <c r="U176" s="53">
        <f>'Расчет субсидий'!Z178-1</f>
        <v>8.4033613445377853E-3</v>
      </c>
      <c r="V176" s="53">
        <f>U176*'Расчет субсидий'!AA178</f>
        <v>0.12605042016806678</v>
      </c>
      <c r="W176" s="54">
        <f t="shared" si="17"/>
        <v>1.4681917291930657</v>
      </c>
      <c r="X176" s="56">
        <f t="shared" si="18"/>
        <v>-7.5785840097490915</v>
      </c>
    </row>
    <row r="177" spans="1:24" ht="15" customHeight="1">
      <c r="A177" s="64" t="s">
        <v>95</v>
      </c>
      <c r="B177" s="52">
        <f>'Расчет субсидий'!AF179</f>
        <v>-96.100000000000023</v>
      </c>
      <c r="C177" s="53">
        <f>'Расчет субсидий'!D179-1</f>
        <v>-0.48810461635418312</v>
      </c>
      <c r="D177" s="53">
        <f>C177*'Расчет субсидий'!E179</f>
        <v>-7.3215692453127463</v>
      </c>
      <c r="E177" s="54">
        <f t="shared" si="14"/>
        <v>-93.987782272312174</v>
      </c>
      <c r="F177" s="53">
        <f>'Расчет субсидий'!F179-1</f>
        <v>0</v>
      </c>
      <c r="G177" s="53">
        <f>F177*'Расчет субсидий'!G179</f>
        <v>0</v>
      </c>
      <c r="H177" s="54">
        <f t="shared" si="15"/>
        <v>0</v>
      </c>
      <c r="I177" s="53">
        <f>'Расчет субсидий'!J179-1</f>
        <v>-2.9059040590405871E-2</v>
      </c>
      <c r="J177" s="53">
        <f>I177*'Расчет субсидий'!K179</f>
        <v>-0.29059040590405871</v>
      </c>
      <c r="K177" s="54">
        <f t="shared" si="16"/>
        <v>-3.7303407077681521</v>
      </c>
      <c r="L177" s="53" t="s">
        <v>394</v>
      </c>
      <c r="M177" s="53" t="s">
        <v>394</v>
      </c>
      <c r="N177" s="55" t="s">
        <v>394</v>
      </c>
      <c r="O177" s="53" t="s">
        <v>394</v>
      </c>
      <c r="P177" s="53" t="s">
        <v>394</v>
      </c>
      <c r="Q177" s="55" t="s">
        <v>394</v>
      </c>
      <c r="R177" s="53" t="s">
        <v>394</v>
      </c>
      <c r="S177" s="53" t="s">
        <v>394</v>
      </c>
      <c r="T177" s="55" t="s">
        <v>394</v>
      </c>
      <c r="U177" s="53">
        <f>'Расчет субсидий'!Z179-1</f>
        <v>8.4033613445377853E-3</v>
      </c>
      <c r="V177" s="53">
        <f>U177*'Расчет субсидий'!AA179</f>
        <v>0.12605042016806678</v>
      </c>
      <c r="W177" s="54">
        <f t="shared" si="17"/>
        <v>1.6181229800802992</v>
      </c>
      <c r="X177" s="56">
        <f t="shared" si="18"/>
        <v>-7.4861092310487383</v>
      </c>
    </row>
    <row r="178" spans="1:24" ht="15" customHeight="1">
      <c r="A178" s="64" t="s">
        <v>161</v>
      </c>
      <c r="B178" s="52">
        <f>'Расчет субсидий'!AF180</f>
        <v>-162.5090909090909</v>
      </c>
      <c r="C178" s="53">
        <f>'Расчет субсидий'!D180-1</f>
        <v>-0.70103559870550169</v>
      </c>
      <c r="D178" s="53">
        <f>C178*'Расчет субсидий'!E180</f>
        <v>-10.515533980582525</v>
      </c>
      <c r="E178" s="54">
        <f t="shared" si="14"/>
        <v>-160.00543376359943</v>
      </c>
      <c r="F178" s="53">
        <f>'Расчет субсидий'!F180-1</f>
        <v>0</v>
      </c>
      <c r="G178" s="53">
        <f>F178*'Расчет субсидий'!G180</f>
        <v>0</v>
      </c>
      <c r="H178" s="54">
        <f t="shared" si="15"/>
        <v>0</v>
      </c>
      <c r="I178" s="53">
        <f>'Расчет субсидий'!J180-1</f>
        <v>-2.9059040590405871E-2</v>
      </c>
      <c r="J178" s="53">
        <f>I178*'Расчет субсидий'!K180</f>
        <v>-0.29059040590405871</v>
      </c>
      <c r="K178" s="54">
        <f t="shared" si="16"/>
        <v>-4.4216531495287521</v>
      </c>
      <c r="L178" s="53" t="s">
        <v>394</v>
      </c>
      <c r="M178" s="53" t="s">
        <v>394</v>
      </c>
      <c r="N178" s="55" t="s">
        <v>394</v>
      </c>
      <c r="O178" s="53" t="s">
        <v>394</v>
      </c>
      <c r="P178" s="53" t="s">
        <v>394</v>
      </c>
      <c r="Q178" s="55" t="s">
        <v>394</v>
      </c>
      <c r="R178" s="53" t="s">
        <v>394</v>
      </c>
      <c r="S178" s="53" t="s">
        <v>394</v>
      </c>
      <c r="T178" s="55" t="s">
        <v>394</v>
      </c>
      <c r="U178" s="53">
        <f>'Расчет субсидий'!Z180-1</f>
        <v>8.4033613445377853E-3</v>
      </c>
      <c r="V178" s="53">
        <f>U178*'Расчет субсидий'!AA180</f>
        <v>0.12605042016806678</v>
      </c>
      <c r="W178" s="54">
        <f t="shared" si="17"/>
        <v>1.9179960040372772</v>
      </c>
      <c r="X178" s="56">
        <f t="shared" si="18"/>
        <v>-10.680073966318517</v>
      </c>
    </row>
    <row r="179" spans="1:24" ht="15" customHeight="1">
      <c r="A179" s="64" t="s">
        <v>162</v>
      </c>
      <c r="B179" s="52">
        <f>'Расчет субсидий'!AF181</f>
        <v>-149.20000000000005</v>
      </c>
      <c r="C179" s="53">
        <f>'Расчет субсидий'!D181-1</f>
        <v>-0.38178386031146772</v>
      </c>
      <c r="D179" s="53">
        <f>C179*'Расчет субсидий'!E181</f>
        <v>-5.7267579046720156</v>
      </c>
      <c r="E179" s="54">
        <f t="shared" si="14"/>
        <v>-145.03294439892778</v>
      </c>
      <c r="F179" s="53">
        <f>'Расчет субсидий'!F181-1</f>
        <v>0</v>
      </c>
      <c r="G179" s="53">
        <f>F179*'Расчет субсидий'!G181</f>
        <v>0</v>
      </c>
      <c r="H179" s="54">
        <f t="shared" si="15"/>
        <v>0</v>
      </c>
      <c r="I179" s="53">
        <f>'Расчет субсидий'!J181-1</f>
        <v>-2.9059040590405871E-2</v>
      </c>
      <c r="J179" s="53">
        <f>I179*'Расчет субсидий'!K181</f>
        <v>-0.29059040590405871</v>
      </c>
      <c r="K179" s="54">
        <f t="shared" si="16"/>
        <v>-7.3593441322117403</v>
      </c>
      <c r="L179" s="53" t="s">
        <v>394</v>
      </c>
      <c r="M179" s="53" t="s">
        <v>394</v>
      </c>
      <c r="N179" s="55" t="s">
        <v>394</v>
      </c>
      <c r="O179" s="53" t="s">
        <v>394</v>
      </c>
      <c r="P179" s="53" t="s">
        <v>394</v>
      </c>
      <c r="Q179" s="55" t="s">
        <v>394</v>
      </c>
      <c r="R179" s="53" t="s">
        <v>394</v>
      </c>
      <c r="S179" s="53" t="s">
        <v>394</v>
      </c>
      <c r="T179" s="55" t="s">
        <v>394</v>
      </c>
      <c r="U179" s="53">
        <f>'Расчет субсидий'!Z181-1</f>
        <v>8.4033613445377853E-3</v>
      </c>
      <c r="V179" s="53">
        <f>U179*'Расчет субсидий'!AA181</f>
        <v>0.12605042016806678</v>
      </c>
      <c r="W179" s="54">
        <f t="shared" si="17"/>
        <v>3.1922885311394587</v>
      </c>
      <c r="X179" s="56">
        <f t="shared" si="18"/>
        <v>-5.8912978904080076</v>
      </c>
    </row>
    <row r="180" spans="1:24" ht="15" customHeight="1">
      <c r="A180" s="64" t="s">
        <v>163</v>
      </c>
      <c r="B180" s="52">
        <f>'Расчет субсидий'!AF182</f>
        <v>-42</v>
      </c>
      <c r="C180" s="53">
        <f>'Расчет субсидий'!D182-1</f>
        <v>-0.1827512001324284</v>
      </c>
      <c r="D180" s="53">
        <f>C180*'Расчет субсидий'!E182</f>
        <v>-2.741268001986426</v>
      </c>
      <c r="E180" s="54">
        <f t="shared" si="14"/>
        <v>-39.621770113472543</v>
      </c>
      <c r="F180" s="53">
        <f>'Расчет субсидий'!F182-1</f>
        <v>0</v>
      </c>
      <c r="G180" s="53">
        <f>F180*'Расчет субсидий'!G182</f>
        <v>0</v>
      </c>
      <c r="H180" s="54">
        <f t="shared" si="15"/>
        <v>0</v>
      </c>
      <c r="I180" s="53">
        <f>'Расчет субсидий'!J182-1</f>
        <v>-2.9059040590405871E-2</v>
      </c>
      <c r="J180" s="53">
        <f>I180*'Расчет субсидий'!K182</f>
        <v>-0.29059040590405871</v>
      </c>
      <c r="K180" s="54">
        <f t="shared" si="16"/>
        <v>-4.2001388596693294</v>
      </c>
      <c r="L180" s="53" t="s">
        <v>394</v>
      </c>
      <c r="M180" s="53" t="s">
        <v>394</v>
      </c>
      <c r="N180" s="55" t="s">
        <v>394</v>
      </c>
      <c r="O180" s="53" t="s">
        <v>394</v>
      </c>
      <c r="P180" s="53" t="s">
        <v>394</v>
      </c>
      <c r="Q180" s="55" t="s">
        <v>394</v>
      </c>
      <c r="R180" s="53" t="s">
        <v>394</v>
      </c>
      <c r="S180" s="53" t="s">
        <v>394</v>
      </c>
      <c r="T180" s="55" t="s">
        <v>394</v>
      </c>
      <c r="U180" s="53">
        <f>'Расчет субсидий'!Z182-1</f>
        <v>8.4033613445377853E-3</v>
      </c>
      <c r="V180" s="53">
        <f>U180*'Расчет субсидий'!AA182</f>
        <v>0.12605042016806678</v>
      </c>
      <c r="W180" s="54">
        <f t="shared" si="17"/>
        <v>1.8219089731418736</v>
      </c>
      <c r="X180" s="56">
        <f t="shared" si="18"/>
        <v>-2.9058079877224179</v>
      </c>
    </row>
    <row r="181" spans="1:24" ht="15" customHeight="1">
      <c r="A181" s="60" t="s">
        <v>164</v>
      </c>
      <c r="B181" s="61"/>
      <c r="C181" s="62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</row>
    <row r="182" spans="1:24" ht="15" customHeight="1">
      <c r="A182" s="64" t="s">
        <v>165</v>
      </c>
      <c r="B182" s="52">
        <f>'Расчет субсидий'!AF184</f>
        <v>-33.554545454545462</v>
      </c>
      <c r="C182" s="53">
        <f>'Расчет субсидий'!D184-1</f>
        <v>-0.3803042433947158</v>
      </c>
      <c r="D182" s="53">
        <f>C182*'Расчет субсидий'!E184</f>
        <v>-5.7045636509207371</v>
      </c>
      <c r="E182" s="54">
        <f t="shared" si="14"/>
        <v>-52.608712154578996</v>
      </c>
      <c r="F182" s="53">
        <f>'Расчет субсидий'!F184-1</f>
        <v>0</v>
      </c>
      <c r="G182" s="53">
        <f>F182*'Расчет субсидий'!G184</f>
        <v>0</v>
      </c>
      <c r="H182" s="54">
        <f t="shared" si="15"/>
        <v>0</v>
      </c>
      <c r="I182" s="53">
        <f>'Расчет субсидий'!J184-1</f>
        <v>-9.58208232445521E-2</v>
      </c>
      <c r="J182" s="53">
        <f>I182*'Расчет субсидий'!K184</f>
        <v>-0.958208232445521</v>
      </c>
      <c r="K182" s="54">
        <f t="shared" si="16"/>
        <v>-8.836802281404637</v>
      </c>
      <c r="L182" s="53" t="s">
        <v>394</v>
      </c>
      <c r="M182" s="53" t="s">
        <v>394</v>
      </c>
      <c r="N182" s="55" t="s">
        <v>394</v>
      </c>
      <c r="O182" s="53" t="s">
        <v>394</v>
      </c>
      <c r="P182" s="53" t="s">
        <v>394</v>
      </c>
      <c r="Q182" s="55" t="s">
        <v>394</v>
      </c>
      <c r="R182" s="53" t="s">
        <v>394</v>
      </c>
      <c r="S182" s="53" t="s">
        <v>394</v>
      </c>
      <c r="T182" s="55" t="s">
        <v>394</v>
      </c>
      <c r="U182" s="53">
        <f>'Расчет субсидий'!Z184-1</f>
        <v>0.20162162162162156</v>
      </c>
      <c r="V182" s="53">
        <f>U182*'Расчет субсидий'!AA184</f>
        <v>3.0243243243243234</v>
      </c>
      <c r="W182" s="54">
        <f t="shared" si="17"/>
        <v>27.890968981438167</v>
      </c>
      <c r="X182" s="56">
        <f t="shared" si="18"/>
        <v>-3.6384475590419343</v>
      </c>
    </row>
    <row r="183" spans="1:24" ht="15" customHeight="1">
      <c r="A183" s="64" t="s">
        <v>166</v>
      </c>
      <c r="B183" s="52">
        <f>'Расчет субсидий'!AF185</f>
        <v>25.209090909090889</v>
      </c>
      <c r="C183" s="53">
        <f>'Расчет субсидий'!D185-1</f>
        <v>5.371299142533581E-2</v>
      </c>
      <c r="D183" s="53">
        <f>C183*'Расчет субсидий'!E185</f>
        <v>0.80569487138003715</v>
      </c>
      <c r="E183" s="54">
        <f t="shared" si="14"/>
        <v>7.0724833624005514</v>
      </c>
      <c r="F183" s="53">
        <f>'Расчет субсидий'!F185-1</f>
        <v>0</v>
      </c>
      <c r="G183" s="53">
        <f>F183*'Расчет субсидий'!G185</f>
        <v>0</v>
      </c>
      <c r="H183" s="54">
        <f t="shared" si="15"/>
        <v>0</v>
      </c>
      <c r="I183" s="53">
        <f>'Расчет субсидий'!J185-1</f>
        <v>-9.58208232445521E-2</v>
      </c>
      <c r="J183" s="53">
        <f>I183*'Расчет субсидий'!K185</f>
        <v>-0.958208232445521</v>
      </c>
      <c r="K183" s="54">
        <f t="shared" si="16"/>
        <v>-8.4112633981129008</v>
      </c>
      <c r="L183" s="53" t="s">
        <v>394</v>
      </c>
      <c r="M183" s="53" t="s">
        <v>394</v>
      </c>
      <c r="N183" s="55" t="s">
        <v>394</v>
      </c>
      <c r="O183" s="53" t="s">
        <v>394</v>
      </c>
      <c r="P183" s="53" t="s">
        <v>394</v>
      </c>
      <c r="Q183" s="55" t="s">
        <v>394</v>
      </c>
      <c r="R183" s="53" t="s">
        <v>394</v>
      </c>
      <c r="S183" s="53" t="s">
        <v>394</v>
      </c>
      <c r="T183" s="55" t="s">
        <v>394</v>
      </c>
      <c r="U183" s="53">
        <f>'Расчет субсидий'!Z185-1</f>
        <v>0.20162162162162156</v>
      </c>
      <c r="V183" s="53">
        <f>U183*'Расчет субсидий'!AA185</f>
        <v>3.0243243243243234</v>
      </c>
      <c r="W183" s="54">
        <f t="shared" si="17"/>
        <v>26.547870944803236</v>
      </c>
      <c r="X183" s="56">
        <f t="shared" si="18"/>
        <v>2.8718109632588398</v>
      </c>
    </row>
    <row r="184" spans="1:24" ht="15" customHeight="1">
      <c r="A184" s="64" t="s">
        <v>167</v>
      </c>
      <c r="B184" s="52">
        <f>'Расчет субсидий'!AF186</f>
        <v>42.418181818181893</v>
      </c>
      <c r="C184" s="53">
        <f>'Расчет субсидий'!D186-1</f>
        <v>0.20422611036339156</v>
      </c>
      <c r="D184" s="53">
        <f>C184*'Расчет субсидий'!E186</f>
        <v>3.0633916554508733</v>
      </c>
      <c r="E184" s="54">
        <f t="shared" si="14"/>
        <v>25.332548583996676</v>
      </c>
      <c r="F184" s="53">
        <f>'Расчет субсидий'!F186-1</f>
        <v>0</v>
      </c>
      <c r="G184" s="53">
        <f>F184*'Расчет субсидий'!G186</f>
        <v>0</v>
      </c>
      <c r="H184" s="54">
        <f t="shared" si="15"/>
        <v>0</v>
      </c>
      <c r="I184" s="53">
        <f>'Расчет субсидий'!J186-1</f>
        <v>-9.58208232445521E-2</v>
      </c>
      <c r="J184" s="53">
        <f>I184*'Расчет субсидий'!K186</f>
        <v>-0.958208232445521</v>
      </c>
      <c r="K184" s="54">
        <f t="shared" si="16"/>
        <v>-7.9238502066230545</v>
      </c>
      <c r="L184" s="53" t="s">
        <v>394</v>
      </c>
      <c r="M184" s="53" t="s">
        <v>394</v>
      </c>
      <c r="N184" s="55" t="s">
        <v>394</v>
      </c>
      <c r="O184" s="53" t="s">
        <v>394</v>
      </c>
      <c r="P184" s="53" t="s">
        <v>394</v>
      </c>
      <c r="Q184" s="55" t="s">
        <v>394</v>
      </c>
      <c r="R184" s="53" t="s">
        <v>394</v>
      </c>
      <c r="S184" s="53" t="s">
        <v>394</v>
      </c>
      <c r="T184" s="55" t="s">
        <v>394</v>
      </c>
      <c r="U184" s="53">
        <f>'Расчет субсидий'!Z186-1</f>
        <v>0.20162162162162156</v>
      </c>
      <c r="V184" s="53">
        <f>U184*'Расчет субсидий'!AA186</f>
        <v>3.0243243243243234</v>
      </c>
      <c r="W184" s="54">
        <f t="shared" si="17"/>
        <v>25.009483440808268</v>
      </c>
      <c r="X184" s="56">
        <f t="shared" si="18"/>
        <v>5.1295077473296757</v>
      </c>
    </row>
    <row r="185" spans="1:24" ht="15" customHeight="1">
      <c r="A185" s="64" t="s">
        <v>168</v>
      </c>
      <c r="B185" s="52">
        <f>'Расчет субсидий'!AF187</f>
        <v>-61.172727272727258</v>
      </c>
      <c r="C185" s="53">
        <f>'Расчет субсидий'!D187-1</f>
        <v>-0.78406940063091479</v>
      </c>
      <c r="D185" s="53">
        <f>C185*'Расчет субсидий'!E187</f>
        <v>-11.761041009463721</v>
      </c>
      <c r="E185" s="54">
        <f t="shared" ref="E185:E247" si="19">$B185*D185/$X185</f>
        <v>-74.209440530098192</v>
      </c>
      <c r="F185" s="53">
        <f>'Расчет субсидий'!F187-1</f>
        <v>0</v>
      </c>
      <c r="G185" s="53">
        <f>F185*'Расчет субсидий'!G187</f>
        <v>0</v>
      </c>
      <c r="H185" s="54">
        <f t="shared" ref="H185:H247" si="20">$B185*G185/$X185</f>
        <v>0</v>
      </c>
      <c r="I185" s="53">
        <f>'Расчет субсидий'!J187-1</f>
        <v>-9.58208232445521E-2</v>
      </c>
      <c r="J185" s="53">
        <f>I185*'Расчет субсидий'!K187</f>
        <v>-0.958208232445521</v>
      </c>
      <c r="K185" s="54">
        <f t="shared" ref="K185:K247" si="21">$B185*J185/$X185</f>
        <v>-6.0460716686471931</v>
      </c>
      <c r="L185" s="53" t="s">
        <v>394</v>
      </c>
      <c r="M185" s="53" t="s">
        <v>394</v>
      </c>
      <c r="N185" s="55" t="s">
        <v>394</v>
      </c>
      <c r="O185" s="53" t="s">
        <v>394</v>
      </c>
      <c r="P185" s="53" t="s">
        <v>394</v>
      </c>
      <c r="Q185" s="55" t="s">
        <v>394</v>
      </c>
      <c r="R185" s="53" t="s">
        <v>394</v>
      </c>
      <c r="S185" s="53" t="s">
        <v>394</v>
      </c>
      <c r="T185" s="55" t="s">
        <v>394</v>
      </c>
      <c r="U185" s="53">
        <f>'Расчет субсидий'!Z187-1</f>
        <v>0.20162162162162156</v>
      </c>
      <c r="V185" s="53">
        <f>U185*'Расчет субсидий'!AA187</f>
        <v>3.0243243243243234</v>
      </c>
      <c r="W185" s="54">
        <f t="shared" ref="W185:W247" si="22">$B185*V185/$X185</f>
        <v>19.082784926018121</v>
      </c>
      <c r="X185" s="56">
        <f t="shared" ref="X185:X247" si="23">D185+G185+J185+V185</f>
        <v>-9.6949249175849186</v>
      </c>
    </row>
    <row r="186" spans="1:24" ht="15" customHeight="1">
      <c r="A186" s="64" t="s">
        <v>169</v>
      </c>
      <c r="B186" s="52">
        <f>'Расчет субсидий'!AF188</f>
        <v>0.51818181818180165</v>
      </c>
      <c r="C186" s="53">
        <f>'Расчет субсидий'!D188-1</f>
        <v>-0.13163418290854567</v>
      </c>
      <c r="D186" s="53">
        <f>C186*'Расчет субсидий'!E188</f>
        <v>-1.9745127436281851</v>
      </c>
      <c r="E186" s="54">
        <f t="shared" si="19"/>
        <v>-11.169423640685485</v>
      </c>
      <c r="F186" s="53">
        <f>'Расчет субсидий'!F188-1</f>
        <v>0</v>
      </c>
      <c r="G186" s="53">
        <f>F186*'Расчет субсидий'!G188</f>
        <v>0</v>
      </c>
      <c r="H186" s="54">
        <f t="shared" si="20"/>
        <v>0</v>
      </c>
      <c r="I186" s="53">
        <f>'Расчет субсидий'!J188-1</f>
        <v>-9.58208232445521E-2</v>
      </c>
      <c r="J186" s="53">
        <f>I186*'Расчет субсидий'!K188</f>
        <v>-0.958208232445521</v>
      </c>
      <c r="K186" s="54">
        <f t="shared" si="21"/>
        <v>-5.42039230626097</v>
      </c>
      <c r="L186" s="53" t="s">
        <v>394</v>
      </c>
      <c r="M186" s="53" t="s">
        <v>394</v>
      </c>
      <c r="N186" s="55" t="s">
        <v>394</v>
      </c>
      <c r="O186" s="53" t="s">
        <v>394</v>
      </c>
      <c r="P186" s="53" t="s">
        <v>394</v>
      </c>
      <c r="Q186" s="55" t="s">
        <v>394</v>
      </c>
      <c r="R186" s="53" t="s">
        <v>394</v>
      </c>
      <c r="S186" s="53" t="s">
        <v>394</v>
      </c>
      <c r="T186" s="55" t="s">
        <v>394</v>
      </c>
      <c r="U186" s="53">
        <f>'Расчет субсидий'!Z188-1</f>
        <v>0.20162162162162156</v>
      </c>
      <c r="V186" s="53">
        <f>U186*'Расчет субсидий'!AA188</f>
        <v>3.0243243243243234</v>
      </c>
      <c r="W186" s="54">
        <f t="shared" si="22"/>
        <v>17.107997765128257</v>
      </c>
      <c r="X186" s="56">
        <f t="shared" si="23"/>
        <v>9.1603348250617334E-2</v>
      </c>
    </row>
    <row r="187" spans="1:24" ht="15" customHeight="1">
      <c r="A187" s="64" t="s">
        <v>170</v>
      </c>
      <c r="B187" s="52">
        <f>'Расчет субсидий'!AF189</f>
        <v>-23.918181818181893</v>
      </c>
      <c r="C187" s="53">
        <f>'Расчет субсидий'!D189-1</f>
        <v>-0.30025773195876293</v>
      </c>
      <c r="D187" s="53">
        <f>C187*'Расчет субсидий'!E189</f>
        <v>-4.5038659793814437</v>
      </c>
      <c r="E187" s="54">
        <f t="shared" si="19"/>
        <v>-44.190048344101307</v>
      </c>
      <c r="F187" s="53">
        <f>'Расчет субсидий'!F189-1</f>
        <v>0</v>
      </c>
      <c r="G187" s="53">
        <f>F187*'Расчет субсидий'!G189</f>
        <v>0</v>
      </c>
      <c r="H187" s="54">
        <f t="shared" si="20"/>
        <v>0</v>
      </c>
      <c r="I187" s="53">
        <f>'Расчет субсидий'!J189-1</f>
        <v>-9.58208232445521E-2</v>
      </c>
      <c r="J187" s="53">
        <f>I187*'Расчет субсидий'!K189</f>
        <v>-0.958208232445521</v>
      </c>
      <c r="K187" s="54">
        <f t="shared" si="21"/>
        <v>-9.4015382139099124</v>
      </c>
      <c r="L187" s="53" t="s">
        <v>394</v>
      </c>
      <c r="M187" s="53" t="s">
        <v>394</v>
      </c>
      <c r="N187" s="55" t="s">
        <v>394</v>
      </c>
      <c r="O187" s="53" t="s">
        <v>394</v>
      </c>
      <c r="P187" s="53" t="s">
        <v>394</v>
      </c>
      <c r="Q187" s="55" t="s">
        <v>394</v>
      </c>
      <c r="R187" s="53" t="s">
        <v>394</v>
      </c>
      <c r="S187" s="53" t="s">
        <v>394</v>
      </c>
      <c r="T187" s="55" t="s">
        <v>394</v>
      </c>
      <c r="U187" s="53">
        <f>'Расчет субсидий'!Z189-1</f>
        <v>0.20162162162162156</v>
      </c>
      <c r="V187" s="53">
        <f>U187*'Расчет субсидий'!AA189</f>
        <v>3.0243243243243234</v>
      </c>
      <c r="W187" s="54">
        <f t="shared" si="22"/>
        <v>29.673404739829323</v>
      </c>
      <c r="X187" s="56">
        <f t="shared" si="23"/>
        <v>-2.4377498875026409</v>
      </c>
    </row>
    <row r="188" spans="1:24" ht="15" customHeight="1">
      <c r="A188" s="60" t="s">
        <v>171</v>
      </c>
      <c r="B188" s="61"/>
      <c r="C188" s="62"/>
      <c r="D188" s="62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</row>
    <row r="189" spans="1:24" ht="15" customHeight="1">
      <c r="A189" s="64" t="s">
        <v>172</v>
      </c>
      <c r="B189" s="52">
        <f>'Расчет субсидий'!AF191</f>
        <v>-10.172727272727229</v>
      </c>
      <c r="C189" s="53">
        <f>'Расчет субсидий'!D191-1</f>
        <v>-0.33490566037735858</v>
      </c>
      <c r="D189" s="53">
        <f>C189*'Расчет субсидий'!E191</f>
        <v>-5.0235849056603783</v>
      </c>
      <c r="E189" s="54">
        <f t="shared" si="19"/>
        <v>-40.170695926448019</v>
      </c>
      <c r="F189" s="53">
        <f>'Расчет субсидий'!F191-1</f>
        <v>0</v>
      </c>
      <c r="G189" s="53">
        <f>F189*'Расчет субсидий'!G191</f>
        <v>0</v>
      </c>
      <c r="H189" s="54">
        <f t="shared" si="20"/>
        <v>0</v>
      </c>
      <c r="I189" s="53">
        <f>'Расчет субсидий'!J191-1</f>
        <v>-7.4857525980556505E-2</v>
      </c>
      <c r="J189" s="53">
        <f>I189*'Расчет субсидий'!K191</f>
        <v>-0.74857525980556505</v>
      </c>
      <c r="K189" s="54">
        <f t="shared" si="21"/>
        <v>-5.9859223451819421</v>
      </c>
      <c r="L189" s="53" t="s">
        <v>394</v>
      </c>
      <c r="M189" s="53" t="s">
        <v>394</v>
      </c>
      <c r="N189" s="55" t="s">
        <v>394</v>
      </c>
      <c r="O189" s="53" t="s">
        <v>394</v>
      </c>
      <c r="P189" s="53" t="s">
        <v>394</v>
      </c>
      <c r="Q189" s="55" t="s">
        <v>394</v>
      </c>
      <c r="R189" s="53" t="s">
        <v>394</v>
      </c>
      <c r="S189" s="53" t="s">
        <v>394</v>
      </c>
      <c r="T189" s="55" t="s">
        <v>394</v>
      </c>
      <c r="U189" s="53">
        <f>'Расчет субсидий'!Z191-1</f>
        <v>0.30000000000000004</v>
      </c>
      <c r="V189" s="53">
        <f>U189*'Расчет субсидий'!AA191</f>
        <v>4.5000000000000009</v>
      </c>
      <c r="W189" s="54">
        <f t="shared" si="22"/>
        <v>35.98389099890273</v>
      </c>
      <c r="X189" s="56">
        <f t="shared" si="23"/>
        <v>-1.2721601654659427</v>
      </c>
    </row>
    <row r="190" spans="1:24" ht="15" customHeight="1">
      <c r="A190" s="64" t="s">
        <v>173</v>
      </c>
      <c r="B190" s="52">
        <f>'Расчет субсидий'!AF192</f>
        <v>-9.8000000000000114</v>
      </c>
      <c r="C190" s="53">
        <f>'Расчет субсидий'!D192-1</f>
        <v>-0.37835809695332434</v>
      </c>
      <c r="D190" s="53">
        <f>C190*'Расчет субсидий'!E192</f>
        <v>-5.6753714542998654</v>
      </c>
      <c r="E190" s="54">
        <f t="shared" si="19"/>
        <v>-28.908617813773255</v>
      </c>
      <c r="F190" s="53">
        <f>'Расчет субсидий'!F192-1</f>
        <v>0</v>
      </c>
      <c r="G190" s="53">
        <f>F190*'Расчет субсидий'!G192</f>
        <v>0</v>
      </c>
      <c r="H190" s="54">
        <f t="shared" si="20"/>
        <v>0</v>
      </c>
      <c r="I190" s="53">
        <f>'Расчет субсидий'!J192-1</f>
        <v>-7.4857525980556505E-2</v>
      </c>
      <c r="J190" s="53">
        <f>I190*'Расчет субсидий'!K192</f>
        <v>-0.74857525980556505</v>
      </c>
      <c r="K190" s="54">
        <f t="shared" si="21"/>
        <v>-3.8130149303566108</v>
      </c>
      <c r="L190" s="53" t="s">
        <v>394</v>
      </c>
      <c r="M190" s="53" t="s">
        <v>394</v>
      </c>
      <c r="N190" s="55" t="s">
        <v>394</v>
      </c>
      <c r="O190" s="53" t="s">
        <v>394</v>
      </c>
      <c r="P190" s="53" t="s">
        <v>394</v>
      </c>
      <c r="Q190" s="55" t="s">
        <v>394</v>
      </c>
      <c r="R190" s="53" t="s">
        <v>394</v>
      </c>
      <c r="S190" s="53" t="s">
        <v>394</v>
      </c>
      <c r="T190" s="55" t="s">
        <v>394</v>
      </c>
      <c r="U190" s="53">
        <f>'Расчет субсидий'!Z192-1</f>
        <v>0.30000000000000004</v>
      </c>
      <c r="V190" s="53">
        <f>U190*'Расчет субсидий'!AA192</f>
        <v>4.5000000000000009</v>
      </c>
      <c r="W190" s="54">
        <f t="shared" si="22"/>
        <v>22.921632744129852</v>
      </c>
      <c r="X190" s="56">
        <f t="shared" si="23"/>
        <v>-1.9239467141054298</v>
      </c>
    </row>
    <row r="191" spans="1:24" ht="15" customHeight="1">
      <c r="A191" s="64" t="s">
        <v>174</v>
      </c>
      <c r="B191" s="52">
        <f>'Расчет субсидий'!AF193</f>
        <v>-8.7636363636363512</v>
      </c>
      <c r="C191" s="53">
        <f>'Расчет субсидий'!D193-1</f>
        <v>-0.3079192194236442</v>
      </c>
      <c r="D191" s="53">
        <f>C191*'Расчет субсидий'!E193</f>
        <v>-4.6187882913546634</v>
      </c>
      <c r="E191" s="54">
        <f t="shared" si="19"/>
        <v>-46.667145480011257</v>
      </c>
      <c r="F191" s="53">
        <f>'Расчет субсидий'!F193-1</f>
        <v>0</v>
      </c>
      <c r="G191" s="53">
        <f>F191*'Расчет субсидий'!G193</f>
        <v>0</v>
      </c>
      <c r="H191" s="54">
        <f t="shared" si="20"/>
        <v>0</v>
      </c>
      <c r="I191" s="53">
        <f>'Расчет субсидий'!J193-1</f>
        <v>-7.4857525980556505E-2</v>
      </c>
      <c r="J191" s="53">
        <f>I191*'Расчет субсидий'!K193</f>
        <v>-0.74857525980556505</v>
      </c>
      <c r="K191" s="54">
        <f t="shared" si="21"/>
        <v>-7.5634275373634043</v>
      </c>
      <c r="L191" s="53" t="s">
        <v>394</v>
      </c>
      <c r="M191" s="53" t="s">
        <v>394</v>
      </c>
      <c r="N191" s="55" t="s">
        <v>394</v>
      </c>
      <c r="O191" s="53" t="s">
        <v>394</v>
      </c>
      <c r="P191" s="53" t="s">
        <v>394</v>
      </c>
      <c r="Q191" s="55" t="s">
        <v>394</v>
      </c>
      <c r="R191" s="53" t="s">
        <v>394</v>
      </c>
      <c r="S191" s="53" t="s">
        <v>394</v>
      </c>
      <c r="T191" s="55" t="s">
        <v>394</v>
      </c>
      <c r="U191" s="53">
        <f>'Расчет субсидий'!Z193-1</f>
        <v>0.30000000000000004</v>
      </c>
      <c r="V191" s="53">
        <f>U191*'Расчет субсидий'!AA193</f>
        <v>4.5000000000000009</v>
      </c>
      <c r="W191" s="54">
        <f t="shared" si="22"/>
        <v>45.466936653738315</v>
      </c>
      <c r="X191" s="56">
        <f t="shared" si="23"/>
        <v>-0.86736355116022779</v>
      </c>
    </row>
    <row r="192" spans="1:24" ht="15" customHeight="1">
      <c r="A192" s="64" t="s">
        <v>175</v>
      </c>
      <c r="B192" s="52">
        <f>'Расчет субсидий'!AF194</f>
        <v>1.0727272727272741</v>
      </c>
      <c r="C192" s="53">
        <f>'Расчет субсидий'!D194-1</f>
        <v>7.709136368372338E-4</v>
      </c>
      <c r="D192" s="53">
        <f>C192*'Расчет субсидий'!E194</f>
        <v>1.1563704552558507E-2</v>
      </c>
      <c r="E192" s="54">
        <f t="shared" si="19"/>
        <v>3.2965026147254309E-3</v>
      </c>
      <c r="F192" s="53">
        <f>'Расчет субсидий'!F194-1</f>
        <v>0</v>
      </c>
      <c r="G192" s="53">
        <f>F192*'Расчет субсидий'!G194</f>
        <v>0</v>
      </c>
      <c r="H192" s="54">
        <f t="shared" si="20"/>
        <v>0</v>
      </c>
      <c r="I192" s="53">
        <f>'Расчет субсидий'!J194-1</f>
        <v>-7.4857525980556505E-2</v>
      </c>
      <c r="J192" s="53">
        <f>I192*'Расчет субсидий'!K194</f>
        <v>-0.74857525980556505</v>
      </c>
      <c r="K192" s="54">
        <f t="shared" si="21"/>
        <v>-0.21339876767448474</v>
      </c>
      <c r="L192" s="53" t="s">
        <v>394</v>
      </c>
      <c r="M192" s="53" t="s">
        <v>394</v>
      </c>
      <c r="N192" s="55" t="s">
        <v>394</v>
      </c>
      <c r="O192" s="53" t="s">
        <v>394</v>
      </c>
      <c r="P192" s="53" t="s">
        <v>394</v>
      </c>
      <c r="Q192" s="55" t="s">
        <v>394</v>
      </c>
      <c r="R192" s="53" t="s">
        <v>394</v>
      </c>
      <c r="S192" s="53" t="s">
        <v>394</v>
      </c>
      <c r="T192" s="55" t="s">
        <v>394</v>
      </c>
      <c r="U192" s="53">
        <f>'Расчет субсидий'!Z194-1</f>
        <v>0.30000000000000004</v>
      </c>
      <c r="V192" s="53">
        <f>U192*'Расчет субсидий'!AA194</f>
        <v>4.5000000000000009</v>
      </c>
      <c r="W192" s="54">
        <f t="shared" si="22"/>
        <v>1.2828295377870333</v>
      </c>
      <c r="X192" s="56">
        <f t="shared" si="23"/>
        <v>3.7629884447469943</v>
      </c>
    </row>
    <row r="193" spans="1:24" ht="15" customHeight="1">
      <c r="A193" s="64" t="s">
        <v>176</v>
      </c>
      <c r="B193" s="52">
        <f>'Расчет субсидий'!AF195</f>
        <v>20.809090909090912</v>
      </c>
      <c r="C193" s="53">
        <f>'Расчет субсидий'!D195-1</f>
        <v>-6.4131812420785805E-2</v>
      </c>
      <c r="D193" s="53">
        <f>C193*'Расчет субсидий'!E195</f>
        <v>-0.96197718631178708</v>
      </c>
      <c r="E193" s="54">
        <f t="shared" si="19"/>
        <v>-7.176285029833406</v>
      </c>
      <c r="F193" s="53">
        <f>'Расчет субсидий'!F195-1</f>
        <v>0</v>
      </c>
      <c r="G193" s="53">
        <f>F193*'Расчет субсидий'!G195</f>
        <v>0</v>
      </c>
      <c r="H193" s="54">
        <f t="shared" si="20"/>
        <v>0</v>
      </c>
      <c r="I193" s="53">
        <f>'Расчет субсидий'!J195-1</f>
        <v>-7.4857525980556505E-2</v>
      </c>
      <c r="J193" s="53">
        <f>I193*'Расчет субсидий'!K195</f>
        <v>-0.74857525980556505</v>
      </c>
      <c r="K193" s="54">
        <f t="shared" si="21"/>
        <v>-5.58432102869559</v>
      </c>
      <c r="L193" s="53" t="s">
        <v>394</v>
      </c>
      <c r="M193" s="53" t="s">
        <v>394</v>
      </c>
      <c r="N193" s="55" t="s">
        <v>394</v>
      </c>
      <c r="O193" s="53" t="s">
        <v>394</v>
      </c>
      <c r="P193" s="53" t="s">
        <v>394</v>
      </c>
      <c r="Q193" s="55" t="s">
        <v>394</v>
      </c>
      <c r="R193" s="53" t="s">
        <v>394</v>
      </c>
      <c r="S193" s="53" t="s">
        <v>394</v>
      </c>
      <c r="T193" s="55" t="s">
        <v>394</v>
      </c>
      <c r="U193" s="53">
        <f>'Расчет субсидий'!Z195-1</f>
        <v>0.30000000000000004</v>
      </c>
      <c r="V193" s="53">
        <f>U193*'Расчет субсидий'!AA195</f>
        <v>4.5000000000000009</v>
      </c>
      <c r="W193" s="54">
        <f t="shared" si="22"/>
        <v>33.569696967619905</v>
      </c>
      <c r="X193" s="56">
        <f t="shared" si="23"/>
        <v>2.7894475538826486</v>
      </c>
    </row>
    <row r="194" spans="1:24" ht="15" customHeight="1">
      <c r="A194" s="64" t="s">
        <v>177</v>
      </c>
      <c r="B194" s="52">
        <f>'Расчет субсидий'!AF196</f>
        <v>2.681818181818187</v>
      </c>
      <c r="C194" s="53">
        <f>'Расчет субсидий'!D196-1</f>
        <v>-0.22400115390162989</v>
      </c>
      <c r="D194" s="53">
        <f>C194*'Расчет субсидий'!E196</f>
        <v>-3.3600173085244482</v>
      </c>
      <c r="E194" s="54">
        <f t="shared" si="19"/>
        <v>-23.021932595347838</v>
      </c>
      <c r="F194" s="53">
        <f>'Расчет субсидий'!F196-1</f>
        <v>0</v>
      </c>
      <c r="G194" s="53">
        <f>F194*'Расчет субсидий'!G196</f>
        <v>0</v>
      </c>
      <c r="H194" s="54">
        <f t="shared" si="20"/>
        <v>0</v>
      </c>
      <c r="I194" s="53">
        <f>'Расчет субсидий'!J196-1</f>
        <v>-7.4857525980556505E-2</v>
      </c>
      <c r="J194" s="53">
        <f>I194*'Расчет субсидий'!K196</f>
        <v>-0.74857525980556505</v>
      </c>
      <c r="K194" s="54">
        <f t="shared" si="21"/>
        <v>-5.1290358326626819</v>
      </c>
      <c r="L194" s="53" t="s">
        <v>394</v>
      </c>
      <c r="M194" s="53" t="s">
        <v>394</v>
      </c>
      <c r="N194" s="55" t="s">
        <v>394</v>
      </c>
      <c r="O194" s="53" t="s">
        <v>394</v>
      </c>
      <c r="P194" s="53" t="s">
        <v>394</v>
      </c>
      <c r="Q194" s="55" t="s">
        <v>394</v>
      </c>
      <c r="R194" s="53" t="s">
        <v>394</v>
      </c>
      <c r="S194" s="53" t="s">
        <v>394</v>
      </c>
      <c r="T194" s="55" t="s">
        <v>394</v>
      </c>
      <c r="U194" s="53">
        <f>'Расчет субсидий'!Z196-1</f>
        <v>0.30000000000000004</v>
      </c>
      <c r="V194" s="53">
        <f>U194*'Расчет субсидий'!AA196</f>
        <v>4.5000000000000009</v>
      </c>
      <c r="W194" s="54">
        <f t="shared" si="22"/>
        <v>30.832786609828702</v>
      </c>
      <c r="X194" s="56">
        <f t="shared" si="23"/>
        <v>0.39140743166998782</v>
      </c>
    </row>
    <row r="195" spans="1:24" ht="15" customHeight="1">
      <c r="A195" s="64" t="s">
        <v>178</v>
      </c>
      <c r="B195" s="52">
        <f>'Расчет субсидий'!AF197</f>
        <v>-47.781818181818153</v>
      </c>
      <c r="C195" s="53">
        <f>'Расчет субсидий'!D197-1</f>
        <v>-0.62718982481401486</v>
      </c>
      <c r="D195" s="53">
        <f>C195*'Расчет субсидий'!E197</f>
        <v>-9.4078473722102238</v>
      </c>
      <c r="E195" s="54">
        <f t="shared" si="19"/>
        <v>-79.471440142556517</v>
      </c>
      <c r="F195" s="53">
        <f>'Расчет субсидий'!F197-1</f>
        <v>0</v>
      </c>
      <c r="G195" s="53">
        <f>F195*'Расчет субсидий'!G197</f>
        <v>0</v>
      </c>
      <c r="H195" s="54">
        <f t="shared" si="20"/>
        <v>0</v>
      </c>
      <c r="I195" s="53">
        <f>'Расчет субсидий'!J197-1</f>
        <v>-7.4857525980556505E-2</v>
      </c>
      <c r="J195" s="53">
        <f>I195*'Расчет субсидий'!K197</f>
        <v>-0.74857525980556505</v>
      </c>
      <c r="K195" s="54">
        <f t="shared" si="21"/>
        <v>-6.3234820462292785</v>
      </c>
      <c r="L195" s="53" t="s">
        <v>394</v>
      </c>
      <c r="M195" s="53" t="s">
        <v>394</v>
      </c>
      <c r="N195" s="55" t="s">
        <v>394</v>
      </c>
      <c r="O195" s="53" t="s">
        <v>394</v>
      </c>
      <c r="P195" s="53" t="s">
        <v>394</v>
      </c>
      <c r="Q195" s="55" t="s">
        <v>394</v>
      </c>
      <c r="R195" s="53" t="s">
        <v>394</v>
      </c>
      <c r="S195" s="53" t="s">
        <v>394</v>
      </c>
      <c r="T195" s="55" t="s">
        <v>394</v>
      </c>
      <c r="U195" s="53">
        <f>'Расчет субсидий'!Z197-1</f>
        <v>0.30000000000000004</v>
      </c>
      <c r="V195" s="53">
        <f>U195*'Расчет субсидий'!AA197</f>
        <v>4.5000000000000009</v>
      </c>
      <c r="W195" s="54">
        <f t="shared" si="22"/>
        <v>38.01310400696763</v>
      </c>
      <c r="X195" s="56">
        <f t="shared" si="23"/>
        <v>-5.6564226320157873</v>
      </c>
    </row>
    <row r="196" spans="1:24" ht="15" customHeight="1">
      <c r="A196" s="64" t="s">
        <v>179</v>
      </c>
      <c r="B196" s="52">
        <f>'Расчет субсидий'!AF198</f>
        <v>40.136363636363626</v>
      </c>
      <c r="C196" s="53">
        <f>'Расчет субсидий'!D198-1</f>
        <v>0.19838488496114581</v>
      </c>
      <c r="D196" s="53">
        <f>C196*'Расчет субсидий'!E198</f>
        <v>2.975773274417187</v>
      </c>
      <c r="E196" s="54">
        <f t="shared" si="19"/>
        <v>17.754303943775923</v>
      </c>
      <c r="F196" s="53">
        <f>'Расчет субсидий'!F198-1</f>
        <v>0</v>
      </c>
      <c r="G196" s="53">
        <f>F196*'Расчет субсидий'!G198</f>
        <v>0</v>
      </c>
      <c r="H196" s="54">
        <f t="shared" si="20"/>
        <v>0</v>
      </c>
      <c r="I196" s="53">
        <f>'Расчет субсидий'!J198-1</f>
        <v>-7.4857525980556505E-2</v>
      </c>
      <c r="J196" s="53">
        <f>I196*'Расчет субсидий'!K198</f>
        <v>-0.74857525980556505</v>
      </c>
      <c r="K196" s="54">
        <f t="shared" si="21"/>
        <v>-4.466211455569308</v>
      </c>
      <c r="L196" s="53" t="s">
        <v>394</v>
      </c>
      <c r="M196" s="53" t="s">
        <v>394</v>
      </c>
      <c r="N196" s="55" t="s">
        <v>394</v>
      </c>
      <c r="O196" s="53" t="s">
        <v>394</v>
      </c>
      <c r="P196" s="53" t="s">
        <v>394</v>
      </c>
      <c r="Q196" s="55" t="s">
        <v>394</v>
      </c>
      <c r="R196" s="53" t="s">
        <v>394</v>
      </c>
      <c r="S196" s="53" t="s">
        <v>394</v>
      </c>
      <c r="T196" s="55" t="s">
        <v>394</v>
      </c>
      <c r="U196" s="53">
        <f>'Расчет субсидий'!Z198-1</f>
        <v>0.30000000000000004</v>
      </c>
      <c r="V196" s="53">
        <f>U196*'Расчет субсидий'!AA198</f>
        <v>4.5000000000000009</v>
      </c>
      <c r="W196" s="54">
        <f t="shared" si="22"/>
        <v>26.848271148157011</v>
      </c>
      <c r="X196" s="56">
        <f t="shared" si="23"/>
        <v>6.7271980146116226</v>
      </c>
    </row>
    <row r="197" spans="1:24" ht="15" customHeight="1">
      <c r="A197" s="64" t="s">
        <v>180</v>
      </c>
      <c r="B197" s="52">
        <f>'Расчет субсидий'!AF199</f>
        <v>-44.290909090909111</v>
      </c>
      <c r="C197" s="53">
        <f>'Расчет субсидий'!D199-1</f>
        <v>-0.55160202360876909</v>
      </c>
      <c r="D197" s="53">
        <f>C197*'Расчет субсидий'!E199</f>
        <v>-8.2740303541315363</v>
      </c>
      <c r="E197" s="54">
        <f t="shared" si="19"/>
        <v>-81.029467858295362</v>
      </c>
      <c r="F197" s="53">
        <f>'Расчет субсидий'!F199-1</f>
        <v>0</v>
      </c>
      <c r="G197" s="53">
        <f>F197*'Расчет субсидий'!G199</f>
        <v>0</v>
      </c>
      <c r="H197" s="54">
        <f t="shared" si="20"/>
        <v>0</v>
      </c>
      <c r="I197" s="53">
        <f>'Расчет субсидий'!J199-1</f>
        <v>-7.4857525980556505E-2</v>
      </c>
      <c r="J197" s="53">
        <f>I197*'Расчет субсидий'!K199</f>
        <v>-0.74857525980556505</v>
      </c>
      <c r="K197" s="54">
        <f t="shared" si="21"/>
        <v>-7.3309683863610644</v>
      </c>
      <c r="L197" s="53" t="s">
        <v>394</v>
      </c>
      <c r="M197" s="53" t="s">
        <v>394</v>
      </c>
      <c r="N197" s="55" t="s">
        <v>394</v>
      </c>
      <c r="O197" s="53" t="s">
        <v>394</v>
      </c>
      <c r="P197" s="53" t="s">
        <v>394</v>
      </c>
      <c r="Q197" s="55" t="s">
        <v>394</v>
      </c>
      <c r="R197" s="53" t="s">
        <v>394</v>
      </c>
      <c r="S197" s="53" t="s">
        <v>394</v>
      </c>
      <c r="T197" s="55" t="s">
        <v>394</v>
      </c>
      <c r="U197" s="53">
        <f>'Расчет субсидий'!Z199-1</f>
        <v>0.30000000000000004</v>
      </c>
      <c r="V197" s="53">
        <f>U197*'Расчет субсидий'!AA199</f>
        <v>4.5000000000000009</v>
      </c>
      <c r="W197" s="54">
        <f t="shared" si="22"/>
        <v>44.069527153747309</v>
      </c>
      <c r="X197" s="56">
        <f t="shared" si="23"/>
        <v>-4.5226056139370998</v>
      </c>
    </row>
    <row r="198" spans="1:24" ht="15" customHeight="1">
      <c r="A198" s="64" t="s">
        <v>181</v>
      </c>
      <c r="B198" s="52">
        <f>'Расчет субсидий'!AF200</f>
        <v>46.472727272727241</v>
      </c>
      <c r="C198" s="53">
        <f>'Расчет субсидий'!D200-1</f>
        <v>0.12187057156353331</v>
      </c>
      <c r="D198" s="53">
        <f>C198*'Расчет субсидий'!E200</f>
        <v>1.8280585734529997</v>
      </c>
      <c r="E198" s="54">
        <f t="shared" si="19"/>
        <v>15.226296548795508</v>
      </c>
      <c r="F198" s="53">
        <f>'Расчет субсидий'!F200-1</f>
        <v>0</v>
      </c>
      <c r="G198" s="53">
        <f>F198*'Расчет субсидий'!G200</f>
        <v>0</v>
      </c>
      <c r="H198" s="54">
        <f t="shared" si="20"/>
        <v>0</v>
      </c>
      <c r="I198" s="53">
        <f>'Расчет субсидий'!J200-1</f>
        <v>-7.4857525980556505E-2</v>
      </c>
      <c r="J198" s="53">
        <f>I198*'Расчет субсидий'!K200</f>
        <v>-0.74857525980556505</v>
      </c>
      <c r="K198" s="54">
        <f t="shared" si="21"/>
        <v>-6.2350457804869812</v>
      </c>
      <c r="L198" s="53" t="s">
        <v>394</v>
      </c>
      <c r="M198" s="53" t="s">
        <v>394</v>
      </c>
      <c r="N198" s="55" t="s">
        <v>394</v>
      </c>
      <c r="O198" s="53" t="s">
        <v>394</v>
      </c>
      <c r="P198" s="53" t="s">
        <v>394</v>
      </c>
      <c r="Q198" s="55" t="s">
        <v>394</v>
      </c>
      <c r="R198" s="53" t="s">
        <v>394</v>
      </c>
      <c r="S198" s="53" t="s">
        <v>394</v>
      </c>
      <c r="T198" s="55" t="s">
        <v>394</v>
      </c>
      <c r="U198" s="53">
        <f>'Расчет субсидий'!Z200-1</f>
        <v>0.30000000000000004</v>
      </c>
      <c r="V198" s="53">
        <f>U198*'Расчет субсидий'!AA200</f>
        <v>4.5000000000000009</v>
      </c>
      <c r="W198" s="54">
        <f t="shared" si="22"/>
        <v>37.481476504418708</v>
      </c>
      <c r="X198" s="56">
        <f t="shared" si="23"/>
        <v>5.5794833136474358</v>
      </c>
    </row>
    <row r="199" spans="1:24" ht="15" customHeight="1">
      <c r="A199" s="64" t="s">
        <v>182</v>
      </c>
      <c r="B199" s="52">
        <f>'Расчет субсидий'!AF201</f>
        <v>-39.545454545454561</v>
      </c>
      <c r="C199" s="53">
        <f>'Расчет субсидий'!D201-1</f>
        <v>-0.59259259259259256</v>
      </c>
      <c r="D199" s="53">
        <f>C199*'Расчет субсидий'!E201</f>
        <v>-8.8888888888888893</v>
      </c>
      <c r="E199" s="54">
        <f t="shared" si="19"/>
        <v>-68.421918156738812</v>
      </c>
      <c r="F199" s="53">
        <f>'Расчет субсидий'!F201-1</f>
        <v>0</v>
      </c>
      <c r="G199" s="53">
        <f>F199*'Расчет субсидий'!G201</f>
        <v>0</v>
      </c>
      <c r="H199" s="54">
        <f t="shared" si="20"/>
        <v>0</v>
      </c>
      <c r="I199" s="53">
        <f>'Расчет субсидий'!J201-1</f>
        <v>-7.4857525980556505E-2</v>
      </c>
      <c r="J199" s="53">
        <f>I199*'Расчет субсидий'!K201</f>
        <v>-0.74857525980556505</v>
      </c>
      <c r="K199" s="54">
        <f t="shared" si="21"/>
        <v>-5.7621324555647844</v>
      </c>
      <c r="L199" s="53" t="s">
        <v>394</v>
      </c>
      <c r="M199" s="53" t="s">
        <v>394</v>
      </c>
      <c r="N199" s="55" t="s">
        <v>394</v>
      </c>
      <c r="O199" s="53" t="s">
        <v>394</v>
      </c>
      <c r="P199" s="53" t="s">
        <v>394</v>
      </c>
      <c r="Q199" s="55" t="s">
        <v>394</v>
      </c>
      <c r="R199" s="53" t="s">
        <v>394</v>
      </c>
      <c r="S199" s="53" t="s">
        <v>394</v>
      </c>
      <c r="T199" s="55" t="s">
        <v>394</v>
      </c>
      <c r="U199" s="53">
        <f>'Расчет субсидий'!Z201-1</f>
        <v>0.30000000000000004</v>
      </c>
      <c r="V199" s="53">
        <f>U199*'Расчет субсидий'!AA201</f>
        <v>4.5000000000000009</v>
      </c>
      <c r="W199" s="54">
        <f t="shared" si="22"/>
        <v>34.638596066849026</v>
      </c>
      <c r="X199" s="56">
        <f t="shared" si="23"/>
        <v>-5.1374641486944528</v>
      </c>
    </row>
    <row r="200" spans="1:24" ht="15" customHeight="1">
      <c r="A200" s="64" t="s">
        <v>183</v>
      </c>
      <c r="B200" s="52">
        <f>'Расчет субсидий'!AF202</f>
        <v>46.727272727272748</v>
      </c>
      <c r="C200" s="53">
        <f>'Расчет субсидий'!D202-1</f>
        <v>0.20097850259451433</v>
      </c>
      <c r="D200" s="53">
        <f>C200*'Расчет субсидий'!E202</f>
        <v>3.0146775389177147</v>
      </c>
      <c r="E200" s="54">
        <f t="shared" si="19"/>
        <v>20.819617223444656</v>
      </c>
      <c r="F200" s="53">
        <f>'Расчет субсидий'!F202-1</f>
        <v>0</v>
      </c>
      <c r="G200" s="53">
        <f>F200*'Расчет субсидий'!G202</f>
        <v>0</v>
      </c>
      <c r="H200" s="54">
        <f t="shared" si="20"/>
        <v>0</v>
      </c>
      <c r="I200" s="53">
        <f>'Расчет субсидий'!J202-1</f>
        <v>-7.4857525980556505E-2</v>
      </c>
      <c r="J200" s="53">
        <f>I200*'Расчет субсидий'!K202</f>
        <v>-0.74857525980556505</v>
      </c>
      <c r="K200" s="54">
        <f t="shared" si="21"/>
        <v>-5.1697238496982392</v>
      </c>
      <c r="L200" s="53" t="s">
        <v>394</v>
      </c>
      <c r="M200" s="53" t="s">
        <v>394</v>
      </c>
      <c r="N200" s="55" t="s">
        <v>394</v>
      </c>
      <c r="O200" s="53" t="s">
        <v>394</v>
      </c>
      <c r="P200" s="53" t="s">
        <v>394</v>
      </c>
      <c r="Q200" s="55" t="s">
        <v>394</v>
      </c>
      <c r="R200" s="53" t="s">
        <v>394</v>
      </c>
      <c r="S200" s="53" t="s">
        <v>394</v>
      </c>
      <c r="T200" s="55" t="s">
        <v>394</v>
      </c>
      <c r="U200" s="53">
        <f>'Расчет субсидий'!Z202-1</f>
        <v>0.30000000000000004</v>
      </c>
      <c r="V200" s="53">
        <f>U200*'Расчет субсидий'!AA202</f>
        <v>4.5000000000000009</v>
      </c>
      <c r="W200" s="54">
        <f t="shared" si="22"/>
        <v>31.077379353526332</v>
      </c>
      <c r="X200" s="56">
        <f t="shared" si="23"/>
        <v>6.7661022791121503</v>
      </c>
    </row>
    <row r="201" spans="1:24" ht="15" customHeight="1">
      <c r="A201" s="64" t="s">
        <v>184</v>
      </c>
      <c r="B201" s="52">
        <f>'Расчет субсидий'!AF203</f>
        <v>-28.31818181818187</v>
      </c>
      <c r="C201" s="53">
        <f>'Расчет субсидий'!D203-1</f>
        <v>-0.47614161108260655</v>
      </c>
      <c r="D201" s="53">
        <f>C201*'Расчет субсидий'!E203</f>
        <v>-7.142124166239098</v>
      </c>
      <c r="E201" s="54">
        <f t="shared" si="19"/>
        <v>-59.649041479185748</v>
      </c>
      <c r="F201" s="53">
        <f>'Расчет субсидий'!F203-1</f>
        <v>0</v>
      </c>
      <c r="G201" s="53">
        <f>F201*'Расчет субсидий'!G203</f>
        <v>0</v>
      </c>
      <c r="H201" s="54">
        <f t="shared" si="20"/>
        <v>0</v>
      </c>
      <c r="I201" s="53">
        <f>'Расчет субсидий'!J203-1</f>
        <v>-7.4857525980556505E-2</v>
      </c>
      <c r="J201" s="53">
        <f>I201*'Расчет субсидий'!K203</f>
        <v>-0.74857525980556505</v>
      </c>
      <c r="K201" s="54">
        <f t="shared" si="21"/>
        <v>-6.2518930899442982</v>
      </c>
      <c r="L201" s="53" t="s">
        <v>394</v>
      </c>
      <c r="M201" s="53" t="s">
        <v>394</v>
      </c>
      <c r="N201" s="55" t="s">
        <v>394</v>
      </c>
      <c r="O201" s="53" t="s">
        <v>394</v>
      </c>
      <c r="P201" s="53" t="s">
        <v>394</v>
      </c>
      <c r="Q201" s="55" t="s">
        <v>394</v>
      </c>
      <c r="R201" s="53" t="s">
        <v>394</v>
      </c>
      <c r="S201" s="53" t="s">
        <v>394</v>
      </c>
      <c r="T201" s="55" t="s">
        <v>394</v>
      </c>
      <c r="U201" s="53">
        <f>'Расчет субсидий'!Z203-1</f>
        <v>0.30000000000000004</v>
      </c>
      <c r="V201" s="53">
        <f>U201*'Расчет субсидий'!AA203</f>
        <v>4.5000000000000009</v>
      </c>
      <c r="W201" s="54">
        <f t="shared" si="22"/>
        <v>37.582752750948181</v>
      </c>
      <c r="X201" s="56">
        <f t="shared" si="23"/>
        <v>-3.3906994260446623</v>
      </c>
    </row>
    <row r="202" spans="1:24" ht="15" customHeight="1">
      <c r="A202" s="60" t="s">
        <v>185</v>
      </c>
      <c r="B202" s="61"/>
      <c r="C202" s="62"/>
      <c r="D202" s="62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</row>
    <row r="203" spans="1:24" ht="15" customHeight="1">
      <c r="A203" s="64" t="s">
        <v>186</v>
      </c>
      <c r="B203" s="52">
        <f>'Расчет субсидий'!AF205</f>
        <v>-32.136363636363626</v>
      </c>
      <c r="C203" s="53">
        <f>'Расчет субсидий'!D205-1</f>
        <v>-0.18887003252722401</v>
      </c>
      <c r="D203" s="53">
        <f>C203*'Расчет субсидий'!E205</f>
        <v>-2.83305048790836</v>
      </c>
      <c r="E203" s="54">
        <f t="shared" si="19"/>
        <v>-27.657366907894918</v>
      </c>
      <c r="F203" s="53">
        <f>'Расчет субсидий'!F205-1</f>
        <v>0</v>
      </c>
      <c r="G203" s="53">
        <f>F203*'Расчет субсидий'!G205</f>
        <v>0</v>
      </c>
      <c r="H203" s="54">
        <f t="shared" si="20"/>
        <v>0</v>
      </c>
      <c r="I203" s="53">
        <f>'Расчет субсидий'!J205-1</f>
        <v>-9.7803163444639685E-2</v>
      </c>
      <c r="J203" s="53">
        <f>I203*'Расчет субсидий'!K205</f>
        <v>-0.97803163444639685</v>
      </c>
      <c r="K203" s="54">
        <f t="shared" si="21"/>
        <v>-9.5479342415048158</v>
      </c>
      <c r="L203" s="53" t="s">
        <v>394</v>
      </c>
      <c r="M203" s="53" t="s">
        <v>394</v>
      </c>
      <c r="N203" s="55" t="s">
        <v>394</v>
      </c>
      <c r="O203" s="53" t="s">
        <v>394</v>
      </c>
      <c r="P203" s="53" t="s">
        <v>394</v>
      </c>
      <c r="Q203" s="55" t="s">
        <v>394</v>
      </c>
      <c r="R203" s="53" t="s">
        <v>394</v>
      </c>
      <c r="S203" s="53" t="s">
        <v>394</v>
      </c>
      <c r="T203" s="55" t="s">
        <v>394</v>
      </c>
      <c r="U203" s="53">
        <f>'Расчет субсидий'!Z205-1</f>
        <v>3.4615384615384714E-2</v>
      </c>
      <c r="V203" s="53">
        <f>U203*'Расчет субсидий'!AA205</f>
        <v>0.51923076923077072</v>
      </c>
      <c r="W203" s="54">
        <f t="shared" si="22"/>
        <v>5.0689375130361096</v>
      </c>
      <c r="X203" s="56">
        <f t="shared" si="23"/>
        <v>-3.2918513531239864</v>
      </c>
    </row>
    <row r="204" spans="1:24" ht="15" customHeight="1">
      <c r="A204" s="64" t="s">
        <v>187</v>
      </c>
      <c r="B204" s="52">
        <f>'Расчет субсидий'!AF206</f>
        <v>-39.309090909090855</v>
      </c>
      <c r="C204" s="53">
        <f>'Расчет субсидий'!D206-1</f>
        <v>-0.22965299684542595</v>
      </c>
      <c r="D204" s="53">
        <f>C204*'Расчет субсидий'!E206</f>
        <v>-3.4447949526813892</v>
      </c>
      <c r="E204" s="54">
        <f t="shared" si="19"/>
        <v>-34.688980180094688</v>
      </c>
      <c r="F204" s="53">
        <f>'Расчет субсидий'!F206-1</f>
        <v>0</v>
      </c>
      <c r="G204" s="53">
        <f>F204*'Расчет субсидий'!G206</f>
        <v>0</v>
      </c>
      <c r="H204" s="54">
        <f t="shared" si="20"/>
        <v>0</v>
      </c>
      <c r="I204" s="53">
        <f>'Расчет субсидий'!J206-1</f>
        <v>-9.7803163444639685E-2</v>
      </c>
      <c r="J204" s="53">
        <f>I204*'Расчет субсидий'!K206</f>
        <v>-0.97803163444639685</v>
      </c>
      <c r="K204" s="54">
        <f t="shared" si="21"/>
        <v>-9.8487487495905501</v>
      </c>
      <c r="L204" s="53" t="s">
        <v>394</v>
      </c>
      <c r="M204" s="53" t="s">
        <v>394</v>
      </c>
      <c r="N204" s="55" t="s">
        <v>394</v>
      </c>
      <c r="O204" s="53" t="s">
        <v>394</v>
      </c>
      <c r="P204" s="53" t="s">
        <v>394</v>
      </c>
      <c r="Q204" s="55" t="s">
        <v>394</v>
      </c>
      <c r="R204" s="53" t="s">
        <v>394</v>
      </c>
      <c r="S204" s="53" t="s">
        <v>394</v>
      </c>
      <c r="T204" s="55" t="s">
        <v>394</v>
      </c>
      <c r="U204" s="53">
        <f>'Расчет субсидий'!Z206-1</f>
        <v>3.4615384615384714E-2</v>
      </c>
      <c r="V204" s="53">
        <f>U204*'Расчет субсидий'!AA206</f>
        <v>0.51923076923077072</v>
      </c>
      <c r="W204" s="54">
        <f t="shared" si="22"/>
        <v>5.2286380205943779</v>
      </c>
      <c r="X204" s="56">
        <f t="shared" si="23"/>
        <v>-3.9035958178970152</v>
      </c>
    </row>
    <row r="205" spans="1:24" ht="15" customHeight="1">
      <c r="A205" s="64" t="s">
        <v>188</v>
      </c>
      <c r="B205" s="52">
        <f>'Расчет субсидий'!AF207</f>
        <v>14.054545454545519</v>
      </c>
      <c r="C205" s="53">
        <f>'Расчет субсидий'!D207-1</f>
        <v>8.3562753036437343E-2</v>
      </c>
      <c r="D205" s="53">
        <f>C205*'Расчет субсидий'!E207</f>
        <v>1.2534412955465601</v>
      </c>
      <c r="E205" s="54">
        <f t="shared" si="19"/>
        <v>22.16920633591096</v>
      </c>
      <c r="F205" s="53">
        <f>'Расчет субсидий'!F207-1</f>
        <v>0</v>
      </c>
      <c r="G205" s="53">
        <f>F205*'Расчет субсидий'!G207</f>
        <v>0</v>
      </c>
      <c r="H205" s="54">
        <f t="shared" si="20"/>
        <v>0</v>
      </c>
      <c r="I205" s="53">
        <f>'Расчет субсидий'!J207-1</f>
        <v>-9.7803163444639685E-2</v>
      </c>
      <c r="J205" s="53">
        <f>I205*'Расчет субсидий'!K207</f>
        <v>-0.97803163444639685</v>
      </c>
      <c r="K205" s="54">
        <f t="shared" si="21"/>
        <v>-17.298125715282058</v>
      </c>
      <c r="L205" s="53" t="s">
        <v>394</v>
      </c>
      <c r="M205" s="53" t="s">
        <v>394</v>
      </c>
      <c r="N205" s="55" t="s">
        <v>394</v>
      </c>
      <c r="O205" s="53" t="s">
        <v>394</v>
      </c>
      <c r="P205" s="53" t="s">
        <v>394</v>
      </c>
      <c r="Q205" s="55" t="s">
        <v>394</v>
      </c>
      <c r="R205" s="53" t="s">
        <v>394</v>
      </c>
      <c r="S205" s="53" t="s">
        <v>394</v>
      </c>
      <c r="T205" s="55" t="s">
        <v>394</v>
      </c>
      <c r="U205" s="53">
        <f>'Расчет субсидий'!Z207-1</f>
        <v>3.4615384615384714E-2</v>
      </c>
      <c r="V205" s="53">
        <f>U205*'Расчет субсидий'!AA207</f>
        <v>0.51923076923077072</v>
      </c>
      <c r="W205" s="54">
        <f t="shared" si="22"/>
        <v>9.1834648339166183</v>
      </c>
      <c r="X205" s="56">
        <f t="shared" si="23"/>
        <v>0.79464043033093401</v>
      </c>
    </row>
    <row r="206" spans="1:24" ht="15" customHeight="1">
      <c r="A206" s="64" t="s">
        <v>189</v>
      </c>
      <c r="B206" s="52">
        <f>'Расчет субсидий'!AF208</f>
        <v>39.409090909090878</v>
      </c>
      <c r="C206" s="53">
        <f>'Расчет субсидий'!D208-1</f>
        <v>0.30000000000000004</v>
      </c>
      <c r="D206" s="53">
        <f>C206*'Расчет субсидий'!E208</f>
        <v>4.5000000000000009</v>
      </c>
      <c r="E206" s="54">
        <f t="shared" si="19"/>
        <v>43.883239399033307</v>
      </c>
      <c r="F206" s="53">
        <f>'Расчет субсидий'!F208-1</f>
        <v>0</v>
      </c>
      <c r="G206" s="53">
        <f>F206*'Расчет субсидий'!G208</f>
        <v>0</v>
      </c>
      <c r="H206" s="54">
        <f t="shared" si="20"/>
        <v>0</v>
      </c>
      <c r="I206" s="53">
        <f>'Расчет субсидий'!J208-1</f>
        <v>-9.7803163444639685E-2</v>
      </c>
      <c r="J206" s="53">
        <f>I206*'Расчет субсидий'!K208</f>
        <v>-0.97803163444639685</v>
      </c>
      <c r="K206" s="54">
        <f t="shared" si="21"/>
        <v>-9.5375991898309014</v>
      </c>
      <c r="L206" s="53" t="s">
        <v>394</v>
      </c>
      <c r="M206" s="53" t="s">
        <v>394</v>
      </c>
      <c r="N206" s="55" t="s">
        <v>394</v>
      </c>
      <c r="O206" s="53" t="s">
        <v>394</v>
      </c>
      <c r="P206" s="53" t="s">
        <v>394</v>
      </c>
      <c r="Q206" s="55" t="s">
        <v>394</v>
      </c>
      <c r="R206" s="53" t="s">
        <v>394</v>
      </c>
      <c r="S206" s="53" t="s">
        <v>394</v>
      </c>
      <c r="T206" s="55" t="s">
        <v>394</v>
      </c>
      <c r="U206" s="53">
        <f>'Расчет субсидий'!Z208-1</f>
        <v>3.4615384615384714E-2</v>
      </c>
      <c r="V206" s="53">
        <f>U206*'Расчет субсидий'!AA208</f>
        <v>0.51923076923077072</v>
      </c>
      <c r="W206" s="54">
        <f t="shared" si="22"/>
        <v>5.0634506998884721</v>
      </c>
      <c r="X206" s="56">
        <f t="shared" si="23"/>
        <v>4.0411991347843745</v>
      </c>
    </row>
    <row r="207" spans="1:24" ht="15" customHeight="1">
      <c r="A207" s="64" t="s">
        <v>190</v>
      </c>
      <c r="B207" s="52">
        <f>'Расчет субсидий'!AF209</f>
        <v>10.763636363636351</v>
      </c>
      <c r="C207" s="53">
        <f>'Расчет субсидий'!D209-1</f>
        <v>0.10224877020379486</v>
      </c>
      <c r="D207" s="53">
        <f>C207*'Расчет субсидий'!E209</f>
        <v>1.5337315530569229</v>
      </c>
      <c r="E207" s="54">
        <f t="shared" si="19"/>
        <v>15.357761112665598</v>
      </c>
      <c r="F207" s="53">
        <f>'Расчет субсидий'!F209-1</f>
        <v>0</v>
      </c>
      <c r="G207" s="53">
        <f>F207*'Расчет субсидий'!G209</f>
        <v>0</v>
      </c>
      <c r="H207" s="54">
        <f t="shared" si="20"/>
        <v>0</v>
      </c>
      <c r="I207" s="53">
        <f>'Расчет субсидий'!J209-1</f>
        <v>-9.7803163444639685E-2</v>
      </c>
      <c r="J207" s="53">
        <f>I207*'Расчет субсидий'!K209</f>
        <v>-0.97803163444639685</v>
      </c>
      <c r="K207" s="54">
        <f t="shared" si="21"/>
        <v>-9.7933541058864702</v>
      </c>
      <c r="L207" s="53" t="s">
        <v>394</v>
      </c>
      <c r="M207" s="53" t="s">
        <v>394</v>
      </c>
      <c r="N207" s="55" t="s">
        <v>394</v>
      </c>
      <c r="O207" s="53" t="s">
        <v>394</v>
      </c>
      <c r="P207" s="53" t="s">
        <v>394</v>
      </c>
      <c r="Q207" s="55" t="s">
        <v>394</v>
      </c>
      <c r="R207" s="53" t="s">
        <v>394</v>
      </c>
      <c r="S207" s="53" t="s">
        <v>394</v>
      </c>
      <c r="T207" s="55" t="s">
        <v>394</v>
      </c>
      <c r="U207" s="53">
        <f>'Расчет субсидий'!Z209-1</f>
        <v>3.4615384615384714E-2</v>
      </c>
      <c r="V207" s="53">
        <f>U207*'Расчет субсидий'!AA209</f>
        <v>0.51923076923077072</v>
      </c>
      <c r="W207" s="54">
        <f t="shared" si="22"/>
        <v>5.1992293568572236</v>
      </c>
      <c r="X207" s="56">
        <f t="shared" si="23"/>
        <v>1.0749306878412968</v>
      </c>
    </row>
    <row r="208" spans="1:24" ht="15" customHeight="1">
      <c r="A208" s="64" t="s">
        <v>191</v>
      </c>
      <c r="B208" s="52">
        <f>'Расчет субсидий'!AF210</f>
        <v>-77.054545454545519</v>
      </c>
      <c r="C208" s="53">
        <f>'Расчет субсидий'!D210-1</f>
        <v>-0.20609776869357865</v>
      </c>
      <c r="D208" s="53">
        <f>C208*'Расчет субсидий'!E210</f>
        <v>-3.0914665304036797</v>
      </c>
      <c r="E208" s="54">
        <f t="shared" si="19"/>
        <v>-67.096790676140913</v>
      </c>
      <c r="F208" s="53">
        <f>'Расчет субсидий'!F210-1</f>
        <v>0</v>
      </c>
      <c r="G208" s="53">
        <f>F208*'Расчет субсидий'!G210</f>
        <v>0</v>
      </c>
      <c r="H208" s="54">
        <f t="shared" si="20"/>
        <v>0</v>
      </c>
      <c r="I208" s="53">
        <f>'Расчет субсидий'!J210-1</f>
        <v>-9.7803163444639685E-2</v>
      </c>
      <c r="J208" s="53">
        <f>I208*'Расчет субсидий'!K210</f>
        <v>-0.97803163444639685</v>
      </c>
      <c r="K208" s="54">
        <f t="shared" si="21"/>
        <v>-21.227072396130687</v>
      </c>
      <c r="L208" s="53" t="s">
        <v>394</v>
      </c>
      <c r="M208" s="53" t="s">
        <v>394</v>
      </c>
      <c r="N208" s="55" t="s">
        <v>394</v>
      </c>
      <c r="O208" s="53" t="s">
        <v>394</v>
      </c>
      <c r="P208" s="53" t="s">
        <v>394</v>
      </c>
      <c r="Q208" s="55" t="s">
        <v>394</v>
      </c>
      <c r="R208" s="53" t="s">
        <v>394</v>
      </c>
      <c r="S208" s="53" t="s">
        <v>394</v>
      </c>
      <c r="T208" s="55" t="s">
        <v>394</v>
      </c>
      <c r="U208" s="53">
        <f>'Расчет субсидий'!Z210-1</f>
        <v>3.4615384615384714E-2</v>
      </c>
      <c r="V208" s="53">
        <f>U208*'Расчет субсидий'!AA210</f>
        <v>0.51923076923077072</v>
      </c>
      <c r="W208" s="54">
        <f t="shared" si="22"/>
        <v>11.269317617726061</v>
      </c>
      <c r="X208" s="56">
        <f t="shared" si="23"/>
        <v>-3.5502673956193052</v>
      </c>
    </row>
    <row r="209" spans="1:24" ht="15" customHeight="1">
      <c r="A209" s="64" t="s">
        <v>192</v>
      </c>
      <c r="B209" s="52">
        <f>'Расчет субсидий'!AF211</f>
        <v>-35.381818181818289</v>
      </c>
      <c r="C209" s="53">
        <f>'Расчет субсидий'!D211-1</f>
        <v>-8.3961150948534069E-2</v>
      </c>
      <c r="D209" s="53">
        <f>C209*'Расчет субсидий'!E211</f>
        <v>-1.259417264228011</v>
      </c>
      <c r="E209" s="54">
        <f t="shared" si="19"/>
        <v>-25.934118546629044</v>
      </c>
      <c r="F209" s="53">
        <f>'Расчет субсидий'!F211-1</f>
        <v>0</v>
      </c>
      <c r="G209" s="53">
        <f>F209*'Расчет субсидий'!G211</f>
        <v>0</v>
      </c>
      <c r="H209" s="54">
        <f t="shared" si="20"/>
        <v>0</v>
      </c>
      <c r="I209" s="53">
        <f>'Расчет субсидий'!J211-1</f>
        <v>-9.7803163444639685E-2</v>
      </c>
      <c r="J209" s="53">
        <f>I209*'Расчет субсидий'!K211</f>
        <v>-0.97803163444639685</v>
      </c>
      <c r="K209" s="54">
        <f t="shared" si="21"/>
        <v>-20.139781365974766</v>
      </c>
      <c r="L209" s="53" t="s">
        <v>394</v>
      </c>
      <c r="M209" s="53" t="s">
        <v>394</v>
      </c>
      <c r="N209" s="55" t="s">
        <v>394</v>
      </c>
      <c r="O209" s="53" t="s">
        <v>394</v>
      </c>
      <c r="P209" s="53" t="s">
        <v>394</v>
      </c>
      <c r="Q209" s="55" t="s">
        <v>394</v>
      </c>
      <c r="R209" s="53" t="s">
        <v>394</v>
      </c>
      <c r="S209" s="53" t="s">
        <v>394</v>
      </c>
      <c r="T209" s="55" t="s">
        <v>394</v>
      </c>
      <c r="U209" s="53">
        <f>'Расчет субсидий'!Z211-1</f>
        <v>3.4615384615384714E-2</v>
      </c>
      <c r="V209" s="53">
        <f>U209*'Расчет субсидий'!AA211</f>
        <v>0.51923076923077072</v>
      </c>
      <c r="W209" s="54">
        <f t="shared" si="22"/>
        <v>10.692081730785517</v>
      </c>
      <c r="X209" s="56">
        <f t="shared" si="23"/>
        <v>-1.7182181294436372</v>
      </c>
    </row>
    <row r="210" spans="1:24" ht="15" customHeight="1">
      <c r="A210" s="64" t="s">
        <v>193</v>
      </c>
      <c r="B210" s="52">
        <f>'Расчет субсидий'!AF212</f>
        <v>-125.76363636363635</v>
      </c>
      <c r="C210" s="53">
        <f>'Расчет субсидий'!D212-1</f>
        <v>-0.77960526315789469</v>
      </c>
      <c r="D210" s="53">
        <f>C210*'Расчет субсидий'!E212</f>
        <v>-11.694078947368421</v>
      </c>
      <c r="E210" s="54">
        <f t="shared" si="19"/>
        <v>-121.01575223525452</v>
      </c>
      <c r="F210" s="53">
        <f>'Расчет субсидий'!F212-1</f>
        <v>0</v>
      </c>
      <c r="G210" s="53">
        <f>F210*'Расчет субсидий'!G212</f>
        <v>0</v>
      </c>
      <c r="H210" s="54">
        <f t="shared" si="20"/>
        <v>0</v>
      </c>
      <c r="I210" s="53">
        <f>'Расчет субсидий'!J212-1</f>
        <v>-9.7803163444639685E-2</v>
      </c>
      <c r="J210" s="53">
        <f>I210*'Расчет субсидий'!K212</f>
        <v>-0.97803163444639685</v>
      </c>
      <c r="K210" s="54">
        <f t="shared" si="21"/>
        <v>-10.121124928700837</v>
      </c>
      <c r="L210" s="53" t="s">
        <v>394</v>
      </c>
      <c r="M210" s="53" t="s">
        <v>394</v>
      </c>
      <c r="N210" s="55" t="s">
        <v>394</v>
      </c>
      <c r="O210" s="53" t="s">
        <v>394</v>
      </c>
      <c r="P210" s="53" t="s">
        <v>394</v>
      </c>
      <c r="Q210" s="55" t="s">
        <v>394</v>
      </c>
      <c r="R210" s="53" t="s">
        <v>394</v>
      </c>
      <c r="S210" s="53" t="s">
        <v>394</v>
      </c>
      <c r="T210" s="55" t="s">
        <v>394</v>
      </c>
      <c r="U210" s="53">
        <f>'Расчет субсидий'!Z212-1</f>
        <v>3.4615384615384714E-2</v>
      </c>
      <c r="V210" s="53">
        <f>U210*'Расчет субсидий'!AA212</f>
        <v>0.51923076923077072</v>
      </c>
      <c r="W210" s="54">
        <f t="shared" si="22"/>
        <v>5.3732408003190084</v>
      </c>
      <c r="X210" s="56">
        <f t="shared" si="23"/>
        <v>-12.152879812584048</v>
      </c>
    </row>
    <row r="211" spans="1:24" ht="15" customHeight="1">
      <c r="A211" s="64" t="s">
        <v>194</v>
      </c>
      <c r="B211" s="52">
        <f>'Расчет субсидий'!AF213</f>
        <v>-83.090909090909122</v>
      </c>
      <c r="C211" s="53">
        <f>'Расчет субсидий'!D213-1</f>
        <v>-0.54524627720504004</v>
      </c>
      <c r="D211" s="53">
        <f>C211*'Расчет субсидий'!E213</f>
        <v>-8.1786941580756007</v>
      </c>
      <c r="E211" s="54">
        <f t="shared" si="19"/>
        <v>-78.677340008708242</v>
      </c>
      <c r="F211" s="53">
        <f>'Расчет субсидий'!F213-1</f>
        <v>0</v>
      </c>
      <c r="G211" s="53">
        <f>F211*'Расчет субсидий'!G213</f>
        <v>0</v>
      </c>
      <c r="H211" s="54">
        <f t="shared" si="20"/>
        <v>0</v>
      </c>
      <c r="I211" s="53">
        <f>'Расчет субсидий'!J213-1</f>
        <v>-9.7803163444639685E-2</v>
      </c>
      <c r="J211" s="53">
        <f>I211*'Расчет субсидий'!K213</f>
        <v>-0.97803163444639685</v>
      </c>
      <c r="K211" s="54">
        <f t="shared" si="21"/>
        <v>-9.4084612965546377</v>
      </c>
      <c r="L211" s="53" t="s">
        <v>394</v>
      </c>
      <c r="M211" s="53" t="s">
        <v>394</v>
      </c>
      <c r="N211" s="55" t="s">
        <v>394</v>
      </c>
      <c r="O211" s="53" t="s">
        <v>394</v>
      </c>
      <c r="P211" s="53" t="s">
        <v>394</v>
      </c>
      <c r="Q211" s="55" t="s">
        <v>394</v>
      </c>
      <c r="R211" s="53" t="s">
        <v>394</v>
      </c>
      <c r="S211" s="53" t="s">
        <v>394</v>
      </c>
      <c r="T211" s="55" t="s">
        <v>394</v>
      </c>
      <c r="U211" s="53">
        <f>'Расчет субсидий'!Z213-1</f>
        <v>3.4615384615384714E-2</v>
      </c>
      <c r="V211" s="53">
        <f>U211*'Расчет субсидий'!AA213</f>
        <v>0.51923076923077072</v>
      </c>
      <c r="W211" s="54">
        <f t="shared" si="22"/>
        <v>4.9948922143537695</v>
      </c>
      <c r="X211" s="56">
        <f t="shared" si="23"/>
        <v>-8.637495023291228</v>
      </c>
    </row>
    <row r="212" spans="1:24" ht="15" customHeight="1">
      <c r="A212" s="64" t="s">
        <v>195</v>
      </c>
      <c r="B212" s="52">
        <f>'Расчет субсидий'!AF214</f>
        <v>-1.2363636363637625</v>
      </c>
      <c r="C212" s="53">
        <f>'Расчет субсидий'!D214-1</f>
        <v>2.6235509456985939E-2</v>
      </c>
      <c r="D212" s="53">
        <f>C212*'Расчет субсидий'!E214</f>
        <v>0.39353264185478909</v>
      </c>
      <c r="E212" s="54">
        <f t="shared" si="19"/>
        <v>7.4546145590868029</v>
      </c>
      <c r="F212" s="53">
        <f>'Расчет субсидий'!F214-1</f>
        <v>0</v>
      </c>
      <c r="G212" s="53">
        <f>F212*'Расчет субсидий'!G214</f>
        <v>0</v>
      </c>
      <c r="H212" s="54">
        <f t="shared" si="20"/>
        <v>0</v>
      </c>
      <c r="I212" s="53">
        <f>'Расчет субсидий'!J214-1</f>
        <v>-9.7803163444639685E-2</v>
      </c>
      <c r="J212" s="53">
        <f>I212*'Расчет субсидий'!K214</f>
        <v>-0.97803163444639685</v>
      </c>
      <c r="K212" s="54">
        <f t="shared" si="21"/>
        <v>-18.52666865708651</v>
      </c>
      <c r="L212" s="53" t="s">
        <v>394</v>
      </c>
      <c r="M212" s="53" t="s">
        <v>394</v>
      </c>
      <c r="N212" s="55" t="s">
        <v>394</v>
      </c>
      <c r="O212" s="53" t="s">
        <v>394</v>
      </c>
      <c r="P212" s="53" t="s">
        <v>394</v>
      </c>
      <c r="Q212" s="55" t="s">
        <v>394</v>
      </c>
      <c r="R212" s="53" t="s">
        <v>394</v>
      </c>
      <c r="S212" s="53" t="s">
        <v>394</v>
      </c>
      <c r="T212" s="55" t="s">
        <v>394</v>
      </c>
      <c r="U212" s="53">
        <f>'Расчет субсидий'!Z214-1</f>
        <v>3.4615384615384714E-2</v>
      </c>
      <c r="V212" s="53">
        <f>U212*'Расчет субсидий'!AA214</f>
        <v>0.51923076923077072</v>
      </c>
      <c r="W212" s="54">
        <f t="shared" si="22"/>
        <v>9.8356904616359451</v>
      </c>
      <c r="X212" s="56">
        <f t="shared" si="23"/>
        <v>-6.5268223360837041E-2</v>
      </c>
    </row>
    <row r="213" spans="1:24" ht="15" customHeight="1">
      <c r="A213" s="64" t="s">
        <v>196</v>
      </c>
      <c r="B213" s="52">
        <f>'Расчет субсидий'!AF215</f>
        <v>-74.563636363636363</v>
      </c>
      <c r="C213" s="53">
        <f>'Расчет субсидий'!D215-1</f>
        <v>-0.44708994708994709</v>
      </c>
      <c r="D213" s="53">
        <f>C213*'Расчет субсидий'!E215</f>
        <v>-6.7063492063492065</v>
      </c>
      <c r="E213" s="54">
        <f t="shared" si="19"/>
        <v>-69.789157038629241</v>
      </c>
      <c r="F213" s="53">
        <f>'Расчет субсидий'!F215-1</f>
        <v>0</v>
      </c>
      <c r="G213" s="53">
        <f>F213*'Расчет субсидий'!G215</f>
        <v>0</v>
      </c>
      <c r="H213" s="54">
        <f t="shared" si="20"/>
        <v>0</v>
      </c>
      <c r="I213" s="53">
        <f>'Расчет субсидий'!J215-1</f>
        <v>-9.7803163444639685E-2</v>
      </c>
      <c r="J213" s="53">
        <f>I213*'Расчет субсидий'!K215</f>
        <v>-0.97803163444639685</v>
      </c>
      <c r="K213" s="54">
        <f t="shared" si="21"/>
        <v>-10.177818247297015</v>
      </c>
      <c r="L213" s="53" t="s">
        <v>394</v>
      </c>
      <c r="M213" s="53" t="s">
        <v>394</v>
      </c>
      <c r="N213" s="55" t="s">
        <v>394</v>
      </c>
      <c r="O213" s="53" t="s">
        <v>394</v>
      </c>
      <c r="P213" s="53" t="s">
        <v>394</v>
      </c>
      <c r="Q213" s="55" t="s">
        <v>394</v>
      </c>
      <c r="R213" s="53" t="s">
        <v>394</v>
      </c>
      <c r="S213" s="53" t="s">
        <v>394</v>
      </c>
      <c r="T213" s="55" t="s">
        <v>394</v>
      </c>
      <c r="U213" s="53">
        <f>'Расчет субсидий'!Z215-1</f>
        <v>3.4615384615384714E-2</v>
      </c>
      <c r="V213" s="53">
        <f>U213*'Расчет субсидий'!AA215</f>
        <v>0.51923076923077072</v>
      </c>
      <c r="W213" s="54">
        <f t="shared" si="22"/>
        <v>5.4033389222898798</v>
      </c>
      <c r="X213" s="56">
        <f t="shared" si="23"/>
        <v>-7.165150071564832</v>
      </c>
    </row>
    <row r="214" spans="1:24" ht="15" customHeight="1">
      <c r="A214" s="64" t="s">
        <v>197</v>
      </c>
      <c r="B214" s="52">
        <f>'Расчет субсидий'!AF216</f>
        <v>28.518181818181802</v>
      </c>
      <c r="C214" s="53">
        <f>'Расчет субсидий'!D216-1</f>
        <v>0.30000000000000004</v>
      </c>
      <c r="D214" s="53">
        <f>C214*'Расчет субсидий'!E216</f>
        <v>4.5000000000000009</v>
      </c>
      <c r="E214" s="54">
        <f t="shared" si="19"/>
        <v>31.755875892679935</v>
      </c>
      <c r="F214" s="53">
        <f>'Расчет субсидий'!F216-1</f>
        <v>0</v>
      </c>
      <c r="G214" s="53">
        <f>F214*'Расчет субсидий'!G216</f>
        <v>0</v>
      </c>
      <c r="H214" s="54">
        <f t="shared" si="20"/>
        <v>0</v>
      </c>
      <c r="I214" s="53">
        <f>'Расчет субсидий'!J216-1</f>
        <v>-9.7803163444639685E-2</v>
      </c>
      <c r="J214" s="53">
        <f>I214*'Расчет субсидий'!K216</f>
        <v>-0.97803163444639685</v>
      </c>
      <c r="K214" s="54">
        <f t="shared" si="21"/>
        <v>-6.9018336005765963</v>
      </c>
      <c r="L214" s="53" t="s">
        <v>394</v>
      </c>
      <c r="M214" s="53" t="s">
        <v>394</v>
      </c>
      <c r="N214" s="55" t="s">
        <v>394</v>
      </c>
      <c r="O214" s="53" t="s">
        <v>394</v>
      </c>
      <c r="P214" s="53" t="s">
        <v>394</v>
      </c>
      <c r="Q214" s="55" t="s">
        <v>394</v>
      </c>
      <c r="R214" s="53" t="s">
        <v>394</v>
      </c>
      <c r="S214" s="53" t="s">
        <v>394</v>
      </c>
      <c r="T214" s="55" t="s">
        <v>394</v>
      </c>
      <c r="U214" s="53">
        <f>'Расчет субсидий'!Z216-1</f>
        <v>3.4615384615384714E-2</v>
      </c>
      <c r="V214" s="53">
        <f>U214*'Расчет субсидий'!AA216</f>
        <v>0.51923076923077072</v>
      </c>
      <c r="W214" s="54">
        <f t="shared" si="22"/>
        <v>3.6641395260784639</v>
      </c>
      <c r="X214" s="56">
        <f t="shared" si="23"/>
        <v>4.0411991347843745</v>
      </c>
    </row>
    <row r="215" spans="1:24" ht="15" customHeight="1">
      <c r="A215" s="60" t="s">
        <v>198</v>
      </c>
      <c r="B215" s="61"/>
      <c r="C215" s="62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</row>
    <row r="216" spans="1:24" ht="15" customHeight="1">
      <c r="A216" s="64" t="s">
        <v>199</v>
      </c>
      <c r="B216" s="52">
        <f>'Расчет субсидий'!AF218</f>
        <v>-25.700000000000003</v>
      </c>
      <c r="C216" s="53">
        <f>'Расчет субсидий'!D218-1</f>
        <v>-0.93406865016838136</v>
      </c>
      <c r="D216" s="53">
        <f>C216*'Расчет субсидий'!E218</f>
        <v>-14.011029752525721</v>
      </c>
      <c r="E216" s="54">
        <f t="shared" si="19"/>
        <v>-25.19612975842087</v>
      </c>
      <c r="F216" s="53">
        <f>'Расчет субсидий'!F218-1</f>
        <v>0</v>
      </c>
      <c r="G216" s="53">
        <f>F216*'Расчет субсидий'!G218</f>
        <v>0</v>
      </c>
      <c r="H216" s="54">
        <f t="shared" si="20"/>
        <v>0</v>
      </c>
      <c r="I216" s="53">
        <f>'Расчет субсидий'!J218-1</f>
        <v>8.4615384615385203E-3</v>
      </c>
      <c r="J216" s="53">
        <f>I216*'Расчет субсидий'!K218</f>
        <v>8.4615384615385203E-2</v>
      </c>
      <c r="K216" s="54">
        <f t="shared" si="21"/>
        <v>0.15216441960260702</v>
      </c>
      <c r="L216" s="53" t="s">
        <v>394</v>
      </c>
      <c r="M216" s="53" t="s">
        <v>394</v>
      </c>
      <c r="N216" s="55" t="s">
        <v>394</v>
      </c>
      <c r="O216" s="53" t="s">
        <v>394</v>
      </c>
      <c r="P216" s="53" t="s">
        <v>394</v>
      </c>
      <c r="Q216" s="55" t="s">
        <v>394</v>
      </c>
      <c r="R216" s="53" t="s">
        <v>394</v>
      </c>
      <c r="S216" s="53" t="s">
        <v>394</v>
      </c>
      <c r="T216" s="55" t="s">
        <v>394</v>
      </c>
      <c r="U216" s="53">
        <f>'Расчет субсидий'!Z218-1</f>
        <v>-2.4320457796852657E-2</v>
      </c>
      <c r="V216" s="53">
        <f>U216*'Расчет субсидий'!AA218</f>
        <v>-0.36480686695278985</v>
      </c>
      <c r="W216" s="54">
        <f t="shared" si="22"/>
        <v>-0.65603466118173859</v>
      </c>
      <c r="X216" s="56">
        <f t="shared" si="23"/>
        <v>-14.291221234863126</v>
      </c>
    </row>
    <row r="217" spans="1:24" ht="15" customHeight="1">
      <c r="A217" s="64" t="s">
        <v>200</v>
      </c>
      <c r="B217" s="52">
        <f>'Расчет субсидий'!AF219</f>
        <v>-4.7000000000000455</v>
      </c>
      <c r="C217" s="53">
        <f>'Расчет субсидий'!D219-1</f>
        <v>-8.7386644682604375E-3</v>
      </c>
      <c r="D217" s="53">
        <f>C217*'Расчет субсидий'!E219</f>
        <v>-0.13107996702390656</v>
      </c>
      <c r="E217" s="54">
        <f t="shared" si="19"/>
        <v>-1.4979786366622554</v>
      </c>
      <c r="F217" s="53">
        <f>'Расчет субсидий'!F219-1</f>
        <v>0</v>
      </c>
      <c r="G217" s="53">
        <f>F217*'Расчет субсидий'!G219</f>
        <v>0</v>
      </c>
      <c r="H217" s="54">
        <f t="shared" si="20"/>
        <v>0</v>
      </c>
      <c r="I217" s="53">
        <f>'Расчет субсидий'!J219-1</f>
        <v>8.4615384615385203E-3</v>
      </c>
      <c r="J217" s="53">
        <f>I217*'Расчет субсидий'!K219</f>
        <v>8.4615384615385203E-2</v>
      </c>
      <c r="K217" s="54">
        <f t="shared" si="21"/>
        <v>0.96698253260690759</v>
      </c>
      <c r="L217" s="53" t="s">
        <v>394</v>
      </c>
      <c r="M217" s="53" t="s">
        <v>394</v>
      </c>
      <c r="N217" s="55" t="s">
        <v>394</v>
      </c>
      <c r="O217" s="53" t="s">
        <v>394</v>
      </c>
      <c r="P217" s="53" t="s">
        <v>394</v>
      </c>
      <c r="Q217" s="55" t="s">
        <v>394</v>
      </c>
      <c r="R217" s="53" t="s">
        <v>394</v>
      </c>
      <c r="S217" s="53" t="s">
        <v>394</v>
      </c>
      <c r="T217" s="55" t="s">
        <v>394</v>
      </c>
      <c r="U217" s="53">
        <f>'Расчет субсидий'!Z219-1</f>
        <v>-2.4320457796852657E-2</v>
      </c>
      <c r="V217" s="53">
        <f>U217*'Расчет субсидий'!AA219</f>
        <v>-0.36480686695278985</v>
      </c>
      <c r="W217" s="54">
        <f t="shared" si="22"/>
        <v>-4.1690038959446971</v>
      </c>
      <c r="X217" s="56">
        <f t="shared" si="23"/>
        <v>-0.41127144936131121</v>
      </c>
    </row>
    <row r="218" spans="1:24" ht="15" customHeight="1">
      <c r="A218" s="64" t="s">
        <v>201</v>
      </c>
      <c r="B218" s="52">
        <f>'Расчет субсидий'!AF220</f>
        <v>0.20000000000000018</v>
      </c>
      <c r="C218" s="53">
        <f>'Расчет субсидий'!D220-1</f>
        <v>0.14179524127508514</v>
      </c>
      <c r="D218" s="53">
        <f>C218*'Расчет субсидий'!E220</f>
        <v>2.1269286191262768</v>
      </c>
      <c r="E218" s="54">
        <f t="shared" si="19"/>
        <v>0.23034448993911572</v>
      </c>
      <c r="F218" s="53">
        <f>'Расчет субсидий'!F220-1</f>
        <v>0</v>
      </c>
      <c r="G218" s="53">
        <f>F218*'Расчет субсидий'!G220</f>
        <v>0</v>
      </c>
      <c r="H218" s="54">
        <f t="shared" si="20"/>
        <v>0</v>
      </c>
      <c r="I218" s="53">
        <f>'Расчет субсидий'!J220-1</f>
        <v>8.4615384615385203E-3</v>
      </c>
      <c r="J218" s="53">
        <f>I218*'Расчет субсидий'!K220</f>
        <v>8.4615384615385203E-2</v>
      </c>
      <c r="K218" s="54">
        <f t="shared" si="21"/>
        <v>9.1637713814014133E-3</v>
      </c>
      <c r="L218" s="53" t="s">
        <v>394</v>
      </c>
      <c r="M218" s="53" t="s">
        <v>394</v>
      </c>
      <c r="N218" s="55" t="s">
        <v>394</v>
      </c>
      <c r="O218" s="53" t="s">
        <v>394</v>
      </c>
      <c r="P218" s="53" t="s">
        <v>394</v>
      </c>
      <c r="Q218" s="55" t="s">
        <v>394</v>
      </c>
      <c r="R218" s="53" t="s">
        <v>394</v>
      </c>
      <c r="S218" s="53" t="s">
        <v>394</v>
      </c>
      <c r="T218" s="55" t="s">
        <v>394</v>
      </c>
      <c r="U218" s="53">
        <f>'Расчет субсидий'!Z220-1</f>
        <v>-2.4320457796852657E-2</v>
      </c>
      <c r="V218" s="53">
        <f>U218*'Расчет субсидий'!AA220</f>
        <v>-0.36480686695278985</v>
      </c>
      <c r="W218" s="54">
        <f t="shared" si="22"/>
        <v>-3.9508261320516956E-2</v>
      </c>
      <c r="X218" s="56">
        <f t="shared" si="23"/>
        <v>1.8467371367888723</v>
      </c>
    </row>
    <row r="219" spans="1:24" ht="15" customHeight="1">
      <c r="A219" s="64" t="s">
        <v>202</v>
      </c>
      <c r="B219" s="52">
        <f>'Расчет субсидий'!AF221</f>
        <v>-46.727272727272748</v>
      </c>
      <c r="C219" s="53">
        <f>'Расчет субсидий'!D221-1</f>
        <v>-0.38132986275437775</v>
      </c>
      <c r="D219" s="53">
        <f>C219*'Расчет субсидий'!E221</f>
        <v>-5.7199479413156666</v>
      </c>
      <c r="E219" s="54">
        <f t="shared" si="19"/>
        <v>-44.54522613025091</v>
      </c>
      <c r="F219" s="53">
        <f>'Расчет субсидий'!F221-1</f>
        <v>0</v>
      </c>
      <c r="G219" s="53">
        <f>F219*'Расчет субсидий'!G221</f>
        <v>0</v>
      </c>
      <c r="H219" s="54">
        <f t="shared" si="20"/>
        <v>0</v>
      </c>
      <c r="I219" s="53">
        <f>'Расчет субсидий'!J221-1</f>
        <v>8.4615384615385203E-3</v>
      </c>
      <c r="J219" s="53">
        <f>I219*'Расчет субсидий'!K221</f>
        <v>8.4615384615385203E-2</v>
      </c>
      <c r="K219" s="54">
        <f t="shared" si="21"/>
        <v>0.65895904656144777</v>
      </c>
      <c r="L219" s="53" t="s">
        <v>394</v>
      </c>
      <c r="M219" s="53" t="s">
        <v>394</v>
      </c>
      <c r="N219" s="55" t="s">
        <v>394</v>
      </c>
      <c r="O219" s="53" t="s">
        <v>394</v>
      </c>
      <c r="P219" s="53" t="s">
        <v>394</v>
      </c>
      <c r="Q219" s="55" t="s">
        <v>394</v>
      </c>
      <c r="R219" s="53" t="s">
        <v>394</v>
      </c>
      <c r="S219" s="53" t="s">
        <v>394</v>
      </c>
      <c r="T219" s="55" t="s">
        <v>394</v>
      </c>
      <c r="U219" s="53">
        <f>'Расчет субсидий'!Z221-1</f>
        <v>-2.4320457796852657E-2</v>
      </c>
      <c r="V219" s="53">
        <f>U219*'Расчет субсидий'!AA221</f>
        <v>-0.36480686695278985</v>
      </c>
      <c r="W219" s="54">
        <f t="shared" si="22"/>
        <v>-2.8410056435832818</v>
      </c>
      <c r="X219" s="56">
        <f t="shared" si="23"/>
        <v>-6.0001394236530716</v>
      </c>
    </row>
    <row r="220" spans="1:24" ht="15" customHeight="1">
      <c r="A220" s="64" t="s">
        <v>203</v>
      </c>
      <c r="B220" s="52">
        <f>'Расчет субсидий'!AF222</f>
        <v>-99.25454545454545</v>
      </c>
      <c r="C220" s="53">
        <f>'Расчет субсидий'!D222-1</f>
        <v>-0.36860411686355266</v>
      </c>
      <c r="D220" s="53">
        <f>C220*'Расчет субсидий'!E222</f>
        <v>-5.5290617529532895</v>
      </c>
      <c r="E220" s="54">
        <f t="shared" si="19"/>
        <v>-94.467307389127768</v>
      </c>
      <c r="F220" s="53">
        <f>'Расчет субсидий'!F222-1</f>
        <v>0</v>
      </c>
      <c r="G220" s="53">
        <f>F220*'Расчет субсидий'!G222</f>
        <v>0</v>
      </c>
      <c r="H220" s="54">
        <f t="shared" si="20"/>
        <v>0</v>
      </c>
      <c r="I220" s="53">
        <f>'Расчет субсидий'!J222-1</f>
        <v>8.4615384615385203E-3</v>
      </c>
      <c r="J220" s="53">
        <f>I220*'Расчет субсидий'!K222</f>
        <v>8.4615384615385203E-2</v>
      </c>
      <c r="K220" s="54">
        <f t="shared" si="21"/>
        <v>1.445704154785626</v>
      </c>
      <c r="L220" s="53" t="s">
        <v>394</v>
      </c>
      <c r="M220" s="53" t="s">
        <v>394</v>
      </c>
      <c r="N220" s="55" t="s">
        <v>394</v>
      </c>
      <c r="O220" s="53" t="s">
        <v>394</v>
      </c>
      <c r="P220" s="53" t="s">
        <v>394</v>
      </c>
      <c r="Q220" s="55" t="s">
        <v>394</v>
      </c>
      <c r="R220" s="53" t="s">
        <v>394</v>
      </c>
      <c r="S220" s="53" t="s">
        <v>394</v>
      </c>
      <c r="T220" s="55" t="s">
        <v>394</v>
      </c>
      <c r="U220" s="53">
        <f>'Расчет субсидий'!Z222-1</f>
        <v>-2.4320457796852657E-2</v>
      </c>
      <c r="V220" s="53">
        <f>U220*'Расчет субсидий'!AA222</f>
        <v>-0.36480686695278985</v>
      </c>
      <c r="W220" s="54">
        <f t="shared" si="22"/>
        <v>-6.2329422202033014</v>
      </c>
      <c r="X220" s="56">
        <f t="shared" si="23"/>
        <v>-5.8092532352906945</v>
      </c>
    </row>
    <row r="221" spans="1:24" ht="15" customHeight="1">
      <c r="A221" s="64" t="s">
        <v>204</v>
      </c>
      <c r="B221" s="52">
        <f>'Расчет субсидий'!AF223</f>
        <v>-48.5</v>
      </c>
      <c r="C221" s="53">
        <f>'Расчет субсидий'!D223-1</f>
        <v>-0.24523396880415949</v>
      </c>
      <c r="D221" s="53">
        <f>C221*'Расчет субсидий'!E223</f>
        <v>-3.6785095320623924</v>
      </c>
      <c r="E221" s="54">
        <f t="shared" si="19"/>
        <v>-45.067235857435804</v>
      </c>
      <c r="F221" s="53">
        <f>'Расчет субсидий'!F223-1</f>
        <v>0</v>
      </c>
      <c r="G221" s="53">
        <f>F221*'Расчет субсидий'!G223</f>
        <v>0</v>
      </c>
      <c r="H221" s="54">
        <f t="shared" si="20"/>
        <v>0</v>
      </c>
      <c r="I221" s="53">
        <f>'Расчет субсидий'!J223-1</f>
        <v>8.4615384615385203E-3</v>
      </c>
      <c r="J221" s="53">
        <f>I221*'Расчет субсидий'!K223</f>
        <v>8.4615384615385203E-2</v>
      </c>
      <c r="K221" s="54">
        <f t="shared" si="21"/>
        <v>1.0366648400367746</v>
      </c>
      <c r="L221" s="53" t="s">
        <v>394</v>
      </c>
      <c r="M221" s="53" t="s">
        <v>394</v>
      </c>
      <c r="N221" s="55" t="s">
        <v>394</v>
      </c>
      <c r="O221" s="53" t="s">
        <v>394</v>
      </c>
      <c r="P221" s="53" t="s">
        <v>394</v>
      </c>
      <c r="Q221" s="55" t="s">
        <v>394</v>
      </c>
      <c r="R221" s="53" t="s">
        <v>394</v>
      </c>
      <c r="S221" s="53" t="s">
        <v>394</v>
      </c>
      <c r="T221" s="55" t="s">
        <v>394</v>
      </c>
      <c r="U221" s="53">
        <f>'Расчет субсидий'!Z223-1</f>
        <v>-2.4320457796852657E-2</v>
      </c>
      <c r="V221" s="53">
        <f>U221*'Расчет субсидий'!AA223</f>
        <v>-0.36480686695278985</v>
      </c>
      <c r="W221" s="54">
        <f t="shared" si="22"/>
        <v>-4.4694289826009683</v>
      </c>
      <c r="X221" s="56">
        <f t="shared" si="23"/>
        <v>-3.9587010143997969</v>
      </c>
    </row>
    <row r="222" spans="1:24" ht="15" customHeight="1">
      <c r="A222" s="64" t="s">
        <v>205</v>
      </c>
      <c r="B222" s="52">
        <f>'Расчет субсидий'!AF224</f>
        <v>-1.3545454545454518</v>
      </c>
      <c r="C222" s="53">
        <f>'Расчет субсидий'!D224-1</f>
        <v>-0.23054199845877221</v>
      </c>
      <c r="D222" s="53">
        <f>C222*'Расчет субсидий'!E224</f>
        <v>-3.4581299768815832</v>
      </c>
      <c r="E222" s="54">
        <f t="shared" si="19"/>
        <v>-1.2530207186599038</v>
      </c>
      <c r="F222" s="53">
        <f>'Расчет субсидий'!F224-1</f>
        <v>0</v>
      </c>
      <c r="G222" s="53">
        <f>F222*'Расчет субсидий'!G224</f>
        <v>0</v>
      </c>
      <c r="H222" s="54">
        <f t="shared" si="20"/>
        <v>0</v>
      </c>
      <c r="I222" s="53">
        <f>'Расчет субсидий'!J224-1</f>
        <v>8.4615384615385203E-3</v>
      </c>
      <c r="J222" s="53">
        <f>I222*'Расчет субсидий'!K224</f>
        <v>8.4615384615385203E-2</v>
      </c>
      <c r="K222" s="54">
        <f t="shared" si="21"/>
        <v>3.0659585021169021E-2</v>
      </c>
      <c r="L222" s="53" t="s">
        <v>394</v>
      </c>
      <c r="M222" s="53" t="s">
        <v>394</v>
      </c>
      <c r="N222" s="55" t="s">
        <v>394</v>
      </c>
      <c r="O222" s="53" t="s">
        <v>394</v>
      </c>
      <c r="P222" s="53" t="s">
        <v>394</v>
      </c>
      <c r="Q222" s="55" t="s">
        <v>394</v>
      </c>
      <c r="R222" s="53" t="s">
        <v>394</v>
      </c>
      <c r="S222" s="53" t="s">
        <v>394</v>
      </c>
      <c r="T222" s="55" t="s">
        <v>394</v>
      </c>
      <c r="U222" s="53">
        <f>'Расчет субсидий'!Z224-1</f>
        <v>-2.4320457796852657E-2</v>
      </c>
      <c r="V222" s="53">
        <f>U222*'Расчет субсидий'!AA224</f>
        <v>-0.36480686695278985</v>
      </c>
      <c r="W222" s="54">
        <f t="shared" si="22"/>
        <v>-0.13218432090671692</v>
      </c>
      <c r="X222" s="56">
        <f t="shared" si="23"/>
        <v>-3.7383214592189877</v>
      </c>
    </row>
    <row r="223" spans="1:24" ht="15" customHeight="1">
      <c r="A223" s="64" t="s">
        <v>206</v>
      </c>
      <c r="B223" s="52">
        <f>'Расчет субсидий'!AF225</f>
        <v>-80.527272727272702</v>
      </c>
      <c r="C223" s="53">
        <f>'Расчет субсидий'!D225-1</f>
        <v>-0.39391121031746035</v>
      </c>
      <c r="D223" s="53">
        <f>C223*'Расчет субсидий'!E225</f>
        <v>-5.9086681547619051</v>
      </c>
      <c r="E223" s="54">
        <f t="shared" si="19"/>
        <v>-76.881519351515379</v>
      </c>
      <c r="F223" s="53">
        <f>'Расчет субсидий'!F225-1</f>
        <v>0</v>
      </c>
      <c r="G223" s="53">
        <f>F223*'Расчет субсидий'!G225</f>
        <v>0</v>
      </c>
      <c r="H223" s="54">
        <f t="shared" si="20"/>
        <v>0</v>
      </c>
      <c r="I223" s="53">
        <f>'Расчет субсидий'!J225-1</f>
        <v>8.4615384615385203E-3</v>
      </c>
      <c r="J223" s="53">
        <f>I223*'Расчет субсидий'!K225</f>
        <v>8.4615384615385203E-2</v>
      </c>
      <c r="K223" s="54">
        <f t="shared" si="21"/>
        <v>1.1009857313616207</v>
      </c>
      <c r="L223" s="53" t="s">
        <v>394</v>
      </c>
      <c r="M223" s="53" t="s">
        <v>394</v>
      </c>
      <c r="N223" s="55" t="s">
        <v>394</v>
      </c>
      <c r="O223" s="53" t="s">
        <v>394</v>
      </c>
      <c r="P223" s="53" t="s">
        <v>394</v>
      </c>
      <c r="Q223" s="55" t="s">
        <v>394</v>
      </c>
      <c r="R223" s="53" t="s">
        <v>394</v>
      </c>
      <c r="S223" s="53" t="s">
        <v>394</v>
      </c>
      <c r="T223" s="55" t="s">
        <v>394</v>
      </c>
      <c r="U223" s="53">
        <f>'Расчет субсидий'!Z225-1</f>
        <v>-2.4320457796852657E-2</v>
      </c>
      <c r="V223" s="53">
        <f>U223*'Расчет субсидий'!AA225</f>
        <v>-0.36480686695278985</v>
      </c>
      <c r="W223" s="54">
        <f t="shared" si="22"/>
        <v>-4.7467391071189349</v>
      </c>
      <c r="X223" s="56">
        <f t="shared" si="23"/>
        <v>-6.1888596370993101</v>
      </c>
    </row>
    <row r="224" spans="1:24" ht="15" customHeight="1">
      <c r="A224" s="64" t="s">
        <v>207</v>
      </c>
      <c r="B224" s="52">
        <f>'Расчет субсидий'!AF226</f>
        <v>0.39090909090909065</v>
      </c>
      <c r="C224" s="53">
        <f>'Расчет субсидий'!D226-1</f>
        <v>4.0229370128124664E-2</v>
      </c>
      <c r="D224" s="53">
        <f>C224*'Расчет субсидий'!E226</f>
        <v>0.60344055192186996</v>
      </c>
      <c r="E224" s="54">
        <f t="shared" si="19"/>
        <v>0.7297481099410239</v>
      </c>
      <c r="F224" s="53">
        <f>'Расчет субсидий'!F226-1</f>
        <v>0</v>
      </c>
      <c r="G224" s="53">
        <f>F224*'Расчет субсидий'!G226</f>
        <v>0</v>
      </c>
      <c r="H224" s="54">
        <f t="shared" si="20"/>
        <v>0</v>
      </c>
      <c r="I224" s="53">
        <f>'Расчет субсидий'!J226-1</f>
        <v>8.4615384615385203E-3</v>
      </c>
      <c r="J224" s="53">
        <f>I224*'Расчет субсидий'!K226</f>
        <v>8.4615384615385203E-2</v>
      </c>
      <c r="K224" s="54">
        <f t="shared" si="21"/>
        <v>0.10232642933649728</v>
      </c>
      <c r="L224" s="53" t="s">
        <v>394</v>
      </c>
      <c r="M224" s="53" t="s">
        <v>394</v>
      </c>
      <c r="N224" s="55" t="s">
        <v>394</v>
      </c>
      <c r="O224" s="53" t="s">
        <v>394</v>
      </c>
      <c r="P224" s="53" t="s">
        <v>394</v>
      </c>
      <c r="Q224" s="55" t="s">
        <v>394</v>
      </c>
      <c r="R224" s="53" t="s">
        <v>394</v>
      </c>
      <c r="S224" s="53" t="s">
        <v>394</v>
      </c>
      <c r="T224" s="55" t="s">
        <v>394</v>
      </c>
      <c r="U224" s="53">
        <f>'Расчет субсидий'!Z226-1</f>
        <v>-2.4320457796852657E-2</v>
      </c>
      <c r="V224" s="53">
        <f>U224*'Расчет субсидий'!AA226</f>
        <v>-0.36480686695278985</v>
      </c>
      <c r="W224" s="54">
        <f t="shared" si="22"/>
        <v>-0.44116544836843058</v>
      </c>
      <c r="X224" s="56">
        <f t="shared" si="23"/>
        <v>0.32324906958446531</v>
      </c>
    </row>
    <row r="225" spans="1:24" ht="15" customHeight="1">
      <c r="A225" s="64" t="s">
        <v>208</v>
      </c>
      <c r="B225" s="52">
        <f>'Расчет субсидий'!AF227</f>
        <v>-60.481818181818198</v>
      </c>
      <c r="C225" s="53">
        <f>'Расчет субсидий'!D227-1</f>
        <v>-0.67572322126661455</v>
      </c>
      <c r="D225" s="53">
        <f>C225*'Расчет субсидий'!E227</f>
        <v>-10.135848318999217</v>
      </c>
      <c r="E225" s="54">
        <f t="shared" si="19"/>
        <v>-58.854857204897733</v>
      </c>
      <c r="F225" s="53">
        <f>'Расчет субсидий'!F227-1</f>
        <v>0</v>
      </c>
      <c r="G225" s="53">
        <f>F225*'Расчет субсидий'!G227</f>
        <v>0</v>
      </c>
      <c r="H225" s="54">
        <f t="shared" si="20"/>
        <v>0</v>
      </c>
      <c r="I225" s="53">
        <f>'Расчет субсидий'!J227-1</f>
        <v>8.4615384615385203E-3</v>
      </c>
      <c r="J225" s="53">
        <f>I225*'Расчет субсидий'!K227</f>
        <v>8.4615384615385203E-2</v>
      </c>
      <c r="K225" s="54">
        <f t="shared" si="21"/>
        <v>0.49132802920315494</v>
      </c>
      <c r="L225" s="53" t="s">
        <v>394</v>
      </c>
      <c r="M225" s="53" t="s">
        <v>394</v>
      </c>
      <c r="N225" s="55" t="s">
        <v>394</v>
      </c>
      <c r="O225" s="53" t="s">
        <v>394</v>
      </c>
      <c r="P225" s="53" t="s">
        <v>394</v>
      </c>
      <c r="Q225" s="55" t="s">
        <v>394</v>
      </c>
      <c r="R225" s="53" t="s">
        <v>394</v>
      </c>
      <c r="S225" s="53" t="s">
        <v>394</v>
      </c>
      <c r="T225" s="55" t="s">
        <v>394</v>
      </c>
      <c r="U225" s="53">
        <f>'Расчет субсидий'!Z227-1</f>
        <v>-2.4320457796852657E-2</v>
      </c>
      <c r="V225" s="53">
        <f>U225*'Расчет субсидий'!AA227</f>
        <v>-0.36480686695278985</v>
      </c>
      <c r="W225" s="54">
        <f t="shared" si="22"/>
        <v>-2.1182890061236153</v>
      </c>
      <c r="X225" s="56">
        <f t="shared" si="23"/>
        <v>-10.416039801336623</v>
      </c>
    </row>
    <row r="226" spans="1:24" ht="15" customHeight="1">
      <c r="A226" s="64" t="s">
        <v>209</v>
      </c>
      <c r="B226" s="52">
        <f>'Расчет субсидий'!AF228</f>
        <v>-159.41818181818189</v>
      </c>
      <c r="C226" s="53">
        <f>'Расчет субсидий'!D228-1</f>
        <v>-0.78167115902964956</v>
      </c>
      <c r="D226" s="53">
        <f>C226*'Расчет субсидий'!E228</f>
        <v>-11.725067385444744</v>
      </c>
      <c r="E226" s="54">
        <f t="shared" si="19"/>
        <v>-155.69751097158795</v>
      </c>
      <c r="F226" s="53">
        <f>'Расчет субсидий'!F228-1</f>
        <v>0</v>
      </c>
      <c r="G226" s="53">
        <f>F226*'Расчет субсидий'!G228</f>
        <v>0</v>
      </c>
      <c r="H226" s="54">
        <f t="shared" si="20"/>
        <v>0</v>
      </c>
      <c r="I226" s="53">
        <f>'Расчет субсидий'!J228-1</f>
        <v>8.4615384615385203E-3</v>
      </c>
      <c r="J226" s="53">
        <f>I226*'Расчет субсидий'!K228</f>
        <v>8.4615384615385203E-2</v>
      </c>
      <c r="K226" s="54">
        <f t="shared" si="21"/>
        <v>1.1236101543325461</v>
      </c>
      <c r="L226" s="53" t="s">
        <v>394</v>
      </c>
      <c r="M226" s="53" t="s">
        <v>394</v>
      </c>
      <c r="N226" s="55" t="s">
        <v>394</v>
      </c>
      <c r="O226" s="53" t="s">
        <v>394</v>
      </c>
      <c r="P226" s="53" t="s">
        <v>394</v>
      </c>
      <c r="Q226" s="55" t="s">
        <v>394</v>
      </c>
      <c r="R226" s="53" t="s">
        <v>394</v>
      </c>
      <c r="S226" s="53" t="s">
        <v>394</v>
      </c>
      <c r="T226" s="55" t="s">
        <v>394</v>
      </c>
      <c r="U226" s="53">
        <f>'Расчет субсидий'!Z228-1</f>
        <v>-2.4320457796852657E-2</v>
      </c>
      <c r="V226" s="53">
        <f>U226*'Расчет субсидий'!AA228</f>
        <v>-0.36480686695278985</v>
      </c>
      <c r="W226" s="54">
        <f t="shared" si="22"/>
        <v>-4.8442810009264745</v>
      </c>
      <c r="X226" s="56">
        <f t="shared" si="23"/>
        <v>-12.00525886778215</v>
      </c>
    </row>
    <row r="227" spans="1:24" ht="15" customHeight="1">
      <c r="A227" s="64" t="s">
        <v>210</v>
      </c>
      <c r="B227" s="52">
        <f>'Расчет субсидий'!AF229</f>
        <v>-26.254545454545465</v>
      </c>
      <c r="C227" s="53">
        <f>'Расчет субсидий'!D229-1</f>
        <v>-0.63267117700686148</v>
      </c>
      <c r="D227" s="53">
        <f>C227*'Расчет субсидий'!E229</f>
        <v>-9.4900676551029228</v>
      </c>
      <c r="E227" s="54">
        <f t="shared" si="19"/>
        <v>-25.501617624738579</v>
      </c>
      <c r="F227" s="53">
        <f>'Расчет субсидий'!F229-1</f>
        <v>0</v>
      </c>
      <c r="G227" s="53">
        <f>F227*'Расчет субсидий'!G229</f>
        <v>0</v>
      </c>
      <c r="H227" s="54">
        <f t="shared" si="20"/>
        <v>0</v>
      </c>
      <c r="I227" s="53">
        <f>'Расчет субсидий'!J229-1</f>
        <v>8.4615384615385203E-3</v>
      </c>
      <c r="J227" s="53">
        <f>I227*'Расчет субсидий'!K229</f>
        <v>8.4615384615385203E-2</v>
      </c>
      <c r="K227" s="54">
        <f t="shared" si="21"/>
        <v>0.22737763966007665</v>
      </c>
      <c r="L227" s="53" t="s">
        <v>394</v>
      </c>
      <c r="M227" s="53" t="s">
        <v>394</v>
      </c>
      <c r="N227" s="55" t="s">
        <v>394</v>
      </c>
      <c r="O227" s="53" t="s">
        <v>394</v>
      </c>
      <c r="P227" s="53" t="s">
        <v>394</v>
      </c>
      <c r="Q227" s="55" t="s">
        <v>394</v>
      </c>
      <c r="R227" s="53" t="s">
        <v>394</v>
      </c>
      <c r="S227" s="53" t="s">
        <v>394</v>
      </c>
      <c r="T227" s="55" t="s">
        <v>394</v>
      </c>
      <c r="U227" s="53">
        <f>'Расчет субсидий'!Z229-1</f>
        <v>-2.4320457796852657E-2</v>
      </c>
      <c r="V227" s="53">
        <f>U227*'Расчет субсидий'!AA229</f>
        <v>-0.36480686695278985</v>
      </c>
      <c r="W227" s="54">
        <f t="shared" si="22"/>
        <v>-0.98030546946696462</v>
      </c>
      <c r="X227" s="56">
        <f t="shared" si="23"/>
        <v>-9.7702591374403269</v>
      </c>
    </row>
    <row r="228" spans="1:24" ht="15" customHeight="1">
      <c r="A228" s="64" t="s">
        <v>211</v>
      </c>
      <c r="B228" s="52">
        <f>'Расчет субсидий'!AF230</f>
        <v>7.7363636363636488</v>
      </c>
      <c r="C228" s="53">
        <f>'Расчет субсидий'!D230-1</f>
        <v>0.10304851867754383</v>
      </c>
      <c r="D228" s="53">
        <f>C228*'Расчет субсидий'!E230</f>
        <v>1.5457277801631575</v>
      </c>
      <c r="E228" s="54">
        <f t="shared" si="19"/>
        <v>9.4492052189386122</v>
      </c>
      <c r="F228" s="53">
        <f>'Расчет субсидий'!F230-1</f>
        <v>0</v>
      </c>
      <c r="G228" s="53">
        <f>F228*'Расчет субсидий'!G230</f>
        <v>0</v>
      </c>
      <c r="H228" s="54">
        <f t="shared" si="20"/>
        <v>0</v>
      </c>
      <c r="I228" s="53">
        <f>'Расчет субсидий'!J230-1</f>
        <v>8.4615384615385203E-3</v>
      </c>
      <c r="J228" s="53">
        <f>I228*'Расчет субсидий'!K230</f>
        <v>8.4615384615385203E-2</v>
      </c>
      <c r="K228" s="54">
        <f t="shared" si="21"/>
        <v>0.51726322329912489</v>
      </c>
      <c r="L228" s="53" t="s">
        <v>394</v>
      </c>
      <c r="M228" s="53" t="s">
        <v>394</v>
      </c>
      <c r="N228" s="55" t="s">
        <v>394</v>
      </c>
      <c r="O228" s="53" t="s">
        <v>394</v>
      </c>
      <c r="P228" s="53" t="s">
        <v>394</v>
      </c>
      <c r="Q228" s="55" t="s">
        <v>394</v>
      </c>
      <c r="R228" s="53" t="s">
        <v>394</v>
      </c>
      <c r="S228" s="53" t="s">
        <v>394</v>
      </c>
      <c r="T228" s="55" t="s">
        <v>394</v>
      </c>
      <c r="U228" s="53">
        <f>'Расчет субсидий'!Z230-1</f>
        <v>-2.4320457796852657E-2</v>
      </c>
      <c r="V228" s="53">
        <f>U228*'Расчет субсидий'!AA230</f>
        <v>-0.36480686695278985</v>
      </c>
      <c r="W228" s="54">
        <f t="shared" si="22"/>
        <v>-2.23010480587409</v>
      </c>
      <c r="X228" s="56">
        <f t="shared" si="23"/>
        <v>1.2655362978257529</v>
      </c>
    </row>
    <row r="229" spans="1:24" ht="15" customHeight="1">
      <c r="A229" s="60" t="s">
        <v>212</v>
      </c>
      <c r="B229" s="61"/>
      <c r="C229" s="62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</row>
    <row r="230" spans="1:24" ht="15" customHeight="1">
      <c r="A230" s="64" t="s">
        <v>213</v>
      </c>
      <c r="B230" s="52">
        <f>'Расчет субсидий'!AF232</f>
        <v>-11.981818181818142</v>
      </c>
      <c r="C230" s="53">
        <f>'Расчет субсидий'!D232-1</f>
        <v>-0.30850472484713731</v>
      </c>
      <c r="D230" s="53">
        <f>C230*'Расчет субсидий'!E232</f>
        <v>-4.6275708727070599</v>
      </c>
      <c r="E230" s="54">
        <f t="shared" si="19"/>
        <v>-36.849898555325922</v>
      </c>
      <c r="F230" s="53">
        <f>'Расчет субсидий'!F232-1</f>
        <v>0</v>
      </c>
      <c r="G230" s="53">
        <f>F230*'Расчет субсидий'!G232</f>
        <v>0</v>
      </c>
      <c r="H230" s="54">
        <f t="shared" si="20"/>
        <v>0</v>
      </c>
      <c r="I230" s="53">
        <f>'Расчет субсидий'!J232-1</f>
        <v>2.3177955189286337E-3</v>
      </c>
      <c r="J230" s="53">
        <f>I230*'Расчет субсидий'!K232</f>
        <v>2.3177955189286337E-2</v>
      </c>
      <c r="K230" s="54">
        <f t="shared" si="21"/>
        <v>0.18456882043287923</v>
      </c>
      <c r="L230" s="53" t="s">
        <v>394</v>
      </c>
      <c r="M230" s="53" t="s">
        <v>394</v>
      </c>
      <c r="N230" s="55" t="s">
        <v>394</v>
      </c>
      <c r="O230" s="53" t="s">
        <v>394</v>
      </c>
      <c r="P230" s="53" t="s">
        <v>394</v>
      </c>
      <c r="Q230" s="55" t="s">
        <v>394</v>
      </c>
      <c r="R230" s="53" t="s">
        <v>394</v>
      </c>
      <c r="S230" s="53" t="s">
        <v>394</v>
      </c>
      <c r="T230" s="55" t="s">
        <v>394</v>
      </c>
      <c r="U230" s="53">
        <f>'Расчет субсидий'!Z232-1</f>
        <v>0.20664859981933148</v>
      </c>
      <c r="V230" s="53">
        <f>U230*'Расчет субсидий'!AA232</f>
        <v>3.0997289972899722</v>
      </c>
      <c r="W230" s="54">
        <f t="shared" si="22"/>
        <v>24.683511553074901</v>
      </c>
      <c r="X230" s="56">
        <f t="shared" si="23"/>
        <v>-1.5046639202278014</v>
      </c>
    </row>
    <row r="231" spans="1:24" ht="15" customHeight="1">
      <c r="A231" s="64" t="s">
        <v>142</v>
      </c>
      <c r="B231" s="52">
        <f>'Расчет субсидий'!AF233</f>
        <v>-3.0545454545454618</v>
      </c>
      <c r="C231" s="53">
        <f>'Расчет субсидий'!D233-1</f>
        <v>-0.24290484140233715</v>
      </c>
      <c r="D231" s="53">
        <f>C231*'Расчет субсидий'!E233</f>
        <v>-3.643572621035057</v>
      </c>
      <c r="E231" s="54">
        <f t="shared" si="19"/>
        <v>-21.375440825125597</v>
      </c>
      <c r="F231" s="53">
        <f>'Расчет субсидий'!F233-1</f>
        <v>0</v>
      </c>
      <c r="G231" s="53">
        <f>F231*'Расчет субсидий'!G233</f>
        <v>0</v>
      </c>
      <c r="H231" s="54">
        <f t="shared" si="20"/>
        <v>0</v>
      </c>
      <c r="I231" s="53">
        <f>'Расчет субсидий'!J233-1</f>
        <v>2.3177955189286337E-3</v>
      </c>
      <c r="J231" s="53">
        <f>I231*'Расчет субсидий'!K233</f>
        <v>2.3177955189286337E-2</v>
      </c>
      <c r="K231" s="54">
        <f t="shared" si="21"/>
        <v>0.13597615887652045</v>
      </c>
      <c r="L231" s="53" t="s">
        <v>394</v>
      </c>
      <c r="M231" s="53" t="s">
        <v>394</v>
      </c>
      <c r="N231" s="55" t="s">
        <v>394</v>
      </c>
      <c r="O231" s="53" t="s">
        <v>394</v>
      </c>
      <c r="P231" s="53" t="s">
        <v>394</v>
      </c>
      <c r="Q231" s="55" t="s">
        <v>394</v>
      </c>
      <c r="R231" s="53" t="s">
        <v>394</v>
      </c>
      <c r="S231" s="53" t="s">
        <v>394</v>
      </c>
      <c r="T231" s="55" t="s">
        <v>394</v>
      </c>
      <c r="U231" s="53">
        <f>'Расчет субсидий'!Z233-1</f>
        <v>0.20664859981933148</v>
      </c>
      <c r="V231" s="53">
        <f>U231*'Расчет субсидий'!AA233</f>
        <v>3.0997289972899722</v>
      </c>
      <c r="W231" s="54">
        <f t="shared" si="22"/>
        <v>18.184919211703615</v>
      </c>
      <c r="X231" s="56">
        <f t="shared" si="23"/>
        <v>-0.52066566855579843</v>
      </c>
    </row>
    <row r="232" spans="1:24" ht="15" customHeight="1">
      <c r="A232" s="64" t="s">
        <v>214</v>
      </c>
      <c r="B232" s="52">
        <f>'Расчет субсидий'!AF234</f>
        <v>11.300000000000011</v>
      </c>
      <c r="C232" s="53">
        <f>'Расчет субсидий'!D234-1</f>
        <v>-0.11592465753424663</v>
      </c>
      <c r="D232" s="53">
        <f>C232*'Расчет субсидий'!E234</f>
        <v>-1.7388698630136994</v>
      </c>
      <c r="E232" s="54">
        <f t="shared" si="19"/>
        <v>-14.197039661445995</v>
      </c>
      <c r="F232" s="53">
        <f>'Расчет субсидий'!F234-1</f>
        <v>0</v>
      </c>
      <c r="G232" s="53">
        <f>F232*'Расчет субсидий'!G234</f>
        <v>0</v>
      </c>
      <c r="H232" s="54">
        <f t="shared" si="20"/>
        <v>0</v>
      </c>
      <c r="I232" s="53">
        <f>'Расчет субсидий'!J234-1</f>
        <v>2.3177955189286337E-3</v>
      </c>
      <c r="J232" s="53">
        <f>I232*'Расчет субсидий'!K234</f>
        <v>2.3177955189286337E-2</v>
      </c>
      <c r="K232" s="54">
        <f t="shared" si="21"/>
        <v>0.18923690386077141</v>
      </c>
      <c r="L232" s="53" t="s">
        <v>394</v>
      </c>
      <c r="M232" s="53" t="s">
        <v>394</v>
      </c>
      <c r="N232" s="55" t="s">
        <v>394</v>
      </c>
      <c r="O232" s="53" t="s">
        <v>394</v>
      </c>
      <c r="P232" s="53" t="s">
        <v>394</v>
      </c>
      <c r="Q232" s="55" t="s">
        <v>394</v>
      </c>
      <c r="R232" s="53" t="s">
        <v>394</v>
      </c>
      <c r="S232" s="53" t="s">
        <v>394</v>
      </c>
      <c r="T232" s="55" t="s">
        <v>394</v>
      </c>
      <c r="U232" s="53">
        <f>'Расчет субсидий'!Z234-1</f>
        <v>0.20664859981933148</v>
      </c>
      <c r="V232" s="53">
        <f>U232*'Расчет субсидий'!AA234</f>
        <v>3.0997289972899722</v>
      </c>
      <c r="W232" s="54">
        <f t="shared" si="22"/>
        <v>25.307802757585236</v>
      </c>
      <c r="X232" s="56">
        <f t="shared" si="23"/>
        <v>1.3840370894655591</v>
      </c>
    </row>
    <row r="233" spans="1:24" ht="15" customHeight="1">
      <c r="A233" s="64" t="s">
        <v>215</v>
      </c>
      <c r="B233" s="52">
        <f>'Расчет субсидий'!AF235</f>
        <v>39.209090909090946</v>
      </c>
      <c r="C233" s="53">
        <f>'Расчет субсидий'!D235-1</f>
        <v>0.15641135972461262</v>
      </c>
      <c r="D233" s="53">
        <f>C233*'Расчет субсидий'!E235</f>
        <v>2.3461703958691893</v>
      </c>
      <c r="E233" s="54">
        <f t="shared" si="19"/>
        <v>16.820242699188089</v>
      </c>
      <c r="F233" s="53">
        <f>'Расчет субсидий'!F235-1</f>
        <v>0</v>
      </c>
      <c r="G233" s="53">
        <f>F233*'Расчет субсидий'!G235</f>
        <v>0</v>
      </c>
      <c r="H233" s="54">
        <f t="shared" si="20"/>
        <v>0</v>
      </c>
      <c r="I233" s="53">
        <f>'Расчет субсидий'!J235-1</f>
        <v>2.3177955189286337E-3</v>
      </c>
      <c r="J233" s="53">
        <f>I233*'Расчет субсидий'!K235</f>
        <v>2.3177955189286337E-2</v>
      </c>
      <c r="K233" s="54">
        <f t="shared" si="21"/>
        <v>0.16616816589328356</v>
      </c>
      <c r="L233" s="53" t="s">
        <v>394</v>
      </c>
      <c r="M233" s="53" t="s">
        <v>394</v>
      </c>
      <c r="N233" s="55" t="s">
        <v>394</v>
      </c>
      <c r="O233" s="53" t="s">
        <v>394</v>
      </c>
      <c r="P233" s="53" t="s">
        <v>394</v>
      </c>
      <c r="Q233" s="55" t="s">
        <v>394</v>
      </c>
      <c r="R233" s="53" t="s">
        <v>394</v>
      </c>
      <c r="S233" s="53" t="s">
        <v>394</v>
      </c>
      <c r="T233" s="55" t="s">
        <v>394</v>
      </c>
      <c r="U233" s="53">
        <f>'Расчет субсидий'!Z235-1</f>
        <v>0.20664859981933148</v>
      </c>
      <c r="V233" s="53">
        <f>U233*'Расчет субсидий'!AA235</f>
        <v>3.0997289972899722</v>
      </c>
      <c r="W233" s="54">
        <f t="shared" si="22"/>
        <v>22.222680044009575</v>
      </c>
      <c r="X233" s="56">
        <f t="shared" si="23"/>
        <v>5.4690773483484474</v>
      </c>
    </row>
    <row r="234" spans="1:24" ht="15" customHeight="1">
      <c r="A234" s="64" t="s">
        <v>216</v>
      </c>
      <c r="B234" s="52">
        <f>'Расчет субсидий'!AF236</f>
        <v>7.9090909090909065</v>
      </c>
      <c r="C234" s="53">
        <f>'Расчет субсидий'!D236-1</f>
        <v>-4.3796958035550837E-2</v>
      </c>
      <c r="D234" s="53">
        <f>C234*'Расчет субсидий'!E236</f>
        <v>-0.65695437053326255</v>
      </c>
      <c r="E234" s="54">
        <f t="shared" si="19"/>
        <v>-2.107060726841647</v>
      </c>
      <c r="F234" s="53">
        <f>'Расчет субсидий'!F236-1</f>
        <v>0</v>
      </c>
      <c r="G234" s="53">
        <f>F234*'Расчет субсидий'!G236</f>
        <v>0</v>
      </c>
      <c r="H234" s="54">
        <f t="shared" si="20"/>
        <v>0</v>
      </c>
      <c r="I234" s="53">
        <f>'Расчет субсидий'!J236-1</f>
        <v>2.3177955189286337E-3</v>
      </c>
      <c r="J234" s="53">
        <f>I234*'Расчет субсидий'!K236</f>
        <v>2.3177955189286337E-2</v>
      </c>
      <c r="K234" s="54">
        <f t="shared" si="21"/>
        <v>7.4339042859549828E-2</v>
      </c>
      <c r="L234" s="53" t="s">
        <v>394</v>
      </c>
      <c r="M234" s="53" t="s">
        <v>394</v>
      </c>
      <c r="N234" s="55" t="s">
        <v>394</v>
      </c>
      <c r="O234" s="53" t="s">
        <v>394</v>
      </c>
      <c r="P234" s="53" t="s">
        <v>394</v>
      </c>
      <c r="Q234" s="55" t="s">
        <v>394</v>
      </c>
      <c r="R234" s="53" t="s">
        <v>394</v>
      </c>
      <c r="S234" s="53" t="s">
        <v>394</v>
      </c>
      <c r="T234" s="55" t="s">
        <v>394</v>
      </c>
      <c r="U234" s="53">
        <f>'Расчет субсидий'!Z236-1</f>
        <v>0.20664859981933148</v>
      </c>
      <c r="V234" s="53">
        <f>U234*'Расчет субсидий'!AA236</f>
        <v>3.0997289972899722</v>
      </c>
      <c r="W234" s="54">
        <f t="shared" si="22"/>
        <v>9.9418125930730028</v>
      </c>
      <c r="X234" s="56">
        <f t="shared" si="23"/>
        <v>2.465952581945996</v>
      </c>
    </row>
    <row r="235" spans="1:24" ht="15" customHeight="1">
      <c r="A235" s="64" t="s">
        <v>217</v>
      </c>
      <c r="B235" s="52">
        <f>'Расчет субсидий'!AF237</f>
        <v>5.9272727272727082</v>
      </c>
      <c r="C235" s="53">
        <f>'Расчет субсидий'!D237-1</f>
        <v>-6.7528480675728253E-2</v>
      </c>
      <c r="D235" s="53">
        <f>C235*'Расчет субсидий'!E237</f>
        <v>-1.0129272101359237</v>
      </c>
      <c r="E235" s="54">
        <f t="shared" si="19"/>
        <v>-2.8454755782077745</v>
      </c>
      <c r="F235" s="53">
        <f>'Расчет субсидий'!F237-1</f>
        <v>0</v>
      </c>
      <c r="G235" s="53">
        <f>F235*'Расчет субсидий'!G237</f>
        <v>0</v>
      </c>
      <c r="H235" s="54">
        <f t="shared" si="20"/>
        <v>0</v>
      </c>
      <c r="I235" s="53">
        <f>'Расчет субсидий'!J237-1</f>
        <v>2.3177955189286337E-3</v>
      </c>
      <c r="J235" s="53">
        <f>I235*'Расчет субсидий'!K237</f>
        <v>2.3177955189286337E-2</v>
      </c>
      <c r="K235" s="54">
        <f t="shared" si="21"/>
        <v>6.5110606945842003E-2</v>
      </c>
      <c r="L235" s="53" t="s">
        <v>394</v>
      </c>
      <c r="M235" s="53" t="s">
        <v>394</v>
      </c>
      <c r="N235" s="55" t="s">
        <v>394</v>
      </c>
      <c r="O235" s="53" t="s">
        <v>394</v>
      </c>
      <c r="P235" s="53" t="s">
        <v>394</v>
      </c>
      <c r="Q235" s="55" t="s">
        <v>394</v>
      </c>
      <c r="R235" s="53" t="s">
        <v>394</v>
      </c>
      <c r="S235" s="53" t="s">
        <v>394</v>
      </c>
      <c r="T235" s="55" t="s">
        <v>394</v>
      </c>
      <c r="U235" s="53">
        <f>'Расчет субсидий'!Z237-1</f>
        <v>0.20664859981933148</v>
      </c>
      <c r="V235" s="53">
        <f>U235*'Расчет субсидий'!AA237</f>
        <v>3.0997289972899722</v>
      </c>
      <c r="W235" s="54">
        <f t="shared" si="22"/>
        <v>8.70763769853464</v>
      </c>
      <c r="X235" s="56">
        <f t="shared" si="23"/>
        <v>2.1099797423433349</v>
      </c>
    </row>
    <row r="236" spans="1:24" ht="15" customHeight="1">
      <c r="A236" s="64" t="s">
        <v>218</v>
      </c>
      <c r="B236" s="52">
        <f>'Расчет субсидий'!AF238</f>
        <v>74.909090909090878</v>
      </c>
      <c r="C236" s="53">
        <f>'Расчет субсидий'!D238-1</f>
        <v>0.22932177844762625</v>
      </c>
      <c r="D236" s="53">
        <f>C236*'Расчет субсидий'!E238</f>
        <v>3.4398266767143939</v>
      </c>
      <c r="E236" s="54">
        <f t="shared" si="19"/>
        <v>39.263255801100421</v>
      </c>
      <c r="F236" s="53">
        <f>'Расчет субсидий'!F238-1</f>
        <v>0</v>
      </c>
      <c r="G236" s="53">
        <f>F236*'Расчет субсидий'!G238</f>
        <v>0</v>
      </c>
      <c r="H236" s="54">
        <f t="shared" si="20"/>
        <v>0</v>
      </c>
      <c r="I236" s="53">
        <f>'Расчет субсидий'!J238-1</f>
        <v>2.3177955189286337E-3</v>
      </c>
      <c r="J236" s="53">
        <f>I236*'Расчет субсидий'!K238</f>
        <v>2.3177955189286337E-2</v>
      </c>
      <c r="K236" s="54">
        <f t="shared" si="21"/>
        <v>0.26456041803031594</v>
      </c>
      <c r="L236" s="53" t="s">
        <v>394</v>
      </c>
      <c r="M236" s="53" t="s">
        <v>394</v>
      </c>
      <c r="N236" s="55" t="s">
        <v>394</v>
      </c>
      <c r="O236" s="53" t="s">
        <v>394</v>
      </c>
      <c r="P236" s="53" t="s">
        <v>394</v>
      </c>
      <c r="Q236" s="55" t="s">
        <v>394</v>
      </c>
      <c r="R236" s="53" t="s">
        <v>394</v>
      </c>
      <c r="S236" s="53" t="s">
        <v>394</v>
      </c>
      <c r="T236" s="55" t="s">
        <v>394</v>
      </c>
      <c r="U236" s="53">
        <f>'Расчет субсидий'!Z238-1</f>
        <v>0.20664859981933148</v>
      </c>
      <c r="V236" s="53">
        <f>U236*'Расчет субсидий'!AA238</f>
        <v>3.0997289972899722</v>
      </c>
      <c r="W236" s="54">
        <f t="shared" si="22"/>
        <v>35.381274689960136</v>
      </c>
      <c r="X236" s="56">
        <f t="shared" si="23"/>
        <v>6.5627336291936524</v>
      </c>
    </row>
    <row r="237" spans="1:24" ht="15" customHeight="1">
      <c r="A237" s="64" t="s">
        <v>219</v>
      </c>
      <c r="B237" s="52">
        <f>'Расчет субсидий'!AF239</f>
        <v>23.081818181818107</v>
      </c>
      <c r="C237" s="53">
        <f>'Расчет субсидий'!D239-1</f>
        <v>-1.5922721723899969E-2</v>
      </c>
      <c r="D237" s="53">
        <f>C237*'Расчет субсидий'!E239</f>
        <v>-0.23884082585849953</v>
      </c>
      <c r="E237" s="54">
        <f t="shared" si="19"/>
        <v>-1.9114958793682628</v>
      </c>
      <c r="F237" s="53">
        <f>'Расчет субсидий'!F239-1</f>
        <v>0</v>
      </c>
      <c r="G237" s="53">
        <f>F237*'Расчет субсидий'!G239</f>
        <v>0</v>
      </c>
      <c r="H237" s="54">
        <f t="shared" si="20"/>
        <v>0</v>
      </c>
      <c r="I237" s="53">
        <f>'Расчет субсидий'!J239-1</f>
        <v>2.3177955189286337E-3</v>
      </c>
      <c r="J237" s="53">
        <f>I237*'Расчет субсидий'!K239</f>
        <v>2.3177955189286337E-2</v>
      </c>
      <c r="K237" s="54">
        <f t="shared" si="21"/>
        <v>0.18549829442790139</v>
      </c>
      <c r="L237" s="53" t="s">
        <v>394</v>
      </c>
      <c r="M237" s="53" t="s">
        <v>394</v>
      </c>
      <c r="N237" s="55" t="s">
        <v>394</v>
      </c>
      <c r="O237" s="53" t="s">
        <v>394</v>
      </c>
      <c r="P237" s="53" t="s">
        <v>394</v>
      </c>
      <c r="Q237" s="55" t="s">
        <v>394</v>
      </c>
      <c r="R237" s="53" t="s">
        <v>394</v>
      </c>
      <c r="S237" s="53" t="s">
        <v>394</v>
      </c>
      <c r="T237" s="55" t="s">
        <v>394</v>
      </c>
      <c r="U237" s="53">
        <f>'Расчет субсидий'!Z239-1</f>
        <v>0.20664859981933148</v>
      </c>
      <c r="V237" s="53">
        <f>U237*'Расчет субсидий'!AA239</f>
        <v>3.0997289972899722</v>
      </c>
      <c r="W237" s="54">
        <f t="shared" si="22"/>
        <v>24.80781576675847</v>
      </c>
      <c r="X237" s="56">
        <f t="shared" si="23"/>
        <v>2.884066126620759</v>
      </c>
    </row>
    <row r="238" spans="1:24" ht="15" customHeight="1">
      <c r="A238" s="64" t="s">
        <v>220</v>
      </c>
      <c r="B238" s="52">
        <f>'Расчет субсидий'!AF240</f>
        <v>24.072727272727207</v>
      </c>
      <c r="C238" s="53">
        <f>'Расчет субсидий'!D240-1</f>
        <v>-5.4990406545270321E-2</v>
      </c>
      <c r="D238" s="53">
        <f>C238*'Расчет субсидий'!E240</f>
        <v>-0.82485609817905481</v>
      </c>
      <c r="E238" s="54">
        <f t="shared" si="19"/>
        <v>-8.6405989900327693</v>
      </c>
      <c r="F238" s="53">
        <f>'Расчет субсидий'!F240-1</f>
        <v>0</v>
      </c>
      <c r="G238" s="53">
        <f>F238*'Расчет субсидий'!G240</f>
        <v>0</v>
      </c>
      <c r="H238" s="54">
        <f t="shared" si="20"/>
        <v>0</v>
      </c>
      <c r="I238" s="53">
        <f>'Расчет субсидий'!J240-1</f>
        <v>2.3177955189286337E-3</v>
      </c>
      <c r="J238" s="53">
        <f>I238*'Расчет субсидий'!K240</f>
        <v>2.3177955189286337E-2</v>
      </c>
      <c r="K238" s="54">
        <f t="shared" si="21"/>
        <v>0.24279558172836418</v>
      </c>
      <c r="L238" s="53" t="s">
        <v>394</v>
      </c>
      <c r="M238" s="53" t="s">
        <v>394</v>
      </c>
      <c r="N238" s="55" t="s">
        <v>394</v>
      </c>
      <c r="O238" s="53" t="s">
        <v>394</v>
      </c>
      <c r="P238" s="53" t="s">
        <v>394</v>
      </c>
      <c r="Q238" s="55" t="s">
        <v>394</v>
      </c>
      <c r="R238" s="53" t="s">
        <v>394</v>
      </c>
      <c r="S238" s="53" t="s">
        <v>394</v>
      </c>
      <c r="T238" s="55" t="s">
        <v>394</v>
      </c>
      <c r="U238" s="53">
        <f>'Расчет субсидий'!Z240-1</f>
        <v>0.20664859981933148</v>
      </c>
      <c r="V238" s="53">
        <f>U238*'Расчет субсидий'!AA240</f>
        <v>3.0997289972899722</v>
      </c>
      <c r="W238" s="54">
        <f t="shared" si="22"/>
        <v>32.470530681031612</v>
      </c>
      <c r="X238" s="56">
        <f t="shared" si="23"/>
        <v>2.2980508543002038</v>
      </c>
    </row>
    <row r="239" spans="1:24" ht="15" customHeight="1">
      <c r="A239" s="60" t="s">
        <v>221</v>
      </c>
      <c r="B239" s="61"/>
      <c r="C239" s="62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</row>
    <row r="240" spans="1:24" ht="15" customHeight="1">
      <c r="A240" s="64" t="s">
        <v>222</v>
      </c>
      <c r="B240" s="52">
        <f>'Расчет субсидий'!AF242</f>
        <v>-69.18181818181813</v>
      </c>
      <c r="C240" s="53">
        <f>'Расчет субсидий'!D242-1</f>
        <v>-3.9355322338830545E-2</v>
      </c>
      <c r="D240" s="53">
        <f>C240*'Расчет субсидий'!E242</f>
        <v>-0.59032983508245818</v>
      </c>
      <c r="E240" s="54">
        <f t="shared" si="19"/>
        <v>-7.0748762267630996</v>
      </c>
      <c r="F240" s="53">
        <f>'Расчет субсидий'!F242-1</f>
        <v>0</v>
      </c>
      <c r="G240" s="53">
        <f>F240*'Расчет субсидий'!G242</f>
        <v>0</v>
      </c>
      <c r="H240" s="54">
        <f t="shared" si="20"/>
        <v>0</v>
      </c>
      <c r="I240" s="53">
        <f>'Расчет субсидий'!J242-1</f>
        <v>-0.10155555555555551</v>
      </c>
      <c r="J240" s="53">
        <f>I240*'Расчет субсидий'!K242</f>
        <v>-1.0155555555555551</v>
      </c>
      <c r="K240" s="54">
        <f t="shared" si="21"/>
        <v>-12.171043084674158</v>
      </c>
      <c r="L240" s="53" t="s">
        <v>394</v>
      </c>
      <c r="M240" s="53" t="s">
        <v>394</v>
      </c>
      <c r="N240" s="55" t="s">
        <v>394</v>
      </c>
      <c r="O240" s="53" t="s">
        <v>394</v>
      </c>
      <c r="P240" s="53" t="s">
        <v>394</v>
      </c>
      <c r="Q240" s="55" t="s">
        <v>394</v>
      </c>
      <c r="R240" s="53" t="s">
        <v>394</v>
      </c>
      <c r="S240" s="53" t="s">
        <v>394</v>
      </c>
      <c r="T240" s="55" t="s">
        <v>394</v>
      </c>
      <c r="U240" s="53">
        <f>'Расчет субсидий'!Z242-1</f>
        <v>-0.27777777777777779</v>
      </c>
      <c r="V240" s="53">
        <f>U240*'Расчет субсидий'!AA242</f>
        <v>-4.166666666666667</v>
      </c>
      <c r="W240" s="54">
        <f t="shared" si="22"/>
        <v>-49.935898870380875</v>
      </c>
      <c r="X240" s="56">
        <f t="shared" si="23"/>
        <v>-5.7725520573046802</v>
      </c>
    </row>
    <row r="241" spans="1:24" ht="15" customHeight="1">
      <c r="A241" s="64" t="s">
        <v>223</v>
      </c>
      <c r="B241" s="52">
        <f>'Расчет субсидий'!AF243</f>
        <v>-32.800000000000011</v>
      </c>
      <c r="C241" s="53">
        <f>'Расчет субсидий'!D243-1</f>
        <v>6.7161104243922631E-2</v>
      </c>
      <c r="D241" s="53">
        <f>C241*'Расчет субсидий'!E243</f>
        <v>1.0074165636588395</v>
      </c>
      <c r="E241" s="54">
        <f t="shared" si="19"/>
        <v>7.9149225114782134</v>
      </c>
      <c r="F241" s="53">
        <f>'Расчет субсидий'!F243-1</f>
        <v>0</v>
      </c>
      <c r="G241" s="53">
        <f>F241*'Расчет субсидий'!G243</f>
        <v>0</v>
      </c>
      <c r="H241" s="54">
        <f t="shared" si="20"/>
        <v>0</v>
      </c>
      <c r="I241" s="53">
        <f>'Расчет субсидий'!J243-1</f>
        <v>-0.10155555555555551</v>
      </c>
      <c r="J241" s="53">
        <f>I241*'Расчет субсидий'!K243</f>
        <v>-1.0155555555555551</v>
      </c>
      <c r="K241" s="54">
        <f t="shared" si="21"/>
        <v>-7.9788677477468024</v>
      </c>
      <c r="L241" s="53" t="s">
        <v>394</v>
      </c>
      <c r="M241" s="53" t="s">
        <v>394</v>
      </c>
      <c r="N241" s="55" t="s">
        <v>394</v>
      </c>
      <c r="O241" s="53" t="s">
        <v>394</v>
      </c>
      <c r="P241" s="53" t="s">
        <v>394</v>
      </c>
      <c r="Q241" s="55" t="s">
        <v>394</v>
      </c>
      <c r="R241" s="53" t="s">
        <v>394</v>
      </c>
      <c r="S241" s="53" t="s">
        <v>394</v>
      </c>
      <c r="T241" s="55" t="s">
        <v>394</v>
      </c>
      <c r="U241" s="53">
        <f>'Расчет субсидий'!Z243-1</f>
        <v>-0.27777777777777779</v>
      </c>
      <c r="V241" s="53">
        <f>U241*'Расчет субсидий'!AA243</f>
        <v>-4.166666666666667</v>
      </c>
      <c r="W241" s="54">
        <f t="shared" si="22"/>
        <v>-32.736054763731424</v>
      </c>
      <c r="X241" s="56">
        <f t="shared" si="23"/>
        <v>-4.1748056585633826</v>
      </c>
    </row>
    <row r="242" spans="1:24" ht="15" customHeight="1">
      <c r="A242" s="64" t="s">
        <v>224</v>
      </c>
      <c r="B242" s="52">
        <f>'Расчет субсидий'!AF244</f>
        <v>-197.32727272727277</v>
      </c>
      <c r="C242" s="53">
        <f>'Расчет субсидий'!D244-1</f>
        <v>-0.57627517964424557</v>
      </c>
      <c r="D242" s="53">
        <f>C242*'Расчет субсидий'!E244</f>
        <v>-8.644127694663684</v>
      </c>
      <c r="E242" s="54">
        <f t="shared" si="19"/>
        <v>-123.36749419390149</v>
      </c>
      <c r="F242" s="53">
        <f>'Расчет субсидий'!F244-1</f>
        <v>0</v>
      </c>
      <c r="G242" s="53">
        <f>F242*'Расчет субсидий'!G244</f>
        <v>0</v>
      </c>
      <c r="H242" s="54">
        <f t="shared" si="20"/>
        <v>0</v>
      </c>
      <c r="I242" s="53">
        <f>'Расчет субсидий'!J244-1</f>
        <v>-0.10155555555555551</v>
      </c>
      <c r="J242" s="53">
        <f>I242*'Расчет субсидий'!K244</f>
        <v>-1.0155555555555551</v>
      </c>
      <c r="K242" s="54">
        <f t="shared" si="21"/>
        <v>-14.493833100236131</v>
      </c>
      <c r="L242" s="53" t="s">
        <v>394</v>
      </c>
      <c r="M242" s="53" t="s">
        <v>394</v>
      </c>
      <c r="N242" s="55" t="s">
        <v>394</v>
      </c>
      <c r="O242" s="53" t="s">
        <v>394</v>
      </c>
      <c r="P242" s="53" t="s">
        <v>394</v>
      </c>
      <c r="Q242" s="55" t="s">
        <v>394</v>
      </c>
      <c r="R242" s="53" t="s">
        <v>394</v>
      </c>
      <c r="S242" s="53" t="s">
        <v>394</v>
      </c>
      <c r="T242" s="55" t="s">
        <v>394</v>
      </c>
      <c r="U242" s="53">
        <f>'Расчет субсидий'!Z244-1</f>
        <v>-0.27777777777777779</v>
      </c>
      <c r="V242" s="53">
        <f>U242*'Расчет субсидий'!AA244</f>
        <v>-4.166666666666667</v>
      </c>
      <c r="W242" s="54">
        <f t="shared" si="22"/>
        <v>-59.465945433135147</v>
      </c>
      <c r="X242" s="56">
        <f t="shared" si="23"/>
        <v>-13.826349916885906</v>
      </c>
    </row>
    <row r="243" spans="1:24" ht="15" customHeight="1">
      <c r="A243" s="64" t="s">
        <v>225</v>
      </c>
      <c r="B243" s="52">
        <f>'Расчет субсидий'!AF245</f>
        <v>-7.1636363636363853</v>
      </c>
      <c r="C243" s="53">
        <f>'Расчет субсидий'!D245-1</f>
        <v>0.28126818849285806</v>
      </c>
      <c r="D243" s="53">
        <f>C243*'Расчет субсидий'!E245</f>
        <v>4.2190228273928714</v>
      </c>
      <c r="E243" s="54">
        <f t="shared" si="19"/>
        <v>31.378285231043201</v>
      </c>
      <c r="F243" s="53">
        <f>'Расчет субсидий'!F245-1</f>
        <v>0</v>
      </c>
      <c r="G243" s="53">
        <f>F243*'Расчет субсидий'!G245</f>
        <v>0</v>
      </c>
      <c r="H243" s="54">
        <f t="shared" si="20"/>
        <v>0</v>
      </c>
      <c r="I243" s="53">
        <f>'Расчет субсидий'!J245-1</f>
        <v>-0.10155555555555551</v>
      </c>
      <c r="J243" s="53">
        <f>I243*'Расчет субсидий'!K245</f>
        <v>-1.0155555555555551</v>
      </c>
      <c r="K243" s="54">
        <f t="shared" si="21"/>
        <v>-7.5530266589916648</v>
      </c>
      <c r="L243" s="53" t="s">
        <v>394</v>
      </c>
      <c r="M243" s="53" t="s">
        <v>394</v>
      </c>
      <c r="N243" s="55" t="s">
        <v>394</v>
      </c>
      <c r="O243" s="53" t="s">
        <v>394</v>
      </c>
      <c r="P243" s="53" t="s">
        <v>394</v>
      </c>
      <c r="Q243" s="55" t="s">
        <v>394</v>
      </c>
      <c r="R243" s="53" t="s">
        <v>394</v>
      </c>
      <c r="S243" s="53" t="s">
        <v>394</v>
      </c>
      <c r="T243" s="55" t="s">
        <v>394</v>
      </c>
      <c r="U243" s="53">
        <f>'Расчет субсидий'!Z245-1</f>
        <v>-0.27777777777777779</v>
      </c>
      <c r="V243" s="53">
        <f>U243*'Расчет субсидий'!AA245</f>
        <v>-4.166666666666667</v>
      </c>
      <c r="W243" s="54">
        <f t="shared" si="22"/>
        <v>-30.988894935687917</v>
      </c>
      <c r="X243" s="56">
        <f t="shared" si="23"/>
        <v>-0.96319939482935091</v>
      </c>
    </row>
    <row r="244" spans="1:24" ht="15" customHeight="1">
      <c r="A244" s="64" t="s">
        <v>226</v>
      </c>
      <c r="B244" s="52">
        <f>'Расчет субсидий'!AF246</f>
        <v>-10.081818181818164</v>
      </c>
      <c r="C244" s="53">
        <f>'Расчет субсидий'!D246-1</f>
        <v>0.2537272727272728</v>
      </c>
      <c r="D244" s="53">
        <f>C244*'Расчет субсидий'!E246</f>
        <v>3.805909090909092</v>
      </c>
      <c r="E244" s="54">
        <f t="shared" si="19"/>
        <v>27.879181414526894</v>
      </c>
      <c r="F244" s="53">
        <f>'Расчет субсидий'!F246-1</f>
        <v>0</v>
      </c>
      <c r="G244" s="53">
        <f>F244*'Расчет субсидий'!G246</f>
        <v>0</v>
      </c>
      <c r="H244" s="54">
        <f t="shared" si="20"/>
        <v>0</v>
      </c>
      <c r="I244" s="53">
        <f>'Расчет субсидий'!J246-1</f>
        <v>-0.10155555555555551</v>
      </c>
      <c r="J244" s="53">
        <f>I244*'Расчет субсидий'!K246</f>
        <v>-1.0155555555555551</v>
      </c>
      <c r="K244" s="54">
        <f t="shared" si="21"/>
        <v>-7.4391838831602426</v>
      </c>
      <c r="L244" s="53" t="s">
        <v>394</v>
      </c>
      <c r="M244" s="53" t="s">
        <v>394</v>
      </c>
      <c r="N244" s="55" t="s">
        <v>394</v>
      </c>
      <c r="O244" s="53" t="s">
        <v>394</v>
      </c>
      <c r="P244" s="53" t="s">
        <v>394</v>
      </c>
      <c r="Q244" s="55" t="s">
        <v>394</v>
      </c>
      <c r="R244" s="53" t="s">
        <v>394</v>
      </c>
      <c r="S244" s="53" t="s">
        <v>394</v>
      </c>
      <c r="T244" s="55" t="s">
        <v>394</v>
      </c>
      <c r="U244" s="53">
        <f>'Расчет субсидий'!Z246-1</f>
        <v>-0.27777777777777779</v>
      </c>
      <c r="V244" s="53">
        <f>U244*'Расчет субсидий'!AA246</f>
        <v>-4.166666666666667</v>
      </c>
      <c r="W244" s="54">
        <f t="shared" si="22"/>
        <v>-30.521815713184818</v>
      </c>
      <c r="X244" s="56">
        <f t="shared" si="23"/>
        <v>-1.3763131313131298</v>
      </c>
    </row>
    <row r="245" spans="1:24" ht="15" customHeight="1">
      <c r="A245" s="64" t="s">
        <v>227</v>
      </c>
      <c r="B245" s="52">
        <f>'Расчет субсидий'!AF247</f>
        <v>-25.200000000000045</v>
      </c>
      <c r="C245" s="53">
        <f>'Расчет субсидий'!D247-1</f>
        <v>0.21958956238108174</v>
      </c>
      <c r="D245" s="53">
        <f>C245*'Расчет субсидий'!E247</f>
        <v>3.2938434357162261</v>
      </c>
      <c r="E245" s="54">
        <f t="shared" si="19"/>
        <v>43.955616941466573</v>
      </c>
      <c r="F245" s="53">
        <f>'Расчет субсидий'!F247-1</f>
        <v>0</v>
      </c>
      <c r="G245" s="53">
        <f>F245*'Расчет субсидий'!G247</f>
        <v>0</v>
      </c>
      <c r="H245" s="54">
        <f t="shared" si="20"/>
        <v>0</v>
      </c>
      <c r="I245" s="53">
        <f>'Расчет субсидий'!J247-1</f>
        <v>-0.10155555555555551</v>
      </c>
      <c r="J245" s="53">
        <f>I245*'Расчет субсидий'!K247</f>
        <v>-1.0155555555555551</v>
      </c>
      <c r="K245" s="54">
        <f t="shared" si="21"/>
        <v>-13.552365755681919</v>
      </c>
      <c r="L245" s="53" t="s">
        <v>394</v>
      </c>
      <c r="M245" s="53" t="s">
        <v>394</v>
      </c>
      <c r="N245" s="55" t="s">
        <v>394</v>
      </c>
      <c r="O245" s="53" t="s">
        <v>394</v>
      </c>
      <c r="P245" s="53" t="s">
        <v>394</v>
      </c>
      <c r="Q245" s="55" t="s">
        <v>394</v>
      </c>
      <c r="R245" s="53" t="s">
        <v>394</v>
      </c>
      <c r="S245" s="53" t="s">
        <v>394</v>
      </c>
      <c r="T245" s="55" t="s">
        <v>394</v>
      </c>
      <c r="U245" s="53">
        <f>'Расчет субсидий'!Z247-1</f>
        <v>-0.27777777777777779</v>
      </c>
      <c r="V245" s="53">
        <f>U245*'Расчет субсидий'!AA247</f>
        <v>-4.166666666666667</v>
      </c>
      <c r="W245" s="54">
        <f t="shared" si="22"/>
        <v>-55.603251185784707</v>
      </c>
      <c r="X245" s="56">
        <f t="shared" si="23"/>
        <v>-1.8883787865059958</v>
      </c>
    </row>
    <row r="246" spans="1:24" ht="15" customHeight="1">
      <c r="A246" s="64" t="s">
        <v>228</v>
      </c>
      <c r="B246" s="52">
        <f>'Расчет субсидий'!AF248</f>
        <v>-123.4545454545455</v>
      </c>
      <c r="C246" s="53">
        <f>'Расчет субсидий'!D248-1</f>
        <v>1.6355140186915973E-2</v>
      </c>
      <c r="D246" s="53">
        <f>C246*'Расчет субсидий'!E248</f>
        <v>0.24532710280373959</v>
      </c>
      <c r="E246" s="54">
        <f t="shared" si="19"/>
        <v>6.1347760549314057</v>
      </c>
      <c r="F246" s="53">
        <f>'Расчет субсидий'!F248-1</f>
        <v>0</v>
      </c>
      <c r="G246" s="53">
        <f>F246*'Расчет субсидий'!G248</f>
        <v>0</v>
      </c>
      <c r="H246" s="54">
        <f t="shared" si="20"/>
        <v>0</v>
      </c>
      <c r="I246" s="53">
        <f>'Расчет субсидий'!J248-1</f>
        <v>-0.10155555555555551</v>
      </c>
      <c r="J246" s="53">
        <f>I246*'Расчет субсидий'!K248</f>
        <v>-1.0155555555555551</v>
      </c>
      <c r="K246" s="54">
        <f t="shared" si="21"/>
        <v>-25.395505973340875</v>
      </c>
      <c r="L246" s="53" t="s">
        <v>394</v>
      </c>
      <c r="M246" s="53" t="s">
        <v>394</v>
      </c>
      <c r="N246" s="55" t="s">
        <v>394</v>
      </c>
      <c r="O246" s="53" t="s">
        <v>394</v>
      </c>
      <c r="P246" s="53" t="s">
        <v>394</v>
      </c>
      <c r="Q246" s="55" t="s">
        <v>394</v>
      </c>
      <c r="R246" s="53" t="s">
        <v>394</v>
      </c>
      <c r="S246" s="53" t="s">
        <v>394</v>
      </c>
      <c r="T246" s="55" t="s">
        <v>394</v>
      </c>
      <c r="U246" s="53">
        <f>'Расчет субсидий'!Z248-1</f>
        <v>-0.27777777777777779</v>
      </c>
      <c r="V246" s="53">
        <f>U246*'Расчет субсидий'!AA248</f>
        <v>-4.166666666666667</v>
      </c>
      <c r="W246" s="54">
        <f t="shared" si="22"/>
        <v>-104.19381553613604</v>
      </c>
      <c r="X246" s="56">
        <f t="shared" si="23"/>
        <v>-4.936895119418482</v>
      </c>
    </row>
    <row r="247" spans="1:24" ht="15" customHeight="1">
      <c r="A247" s="64" t="s">
        <v>229</v>
      </c>
      <c r="B247" s="52">
        <f>'Расчет субсидий'!AF249</f>
        <v>-7.4818181818181984</v>
      </c>
      <c r="C247" s="53">
        <f>'Расчет субсидий'!D249-1</f>
        <v>0.22394543546694656</v>
      </c>
      <c r="D247" s="53">
        <f>C247*'Расчет субсидий'!E249</f>
        <v>3.3591815320041984</v>
      </c>
      <c r="E247" s="54">
        <f t="shared" si="19"/>
        <v>13.786190070815811</v>
      </c>
      <c r="F247" s="53">
        <f>'Расчет субсидий'!F249-1</f>
        <v>0</v>
      </c>
      <c r="G247" s="53">
        <f>F247*'Расчет субсидий'!G249</f>
        <v>0</v>
      </c>
      <c r="H247" s="54">
        <f t="shared" si="20"/>
        <v>0</v>
      </c>
      <c r="I247" s="53">
        <f>'Расчет субсидий'!J249-1</f>
        <v>-0.10155555555555551</v>
      </c>
      <c r="J247" s="53">
        <f>I247*'Расчет субсидий'!K249</f>
        <v>-1.0155555555555551</v>
      </c>
      <c r="K247" s="54">
        <f t="shared" si="21"/>
        <v>-4.1678729723214998</v>
      </c>
      <c r="L247" s="53" t="s">
        <v>394</v>
      </c>
      <c r="M247" s="53" t="s">
        <v>394</v>
      </c>
      <c r="N247" s="55" t="s">
        <v>394</v>
      </c>
      <c r="O247" s="53" t="s">
        <v>394</v>
      </c>
      <c r="P247" s="53" t="s">
        <v>394</v>
      </c>
      <c r="Q247" s="55" t="s">
        <v>394</v>
      </c>
      <c r="R247" s="53" t="s">
        <v>394</v>
      </c>
      <c r="S247" s="53" t="s">
        <v>394</v>
      </c>
      <c r="T247" s="55" t="s">
        <v>394</v>
      </c>
      <c r="U247" s="53">
        <f>'Расчет субсидий'!Z249-1</f>
        <v>-0.27777777777777779</v>
      </c>
      <c r="V247" s="53">
        <f>U247*'Расчет субсидий'!AA249</f>
        <v>-4.166666666666667</v>
      </c>
      <c r="W247" s="54">
        <f t="shared" si="22"/>
        <v>-17.100135280312507</v>
      </c>
      <c r="X247" s="56">
        <f t="shared" si="23"/>
        <v>-1.8230406902180238</v>
      </c>
    </row>
    <row r="248" spans="1:24" ht="15" customHeight="1">
      <c r="A248" s="60" t="s">
        <v>230</v>
      </c>
      <c r="B248" s="61"/>
      <c r="C248" s="62"/>
      <c r="D248" s="62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</row>
    <row r="249" spans="1:24" ht="15" customHeight="1">
      <c r="A249" s="64" t="s">
        <v>231</v>
      </c>
      <c r="B249" s="52">
        <f>'Расчет субсидий'!AF251</f>
        <v>55.472727272727298</v>
      </c>
      <c r="C249" s="53">
        <f>'Расчет субсидий'!D251-1</f>
        <v>0.2490968955785513</v>
      </c>
      <c r="D249" s="53">
        <f>C249*'Расчет субсидий'!E251</f>
        <v>3.7364534336782693</v>
      </c>
      <c r="E249" s="54">
        <f t="shared" ref="E249:E312" si="24">$B249*D249/$X249</f>
        <v>48.376548940052125</v>
      </c>
      <c r="F249" s="53">
        <f>'Расчет субсидий'!F251-1</f>
        <v>0</v>
      </c>
      <c r="G249" s="53">
        <f>F249*'Расчет субсидий'!G251</f>
        <v>0</v>
      </c>
      <c r="H249" s="54">
        <f t="shared" ref="H249:H312" si="25">$B249*G249/$X249</f>
        <v>0</v>
      </c>
      <c r="I249" s="53">
        <f>'Расчет субсидий'!J251-1</f>
        <v>-7.3762765121759721E-2</v>
      </c>
      <c r="J249" s="53">
        <f>I249*'Расчет субсидий'!K251</f>
        <v>-0.73762765121759721</v>
      </c>
      <c r="K249" s="54">
        <f t="shared" ref="K249:K312" si="26">$B249*J249/$X249</f>
        <v>-9.5502006921937159</v>
      </c>
      <c r="L249" s="53" t="s">
        <v>394</v>
      </c>
      <c r="M249" s="53" t="s">
        <v>394</v>
      </c>
      <c r="N249" s="55" t="s">
        <v>394</v>
      </c>
      <c r="O249" s="53" t="s">
        <v>394</v>
      </c>
      <c r="P249" s="53" t="s">
        <v>394</v>
      </c>
      <c r="Q249" s="55" t="s">
        <v>394</v>
      </c>
      <c r="R249" s="53" t="s">
        <v>394</v>
      </c>
      <c r="S249" s="53" t="s">
        <v>394</v>
      </c>
      <c r="T249" s="55" t="s">
        <v>394</v>
      </c>
      <c r="U249" s="53">
        <f>'Расчет субсидий'!Z251-1</f>
        <v>8.5714285714285632E-2</v>
      </c>
      <c r="V249" s="53">
        <f>U249*'Расчет субсидий'!AA251</f>
        <v>1.2857142857142845</v>
      </c>
      <c r="W249" s="54">
        <f t="shared" ref="W249:W312" si="27">$B249*V249/$X249</f>
        <v>16.646379024868878</v>
      </c>
      <c r="X249" s="56">
        <f t="shared" ref="X249:X312" si="28">D249+G249+J249+V249</f>
        <v>4.284540068174957</v>
      </c>
    </row>
    <row r="250" spans="1:24" ht="15" customHeight="1">
      <c r="A250" s="64" t="s">
        <v>232</v>
      </c>
      <c r="B250" s="52">
        <f>'Расчет субсидий'!AF252</f>
        <v>-1.3272727272727707</v>
      </c>
      <c r="C250" s="53">
        <f>'Расчет субсидий'!D252-1</f>
        <v>-4.2857142857142816E-2</v>
      </c>
      <c r="D250" s="53">
        <f>C250*'Расчет субсидий'!E252</f>
        <v>-0.64285714285714224</v>
      </c>
      <c r="E250" s="54">
        <f t="shared" si="24"/>
        <v>-9.0032940416600837</v>
      </c>
      <c r="F250" s="53">
        <f>'Расчет субсидий'!F252-1</f>
        <v>0</v>
      </c>
      <c r="G250" s="53">
        <f>F250*'Расчет субсидий'!G252</f>
        <v>0</v>
      </c>
      <c r="H250" s="54">
        <f t="shared" si="25"/>
        <v>0</v>
      </c>
      <c r="I250" s="53">
        <f>'Расчет субсидий'!J252-1</f>
        <v>-7.3762765121759721E-2</v>
      </c>
      <c r="J250" s="53">
        <f>I250*'Расчет субсидий'!K252</f>
        <v>-0.73762765121759721</v>
      </c>
      <c r="K250" s="54">
        <f t="shared" si="26"/>
        <v>-10.330566768932854</v>
      </c>
      <c r="L250" s="53" t="s">
        <v>394</v>
      </c>
      <c r="M250" s="53" t="s">
        <v>394</v>
      </c>
      <c r="N250" s="55" t="s">
        <v>394</v>
      </c>
      <c r="O250" s="53" t="s">
        <v>394</v>
      </c>
      <c r="P250" s="53" t="s">
        <v>394</v>
      </c>
      <c r="Q250" s="55" t="s">
        <v>394</v>
      </c>
      <c r="R250" s="53" t="s">
        <v>394</v>
      </c>
      <c r="S250" s="53" t="s">
        <v>394</v>
      </c>
      <c r="T250" s="55" t="s">
        <v>394</v>
      </c>
      <c r="U250" s="53">
        <f>'Расчет субсидий'!Z252-1</f>
        <v>8.5714285714285632E-2</v>
      </c>
      <c r="V250" s="53">
        <f>U250*'Расчет субсидий'!AA252</f>
        <v>1.2857142857142845</v>
      </c>
      <c r="W250" s="54">
        <f t="shared" si="27"/>
        <v>18.006588083320167</v>
      </c>
      <c r="X250" s="56">
        <f t="shared" si="28"/>
        <v>-9.4770508360454864E-2</v>
      </c>
    </row>
    <row r="251" spans="1:24" ht="15" customHeight="1">
      <c r="A251" s="64" t="s">
        <v>233</v>
      </c>
      <c r="B251" s="52">
        <f>'Расчет субсидий'!AF253</f>
        <v>-24.854545454545473</v>
      </c>
      <c r="C251" s="53">
        <f>'Расчет субсидий'!D253-1</f>
        <v>-0.18910705937353911</v>
      </c>
      <c r="D251" s="53">
        <f>C251*'Расчет субсидий'!E253</f>
        <v>-2.8366058906030869</v>
      </c>
      <c r="E251" s="54">
        <f t="shared" si="24"/>
        <v>-30.807060004632103</v>
      </c>
      <c r="F251" s="53">
        <f>'Расчет субсидий'!F253-1</f>
        <v>0</v>
      </c>
      <c r="G251" s="53">
        <f>F251*'Расчет субсидий'!G253</f>
        <v>0</v>
      </c>
      <c r="H251" s="54">
        <f t="shared" si="25"/>
        <v>0</v>
      </c>
      <c r="I251" s="53">
        <f>'Расчет субсидий'!J253-1</f>
        <v>-7.3762765121759721E-2</v>
      </c>
      <c r="J251" s="53">
        <f>I251*'Расчет субсидий'!K253</f>
        <v>-0.73762765121759721</v>
      </c>
      <c r="K251" s="54">
        <f t="shared" si="26"/>
        <v>-8.0110315597296502</v>
      </c>
      <c r="L251" s="53" t="s">
        <v>394</v>
      </c>
      <c r="M251" s="53" t="s">
        <v>394</v>
      </c>
      <c r="N251" s="55" t="s">
        <v>394</v>
      </c>
      <c r="O251" s="53" t="s">
        <v>394</v>
      </c>
      <c r="P251" s="53" t="s">
        <v>394</v>
      </c>
      <c r="Q251" s="55" t="s">
        <v>394</v>
      </c>
      <c r="R251" s="53" t="s">
        <v>394</v>
      </c>
      <c r="S251" s="53" t="s">
        <v>394</v>
      </c>
      <c r="T251" s="55" t="s">
        <v>394</v>
      </c>
      <c r="U251" s="53">
        <f>'Расчет субсидий'!Z253-1</f>
        <v>8.5714285714285632E-2</v>
      </c>
      <c r="V251" s="53">
        <f>U251*'Расчет субсидий'!AA253</f>
        <v>1.2857142857142845</v>
      </c>
      <c r="W251" s="54">
        <f t="shared" si="27"/>
        <v>13.963546109816276</v>
      </c>
      <c r="X251" s="56">
        <f t="shared" si="28"/>
        <v>-2.2885192561063992</v>
      </c>
    </row>
    <row r="252" spans="1:24" ht="15" customHeight="1">
      <c r="A252" s="64" t="s">
        <v>234</v>
      </c>
      <c r="B252" s="52">
        <f>'Расчет субсидий'!AF254</f>
        <v>-18.68181818181813</v>
      </c>
      <c r="C252" s="53">
        <f>'Расчет субсидий'!D254-1</f>
        <v>-0.12514585764294062</v>
      </c>
      <c r="D252" s="53">
        <f>C252*'Расчет субсидий'!E254</f>
        <v>-1.8771878646441094</v>
      </c>
      <c r="E252" s="54">
        <f t="shared" si="24"/>
        <v>-26.385712077406506</v>
      </c>
      <c r="F252" s="53">
        <f>'Расчет субсидий'!F254-1</f>
        <v>0</v>
      </c>
      <c r="G252" s="53">
        <f>F252*'Расчет субсидий'!G254</f>
        <v>0</v>
      </c>
      <c r="H252" s="54">
        <f t="shared" si="25"/>
        <v>0</v>
      </c>
      <c r="I252" s="53">
        <f>'Расчет субсидий'!J254-1</f>
        <v>-7.3762765121759721E-2</v>
      </c>
      <c r="J252" s="53">
        <f>I252*'Расчет субсидий'!K254</f>
        <v>-0.73762765121759721</v>
      </c>
      <c r="K252" s="54">
        <f t="shared" si="26"/>
        <v>-10.368078332453448</v>
      </c>
      <c r="L252" s="53" t="s">
        <v>394</v>
      </c>
      <c r="M252" s="53" t="s">
        <v>394</v>
      </c>
      <c r="N252" s="55" t="s">
        <v>394</v>
      </c>
      <c r="O252" s="53" t="s">
        <v>394</v>
      </c>
      <c r="P252" s="53" t="s">
        <v>394</v>
      </c>
      <c r="Q252" s="55" t="s">
        <v>394</v>
      </c>
      <c r="R252" s="53" t="s">
        <v>394</v>
      </c>
      <c r="S252" s="53" t="s">
        <v>394</v>
      </c>
      <c r="T252" s="55" t="s">
        <v>394</v>
      </c>
      <c r="U252" s="53">
        <f>'Расчет субсидий'!Z254-1</f>
        <v>8.5714285714285632E-2</v>
      </c>
      <c r="V252" s="53">
        <f>U252*'Расчет субсидий'!AA254</f>
        <v>1.2857142857142845</v>
      </c>
      <c r="W252" s="54">
        <f t="shared" si="27"/>
        <v>18.071972228041819</v>
      </c>
      <c r="X252" s="56">
        <f t="shared" si="28"/>
        <v>-1.3291012301474219</v>
      </c>
    </row>
    <row r="253" spans="1:24" ht="15" customHeight="1">
      <c r="A253" s="64" t="s">
        <v>235</v>
      </c>
      <c r="B253" s="52">
        <f>'Расчет субсидий'!AF255</f>
        <v>57.063636363636419</v>
      </c>
      <c r="C253" s="53">
        <f>'Расчет субсидий'!D255-1</f>
        <v>0.30000000000000004</v>
      </c>
      <c r="D253" s="53">
        <f>C253*'Расчет субсидий'!E255</f>
        <v>4.5000000000000009</v>
      </c>
      <c r="E253" s="54">
        <f t="shared" si="24"/>
        <v>50.868057984897561</v>
      </c>
      <c r="F253" s="53">
        <f>'Расчет субсидий'!F255-1</f>
        <v>0</v>
      </c>
      <c r="G253" s="53">
        <f>F253*'Расчет субсидий'!G255</f>
        <v>0</v>
      </c>
      <c r="H253" s="54">
        <f t="shared" si="25"/>
        <v>0</v>
      </c>
      <c r="I253" s="53">
        <f>'Расчет субсидий'!J255-1</f>
        <v>-7.3762765121759721E-2</v>
      </c>
      <c r="J253" s="53">
        <f>I253*'Расчет субсидий'!K255</f>
        <v>-0.73762765121759721</v>
      </c>
      <c r="K253" s="54">
        <f t="shared" si="26"/>
        <v>-8.3381524740890036</v>
      </c>
      <c r="L253" s="53" t="s">
        <v>394</v>
      </c>
      <c r="M253" s="53" t="s">
        <v>394</v>
      </c>
      <c r="N253" s="55" t="s">
        <v>394</v>
      </c>
      <c r="O253" s="53" t="s">
        <v>394</v>
      </c>
      <c r="P253" s="53" t="s">
        <v>394</v>
      </c>
      <c r="Q253" s="55" t="s">
        <v>394</v>
      </c>
      <c r="R253" s="53" t="s">
        <v>394</v>
      </c>
      <c r="S253" s="53" t="s">
        <v>394</v>
      </c>
      <c r="T253" s="55" t="s">
        <v>394</v>
      </c>
      <c r="U253" s="53">
        <f>'Расчет субсидий'!Z255-1</f>
        <v>8.5714285714285632E-2</v>
      </c>
      <c r="V253" s="53">
        <f>U253*'Расчет субсидий'!AA255</f>
        <v>1.2857142857142845</v>
      </c>
      <c r="W253" s="54">
        <f t="shared" si="27"/>
        <v>14.533730852827858</v>
      </c>
      <c r="X253" s="56">
        <f t="shared" si="28"/>
        <v>5.0480866344966886</v>
      </c>
    </row>
    <row r="254" spans="1:24" ht="15" customHeight="1">
      <c r="A254" s="64" t="s">
        <v>236</v>
      </c>
      <c r="B254" s="52">
        <f>'Расчет субсидий'!AF256</f>
        <v>55.418181818181893</v>
      </c>
      <c r="C254" s="53">
        <f>'Расчет субсидий'!D256-1</f>
        <v>0.24013480982185831</v>
      </c>
      <c r="D254" s="53">
        <f>C254*'Расчет субсидий'!E256</f>
        <v>3.6020221473278746</v>
      </c>
      <c r="E254" s="54">
        <f t="shared" si="24"/>
        <v>48.099346009425297</v>
      </c>
      <c r="F254" s="53">
        <f>'Расчет субсидий'!F256-1</f>
        <v>0</v>
      </c>
      <c r="G254" s="53">
        <f>F254*'Расчет субсидий'!G256</f>
        <v>0</v>
      </c>
      <c r="H254" s="54">
        <f t="shared" si="25"/>
        <v>0</v>
      </c>
      <c r="I254" s="53">
        <f>'Расчет субсидий'!J256-1</f>
        <v>-7.3762765121759721E-2</v>
      </c>
      <c r="J254" s="53">
        <f>I254*'Расчет субсидий'!K256</f>
        <v>-0.73762765121759721</v>
      </c>
      <c r="K254" s="54">
        <f t="shared" si="26"/>
        <v>-9.8498582659617853</v>
      </c>
      <c r="L254" s="53" t="s">
        <v>394</v>
      </c>
      <c r="M254" s="53" t="s">
        <v>394</v>
      </c>
      <c r="N254" s="55" t="s">
        <v>394</v>
      </c>
      <c r="O254" s="53" t="s">
        <v>394</v>
      </c>
      <c r="P254" s="53" t="s">
        <v>394</v>
      </c>
      <c r="Q254" s="55" t="s">
        <v>394</v>
      </c>
      <c r="R254" s="53" t="s">
        <v>394</v>
      </c>
      <c r="S254" s="53" t="s">
        <v>394</v>
      </c>
      <c r="T254" s="55" t="s">
        <v>394</v>
      </c>
      <c r="U254" s="53">
        <f>'Расчет субсидий'!Z256-1</f>
        <v>8.5714285714285632E-2</v>
      </c>
      <c r="V254" s="53">
        <f>U254*'Расчет субсидий'!AA256</f>
        <v>1.2857142857142845</v>
      </c>
      <c r="W254" s="54">
        <f t="shared" si="27"/>
        <v>17.168694074718381</v>
      </c>
      <c r="X254" s="56">
        <f t="shared" si="28"/>
        <v>4.1501087818245619</v>
      </c>
    </row>
    <row r="255" spans="1:24" ht="15" customHeight="1">
      <c r="A255" s="64" t="s">
        <v>237</v>
      </c>
      <c r="B255" s="52">
        <f>'Расчет субсидий'!AF257</f>
        <v>55.581818181818107</v>
      </c>
      <c r="C255" s="53">
        <f>'Расчет субсидий'!D257-1</f>
        <v>0.22252894688476377</v>
      </c>
      <c r="D255" s="53">
        <f>C255*'Расчет субсидий'!E257</f>
        <v>3.3379342032714563</v>
      </c>
      <c r="E255" s="54">
        <f t="shared" si="24"/>
        <v>47.742526284460283</v>
      </c>
      <c r="F255" s="53">
        <f>'Расчет субсидий'!F257-1</f>
        <v>0</v>
      </c>
      <c r="G255" s="53">
        <f>F255*'Расчет субсидий'!G257</f>
        <v>0</v>
      </c>
      <c r="H255" s="54">
        <f t="shared" si="25"/>
        <v>0</v>
      </c>
      <c r="I255" s="53">
        <f>'Расчет субсидий'!J257-1</f>
        <v>-7.3762765121759721E-2</v>
      </c>
      <c r="J255" s="53">
        <f>I255*'Расчет субсидий'!K257</f>
        <v>-0.73762765121759721</v>
      </c>
      <c r="K255" s="54">
        <f t="shared" si="26"/>
        <v>-10.550300090363072</v>
      </c>
      <c r="L255" s="53" t="s">
        <v>394</v>
      </c>
      <c r="M255" s="53" t="s">
        <v>394</v>
      </c>
      <c r="N255" s="55" t="s">
        <v>394</v>
      </c>
      <c r="O255" s="53" t="s">
        <v>394</v>
      </c>
      <c r="P255" s="53" t="s">
        <v>394</v>
      </c>
      <c r="Q255" s="55" t="s">
        <v>394</v>
      </c>
      <c r="R255" s="53" t="s">
        <v>394</v>
      </c>
      <c r="S255" s="53" t="s">
        <v>394</v>
      </c>
      <c r="T255" s="55" t="s">
        <v>394</v>
      </c>
      <c r="U255" s="53">
        <f>'Расчет субсидий'!Z257-1</f>
        <v>8.5714285714285632E-2</v>
      </c>
      <c r="V255" s="53">
        <f>U255*'Расчет субсидий'!AA257</f>
        <v>1.2857142857142845</v>
      </c>
      <c r="W255" s="54">
        <f t="shared" si="27"/>
        <v>18.389591987720895</v>
      </c>
      <c r="X255" s="56">
        <f t="shared" si="28"/>
        <v>3.886020837768144</v>
      </c>
    </row>
    <row r="256" spans="1:24" ht="15" customHeight="1">
      <c r="A256" s="64" t="s">
        <v>238</v>
      </c>
      <c r="B256" s="52">
        <f>'Расчет субсидий'!AF258</f>
        <v>38.554545454545519</v>
      </c>
      <c r="C256" s="53">
        <f>'Расчет субсидий'!D258-1</f>
        <v>0.20687213448802844</v>
      </c>
      <c r="D256" s="53">
        <f>C256*'Расчет субсидий'!E258</f>
        <v>3.1030820173204265</v>
      </c>
      <c r="E256" s="54">
        <f t="shared" si="24"/>
        <v>32.767020122837046</v>
      </c>
      <c r="F256" s="53">
        <f>'Расчет субсидий'!F258-1</f>
        <v>0</v>
      </c>
      <c r="G256" s="53">
        <f>F256*'Расчет субсидий'!G258</f>
        <v>0</v>
      </c>
      <c r="H256" s="54">
        <f t="shared" si="25"/>
        <v>0</v>
      </c>
      <c r="I256" s="53">
        <f>'Расчет субсидий'!J258-1</f>
        <v>-7.3762765121759721E-2</v>
      </c>
      <c r="J256" s="53">
        <f>I256*'Расчет субсидий'!K258</f>
        <v>-0.73762765121759721</v>
      </c>
      <c r="K256" s="54">
        <f t="shared" si="26"/>
        <v>-7.7889852590745221</v>
      </c>
      <c r="L256" s="53" t="s">
        <v>394</v>
      </c>
      <c r="M256" s="53" t="s">
        <v>394</v>
      </c>
      <c r="N256" s="55" t="s">
        <v>394</v>
      </c>
      <c r="O256" s="53" t="s">
        <v>394</v>
      </c>
      <c r="P256" s="53" t="s">
        <v>394</v>
      </c>
      <c r="Q256" s="55" t="s">
        <v>394</v>
      </c>
      <c r="R256" s="53" t="s">
        <v>394</v>
      </c>
      <c r="S256" s="53" t="s">
        <v>394</v>
      </c>
      <c r="T256" s="55" t="s">
        <v>394</v>
      </c>
      <c r="U256" s="53">
        <f>'Расчет субсидий'!Z258-1</f>
        <v>8.5714285714285632E-2</v>
      </c>
      <c r="V256" s="53">
        <f>U256*'Расчет субсидий'!AA258</f>
        <v>1.2857142857142845</v>
      </c>
      <c r="W256" s="54">
        <f t="shared" si="27"/>
        <v>13.576510590782989</v>
      </c>
      <c r="X256" s="56">
        <f t="shared" si="28"/>
        <v>3.6511686518171143</v>
      </c>
    </row>
    <row r="257" spans="1:24" ht="15" customHeight="1">
      <c r="A257" s="64" t="s">
        <v>239</v>
      </c>
      <c r="B257" s="52">
        <f>'Расчет субсидий'!AF259</f>
        <v>-10.18181818181813</v>
      </c>
      <c r="C257" s="53">
        <f>'Расчет субсидий'!D259-1</f>
        <v>-8.8511526420643194E-2</v>
      </c>
      <c r="D257" s="53">
        <f>C257*'Расчет субсидий'!E259</f>
        <v>-1.327672896309648</v>
      </c>
      <c r="E257" s="54">
        <f t="shared" si="24"/>
        <v>-17.34012603520711</v>
      </c>
      <c r="F257" s="53">
        <f>'Расчет субсидий'!F259-1</f>
        <v>0</v>
      </c>
      <c r="G257" s="53">
        <f>F257*'Расчет субсидий'!G259</f>
        <v>0</v>
      </c>
      <c r="H257" s="54">
        <f t="shared" si="25"/>
        <v>0</v>
      </c>
      <c r="I257" s="53">
        <f>'Расчет субсидий'!J259-1</f>
        <v>-7.3762765121759721E-2</v>
      </c>
      <c r="J257" s="53">
        <f>I257*'Расчет субсидий'!K259</f>
        <v>-0.73762765121759721</v>
      </c>
      <c r="K257" s="54">
        <f t="shared" si="26"/>
        <v>-9.6338160361027931</v>
      </c>
      <c r="L257" s="53" t="s">
        <v>394</v>
      </c>
      <c r="M257" s="53" t="s">
        <v>394</v>
      </c>
      <c r="N257" s="55" t="s">
        <v>394</v>
      </c>
      <c r="O257" s="53" t="s">
        <v>394</v>
      </c>
      <c r="P257" s="53" t="s">
        <v>394</v>
      </c>
      <c r="Q257" s="55" t="s">
        <v>394</v>
      </c>
      <c r="R257" s="53" t="s">
        <v>394</v>
      </c>
      <c r="S257" s="53" t="s">
        <v>394</v>
      </c>
      <c r="T257" s="55" t="s">
        <v>394</v>
      </c>
      <c r="U257" s="53">
        <f>'Расчет субсидий'!Z259-1</f>
        <v>8.5714285714285632E-2</v>
      </c>
      <c r="V257" s="53">
        <f>U257*'Расчет субсидий'!AA259</f>
        <v>1.2857142857142845</v>
      </c>
      <c r="W257" s="54">
        <f t="shared" si="27"/>
        <v>16.792123889491776</v>
      </c>
      <c r="X257" s="56">
        <f t="shared" si="28"/>
        <v>-0.77958626181296098</v>
      </c>
    </row>
    <row r="258" spans="1:24" ht="15" customHeight="1">
      <c r="A258" s="64" t="s">
        <v>240</v>
      </c>
      <c r="B258" s="52">
        <f>'Расчет субсидий'!AF260</f>
        <v>27.572727272727207</v>
      </c>
      <c r="C258" s="53">
        <f>'Расчет субсидий'!D260-1</f>
        <v>0.10718410718410731</v>
      </c>
      <c r="D258" s="53">
        <f>C258*'Расчет субсидий'!E260</f>
        <v>1.6077616077616097</v>
      </c>
      <c r="E258" s="54">
        <f t="shared" si="24"/>
        <v>20.56284457385334</v>
      </c>
      <c r="F258" s="53">
        <f>'Расчет субсидий'!F260-1</f>
        <v>0</v>
      </c>
      <c r="G258" s="53">
        <f>F258*'Расчет субсидий'!G260</f>
        <v>0</v>
      </c>
      <c r="H258" s="54">
        <f t="shared" si="25"/>
        <v>0</v>
      </c>
      <c r="I258" s="53">
        <f>'Расчет субсидий'!J260-1</f>
        <v>-7.3762765121759721E-2</v>
      </c>
      <c r="J258" s="53">
        <f>I258*'Расчет субсидий'!K260</f>
        <v>-0.73762765121759721</v>
      </c>
      <c r="K258" s="54">
        <f t="shared" si="26"/>
        <v>-9.4340620351552413</v>
      </c>
      <c r="L258" s="53" t="s">
        <v>394</v>
      </c>
      <c r="M258" s="53" t="s">
        <v>394</v>
      </c>
      <c r="N258" s="55" t="s">
        <v>394</v>
      </c>
      <c r="O258" s="53" t="s">
        <v>394</v>
      </c>
      <c r="P258" s="53" t="s">
        <v>394</v>
      </c>
      <c r="Q258" s="55" t="s">
        <v>394</v>
      </c>
      <c r="R258" s="53" t="s">
        <v>394</v>
      </c>
      <c r="S258" s="53" t="s">
        <v>394</v>
      </c>
      <c r="T258" s="55" t="s">
        <v>394</v>
      </c>
      <c r="U258" s="53">
        <f>'Расчет субсидий'!Z260-1</f>
        <v>8.5714285714285632E-2</v>
      </c>
      <c r="V258" s="53">
        <f>U258*'Расчет субсидий'!AA260</f>
        <v>1.2857142857142845</v>
      </c>
      <c r="W258" s="54">
        <f t="shared" si="27"/>
        <v>16.44394473402911</v>
      </c>
      <c r="X258" s="56">
        <f t="shared" si="28"/>
        <v>2.1558482422582967</v>
      </c>
    </row>
    <row r="259" spans="1:24" ht="15" customHeight="1">
      <c r="A259" s="64" t="s">
        <v>241</v>
      </c>
      <c r="B259" s="52">
        <f>'Расчет субсидий'!AF261</f>
        <v>-66.081818181818107</v>
      </c>
      <c r="C259" s="53">
        <f>'Расчет субсидий'!D261-1</f>
        <v>-0.44968771686328934</v>
      </c>
      <c r="D259" s="53">
        <f>C259*'Расчет субсидий'!E261</f>
        <v>-6.7453157529493399</v>
      </c>
      <c r="E259" s="54">
        <f t="shared" si="24"/>
        <v>-71.926133542186435</v>
      </c>
      <c r="F259" s="53">
        <f>'Расчет субсидий'!F261-1</f>
        <v>0</v>
      </c>
      <c r="G259" s="53">
        <f>F259*'Расчет субсидий'!G261</f>
        <v>0</v>
      </c>
      <c r="H259" s="54">
        <f t="shared" si="25"/>
        <v>0</v>
      </c>
      <c r="I259" s="53">
        <f>'Расчет субсидий'!J261-1</f>
        <v>-7.3762765121759721E-2</v>
      </c>
      <c r="J259" s="53">
        <f>I259*'Расчет субсидий'!K261</f>
        <v>-0.73762765121759721</v>
      </c>
      <c r="K259" s="54">
        <f t="shared" si="26"/>
        <v>-7.8654145912574123</v>
      </c>
      <c r="L259" s="53" t="s">
        <v>394</v>
      </c>
      <c r="M259" s="53" t="s">
        <v>394</v>
      </c>
      <c r="N259" s="55" t="s">
        <v>394</v>
      </c>
      <c r="O259" s="53" t="s">
        <v>394</v>
      </c>
      <c r="P259" s="53" t="s">
        <v>394</v>
      </c>
      <c r="Q259" s="55" t="s">
        <v>394</v>
      </c>
      <c r="R259" s="53" t="s">
        <v>394</v>
      </c>
      <c r="S259" s="53" t="s">
        <v>394</v>
      </c>
      <c r="T259" s="55" t="s">
        <v>394</v>
      </c>
      <c r="U259" s="53">
        <f>'Расчет субсидий'!Z261-1</f>
        <v>8.5714285714285632E-2</v>
      </c>
      <c r="V259" s="53">
        <f>U259*'Расчет субсидий'!AA261</f>
        <v>1.2857142857142845</v>
      </c>
      <c r="W259" s="54">
        <f t="shared" si="27"/>
        <v>13.709729951625738</v>
      </c>
      <c r="X259" s="56">
        <f t="shared" si="28"/>
        <v>-6.1972291184526522</v>
      </c>
    </row>
    <row r="260" spans="1:24" ht="15" customHeight="1">
      <c r="A260" s="64" t="s">
        <v>242</v>
      </c>
      <c r="B260" s="52">
        <f>'Расчет субсидий'!AF262</f>
        <v>-24.75454545454545</v>
      </c>
      <c r="C260" s="53">
        <f>'Расчет субсидий'!D262-1</f>
        <v>-0.13172851889000348</v>
      </c>
      <c r="D260" s="53">
        <f>C260*'Расчет субсидий'!E262</f>
        <v>-1.9759277833500521</v>
      </c>
      <c r="E260" s="54">
        <f t="shared" si="24"/>
        <v>-34.256747795171819</v>
      </c>
      <c r="F260" s="53">
        <f>'Расчет субсидий'!F262-1</f>
        <v>0</v>
      </c>
      <c r="G260" s="53">
        <f>F260*'Расчет субсидий'!G262</f>
        <v>0</v>
      </c>
      <c r="H260" s="54">
        <f t="shared" si="25"/>
        <v>0</v>
      </c>
      <c r="I260" s="53">
        <f>'Расчет субсидий'!J262-1</f>
        <v>-7.3762765121759721E-2</v>
      </c>
      <c r="J260" s="53">
        <f>I260*'Расчет субсидий'!K262</f>
        <v>-0.73762765121759721</v>
      </c>
      <c r="K260" s="54">
        <f t="shared" si="26"/>
        <v>-12.788283371199311</v>
      </c>
      <c r="L260" s="53" t="s">
        <v>394</v>
      </c>
      <c r="M260" s="53" t="s">
        <v>394</v>
      </c>
      <c r="N260" s="55" t="s">
        <v>394</v>
      </c>
      <c r="O260" s="53" t="s">
        <v>394</v>
      </c>
      <c r="P260" s="53" t="s">
        <v>394</v>
      </c>
      <c r="Q260" s="55" t="s">
        <v>394</v>
      </c>
      <c r="R260" s="53" t="s">
        <v>394</v>
      </c>
      <c r="S260" s="53" t="s">
        <v>394</v>
      </c>
      <c r="T260" s="55" t="s">
        <v>394</v>
      </c>
      <c r="U260" s="53">
        <f>'Расчет субсидий'!Z262-1</f>
        <v>8.5714285714285632E-2</v>
      </c>
      <c r="V260" s="53">
        <f>U260*'Расчет субсидий'!AA262</f>
        <v>1.2857142857142845</v>
      </c>
      <c r="W260" s="54">
        <f t="shared" si="27"/>
        <v>22.290485711825678</v>
      </c>
      <c r="X260" s="56">
        <f t="shared" si="28"/>
        <v>-1.4278411488533649</v>
      </c>
    </row>
    <row r="261" spans="1:24" ht="15" customHeight="1">
      <c r="A261" s="64" t="s">
        <v>243</v>
      </c>
      <c r="B261" s="52">
        <f>'Расчет субсидий'!AF263</f>
        <v>29.218181818181847</v>
      </c>
      <c r="C261" s="53">
        <f>'Расчет субсидий'!D263-1</f>
        <v>9.81122042010103E-2</v>
      </c>
      <c r="D261" s="53">
        <f>C261*'Расчет субсидий'!E263</f>
        <v>1.4716830630151545</v>
      </c>
      <c r="E261" s="54">
        <f t="shared" si="24"/>
        <v>21.289508089406048</v>
      </c>
      <c r="F261" s="53">
        <f>'Расчет субсидий'!F263-1</f>
        <v>0</v>
      </c>
      <c r="G261" s="53">
        <f>F261*'Расчет субсидий'!G263</f>
        <v>0</v>
      </c>
      <c r="H261" s="54">
        <f t="shared" si="25"/>
        <v>0</v>
      </c>
      <c r="I261" s="53">
        <f>'Расчет субсидий'!J263-1</f>
        <v>-7.3762765121759721E-2</v>
      </c>
      <c r="J261" s="53">
        <f>I261*'Расчет субсидий'!K263</f>
        <v>-0.73762765121759721</v>
      </c>
      <c r="K261" s="54">
        <f t="shared" si="26"/>
        <v>-10.670592223432356</v>
      </c>
      <c r="L261" s="53" t="s">
        <v>394</v>
      </c>
      <c r="M261" s="53" t="s">
        <v>394</v>
      </c>
      <c r="N261" s="55" t="s">
        <v>394</v>
      </c>
      <c r="O261" s="53" t="s">
        <v>394</v>
      </c>
      <c r="P261" s="53" t="s">
        <v>394</v>
      </c>
      <c r="Q261" s="55" t="s">
        <v>394</v>
      </c>
      <c r="R261" s="53" t="s">
        <v>394</v>
      </c>
      <c r="S261" s="53" t="s">
        <v>394</v>
      </c>
      <c r="T261" s="55" t="s">
        <v>394</v>
      </c>
      <c r="U261" s="53">
        <f>'Расчет субсидий'!Z263-1</f>
        <v>8.5714285714285632E-2</v>
      </c>
      <c r="V261" s="53">
        <f>U261*'Расчет субсидий'!AA263</f>
        <v>1.2857142857142845</v>
      </c>
      <c r="W261" s="54">
        <f t="shared" si="27"/>
        <v>18.599265952208157</v>
      </c>
      <c r="X261" s="56">
        <f t="shared" si="28"/>
        <v>2.0197696975118418</v>
      </c>
    </row>
    <row r="262" spans="1:24" ht="15" customHeight="1">
      <c r="A262" s="64" t="s">
        <v>244</v>
      </c>
      <c r="B262" s="52">
        <f>'Расчет субсидий'!AF264</f>
        <v>-31.572727272727263</v>
      </c>
      <c r="C262" s="53">
        <f>'Расчет субсидий'!D264-1</f>
        <v>-0.32663185378590087</v>
      </c>
      <c r="D262" s="53">
        <f>C262*'Расчет субсидий'!E264</f>
        <v>-4.8994778067885134</v>
      </c>
      <c r="E262" s="54">
        <f t="shared" si="24"/>
        <v>-35.549522083311203</v>
      </c>
      <c r="F262" s="53">
        <f>'Расчет субсидий'!F264-1</f>
        <v>0</v>
      </c>
      <c r="G262" s="53">
        <f>F262*'Расчет субсидий'!G264</f>
        <v>0</v>
      </c>
      <c r="H262" s="54">
        <f t="shared" si="25"/>
        <v>0</v>
      </c>
      <c r="I262" s="53">
        <f>'Расчет субсидий'!J264-1</f>
        <v>-7.3762765121759721E-2</v>
      </c>
      <c r="J262" s="53">
        <f>I262*'Расчет субсидий'!K264</f>
        <v>-0.73762765121759721</v>
      </c>
      <c r="K262" s="54">
        <f t="shared" si="26"/>
        <v>-5.3520623034333159</v>
      </c>
      <c r="L262" s="53" t="s">
        <v>394</v>
      </c>
      <c r="M262" s="53" t="s">
        <v>394</v>
      </c>
      <c r="N262" s="55" t="s">
        <v>394</v>
      </c>
      <c r="O262" s="53" t="s">
        <v>394</v>
      </c>
      <c r="P262" s="53" t="s">
        <v>394</v>
      </c>
      <c r="Q262" s="55" t="s">
        <v>394</v>
      </c>
      <c r="R262" s="53" t="s">
        <v>394</v>
      </c>
      <c r="S262" s="53" t="s">
        <v>394</v>
      </c>
      <c r="T262" s="55" t="s">
        <v>394</v>
      </c>
      <c r="U262" s="53">
        <f>'Расчет субсидий'!Z264-1</f>
        <v>8.5714285714285632E-2</v>
      </c>
      <c r="V262" s="53">
        <f>U262*'Расчет субсидий'!AA264</f>
        <v>1.2857142857142845</v>
      </c>
      <c r="W262" s="54">
        <f t="shared" si="27"/>
        <v>9.3288571140172465</v>
      </c>
      <c r="X262" s="56">
        <f t="shared" si="28"/>
        <v>-4.3513911722918257</v>
      </c>
    </row>
    <row r="263" spans="1:24" ht="15" customHeight="1">
      <c r="A263" s="64" t="s">
        <v>245</v>
      </c>
      <c r="B263" s="52">
        <f>'Расчет субсидий'!AF265</f>
        <v>-1.3909090909090764</v>
      </c>
      <c r="C263" s="53">
        <f>'Расчет субсидий'!D265-1</f>
        <v>-4.3572984749455368E-2</v>
      </c>
      <c r="D263" s="53">
        <f>C263*'Расчет субсидий'!E265</f>
        <v>-0.65359477124183052</v>
      </c>
      <c r="E263" s="54">
        <f t="shared" si="24"/>
        <v>-8.6163109039336394</v>
      </c>
      <c r="F263" s="53">
        <f>'Расчет субсидий'!F265-1</f>
        <v>0</v>
      </c>
      <c r="G263" s="53">
        <f>F263*'Расчет субсидий'!G265</f>
        <v>0</v>
      </c>
      <c r="H263" s="54">
        <f t="shared" si="25"/>
        <v>0</v>
      </c>
      <c r="I263" s="53">
        <f>'Расчет субсидий'!J265-1</f>
        <v>-7.3762765121759721E-2</v>
      </c>
      <c r="J263" s="53">
        <f>I263*'Расчет субсидий'!K265</f>
        <v>-0.73762765121759721</v>
      </c>
      <c r="K263" s="54">
        <f t="shared" si="26"/>
        <v>-9.724112636570581</v>
      </c>
      <c r="L263" s="53" t="s">
        <v>394</v>
      </c>
      <c r="M263" s="53" t="s">
        <v>394</v>
      </c>
      <c r="N263" s="55" t="s">
        <v>394</v>
      </c>
      <c r="O263" s="53" t="s">
        <v>394</v>
      </c>
      <c r="P263" s="53" t="s">
        <v>394</v>
      </c>
      <c r="Q263" s="55" t="s">
        <v>394</v>
      </c>
      <c r="R263" s="53" t="s">
        <v>394</v>
      </c>
      <c r="S263" s="53" t="s">
        <v>394</v>
      </c>
      <c r="T263" s="55" t="s">
        <v>394</v>
      </c>
      <c r="U263" s="53">
        <f>'Расчет субсидий'!Z265-1</f>
        <v>8.5714285714285632E-2</v>
      </c>
      <c r="V263" s="53">
        <f>U263*'Расчет субсидий'!AA265</f>
        <v>1.2857142857142845</v>
      </c>
      <c r="W263" s="54">
        <f t="shared" si="27"/>
        <v>16.949514449595146</v>
      </c>
      <c r="X263" s="56">
        <f t="shared" si="28"/>
        <v>-0.10550813674514337</v>
      </c>
    </row>
    <row r="264" spans="1:24" ht="15" customHeight="1">
      <c r="A264" s="60" t="s">
        <v>246</v>
      </c>
      <c r="B264" s="61"/>
      <c r="C264" s="62"/>
      <c r="D264" s="62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</row>
    <row r="265" spans="1:24" ht="15" customHeight="1">
      <c r="A265" s="64" t="s">
        <v>247</v>
      </c>
      <c r="B265" s="52">
        <f>'Расчет субсидий'!AF267</f>
        <v>-121.29090909090911</v>
      </c>
      <c r="C265" s="53">
        <f>'Расчет субсидий'!D267-1</f>
        <v>-0.320938468348827</v>
      </c>
      <c r="D265" s="53">
        <f>C265*'Расчет субсидий'!E267</f>
        <v>-4.8140770252324048</v>
      </c>
      <c r="E265" s="54">
        <f t="shared" si="24"/>
        <v>-55.843761258914533</v>
      </c>
      <c r="F265" s="53">
        <f>'Расчет субсидий'!F267-1</f>
        <v>0</v>
      </c>
      <c r="G265" s="53">
        <f>F265*'Расчет субсидий'!G267</f>
        <v>0</v>
      </c>
      <c r="H265" s="54">
        <f t="shared" si="25"/>
        <v>0</v>
      </c>
      <c r="I265" s="53">
        <f>'Расчет субсидий'!J267-1</f>
        <v>4.3106060606060703E-2</v>
      </c>
      <c r="J265" s="53">
        <f>I265*'Расчет субсидий'!K267</f>
        <v>0.43106060606060703</v>
      </c>
      <c r="K265" s="54">
        <f t="shared" si="26"/>
        <v>5.0003449148820875</v>
      </c>
      <c r="L265" s="53" t="s">
        <v>394</v>
      </c>
      <c r="M265" s="53" t="s">
        <v>394</v>
      </c>
      <c r="N265" s="55" t="s">
        <v>394</v>
      </c>
      <c r="O265" s="53" t="s">
        <v>394</v>
      </c>
      <c r="P265" s="53" t="s">
        <v>394</v>
      </c>
      <c r="Q265" s="55" t="s">
        <v>394</v>
      </c>
      <c r="R265" s="53" t="s">
        <v>394</v>
      </c>
      <c r="S265" s="53" t="s">
        <v>394</v>
      </c>
      <c r="T265" s="55" t="s">
        <v>394</v>
      </c>
      <c r="U265" s="53">
        <f>'Расчет субсидий'!Z267-1</f>
        <v>-0.40486725663716816</v>
      </c>
      <c r="V265" s="53">
        <f>U265*'Расчет субсидий'!AA267</f>
        <v>-6.0730088495575227</v>
      </c>
      <c r="W265" s="54">
        <f t="shared" si="27"/>
        <v>-70.447492746876677</v>
      </c>
      <c r="X265" s="56">
        <f t="shared" si="28"/>
        <v>-10.45602526872932</v>
      </c>
    </row>
    <row r="266" spans="1:24" ht="15" customHeight="1">
      <c r="A266" s="64" t="s">
        <v>248</v>
      </c>
      <c r="B266" s="52">
        <f>'Расчет субсидий'!AF268</f>
        <v>-12.272727272727252</v>
      </c>
      <c r="C266" s="53">
        <f>'Расчет субсидий'!D268-1</f>
        <v>0.24857629041406692</v>
      </c>
      <c r="D266" s="53">
        <f>C266*'Расчет субсидий'!E268</f>
        <v>3.7286443562110039</v>
      </c>
      <c r="E266" s="54">
        <f t="shared" si="24"/>
        <v>23.917076416796704</v>
      </c>
      <c r="F266" s="53">
        <f>'Расчет субсидий'!F268-1</f>
        <v>0</v>
      </c>
      <c r="G266" s="53">
        <f>F266*'Расчет субсидий'!G268</f>
        <v>0</v>
      </c>
      <c r="H266" s="54">
        <f t="shared" si="25"/>
        <v>0</v>
      </c>
      <c r="I266" s="53">
        <f>'Расчет субсидий'!J268-1</f>
        <v>4.3106060606060703E-2</v>
      </c>
      <c r="J266" s="53">
        <f>I266*'Расчет субсидий'!K268</f>
        <v>0.43106060606060703</v>
      </c>
      <c r="K266" s="54">
        <f t="shared" si="26"/>
        <v>2.7650020947288256</v>
      </c>
      <c r="L266" s="53" t="s">
        <v>394</v>
      </c>
      <c r="M266" s="53" t="s">
        <v>394</v>
      </c>
      <c r="N266" s="55" t="s">
        <v>394</v>
      </c>
      <c r="O266" s="53" t="s">
        <v>394</v>
      </c>
      <c r="P266" s="53" t="s">
        <v>394</v>
      </c>
      <c r="Q266" s="55" t="s">
        <v>394</v>
      </c>
      <c r="R266" s="53" t="s">
        <v>394</v>
      </c>
      <c r="S266" s="53" t="s">
        <v>394</v>
      </c>
      <c r="T266" s="55" t="s">
        <v>394</v>
      </c>
      <c r="U266" s="53">
        <f>'Расчет субсидий'!Z268-1</f>
        <v>-0.40486725663716816</v>
      </c>
      <c r="V266" s="53">
        <f>U266*'Расчет субсидий'!AA268</f>
        <v>-6.0730088495575227</v>
      </c>
      <c r="W266" s="54">
        <f t="shared" si="27"/>
        <v>-38.954805784252784</v>
      </c>
      <c r="X266" s="56">
        <f t="shared" si="28"/>
        <v>-1.9133038872859114</v>
      </c>
    </row>
    <row r="267" spans="1:24" ht="15" customHeight="1">
      <c r="A267" s="64" t="s">
        <v>249</v>
      </c>
      <c r="B267" s="52">
        <f>'Расчет субсидий'!AF269</f>
        <v>-64.845454545454459</v>
      </c>
      <c r="C267" s="53">
        <f>'Расчет субсидий'!D269-1</f>
        <v>0.12341874797275376</v>
      </c>
      <c r="D267" s="53">
        <f>C267*'Расчет субсидий'!E269</f>
        <v>1.8512812195913064</v>
      </c>
      <c r="E267" s="54">
        <f t="shared" si="24"/>
        <v>31.66914197917977</v>
      </c>
      <c r="F267" s="53">
        <f>'Расчет субсидий'!F269-1</f>
        <v>0</v>
      </c>
      <c r="G267" s="53">
        <f>F267*'Расчет субсидий'!G269</f>
        <v>0</v>
      </c>
      <c r="H267" s="54">
        <f t="shared" si="25"/>
        <v>0</v>
      </c>
      <c r="I267" s="53">
        <f>'Расчет субсидий'!J269-1</f>
        <v>4.3106060606060703E-2</v>
      </c>
      <c r="J267" s="53">
        <f>I267*'Расчет субсидий'!K269</f>
        <v>0.43106060606060703</v>
      </c>
      <c r="K267" s="54">
        <f t="shared" si="26"/>
        <v>7.3739847790268955</v>
      </c>
      <c r="L267" s="53" t="s">
        <v>394</v>
      </c>
      <c r="M267" s="53" t="s">
        <v>394</v>
      </c>
      <c r="N267" s="55" t="s">
        <v>394</v>
      </c>
      <c r="O267" s="53" t="s">
        <v>394</v>
      </c>
      <c r="P267" s="53" t="s">
        <v>394</v>
      </c>
      <c r="Q267" s="55" t="s">
        <v>394</v>
      </c>
      <c r="R267" s="53" t="s">
        <v>394</v>
      </c>
      <c r="S267" s="53" t="s">
        <v>394</v>
      </c>
      <c r="T267" s="55" t="s">
        <v>394</v>
      </c>
      <c r="U267" s="53">
        <f>'Расчет субсидий'!Z269-1</f>
        <v>-0.40486725663716816</v>
      </c>
      <c r="V267" s="53">
        <f>U267*'Расчет субсидий'!AA269</f>
        <v>-6.0730088495575227</v>
      </c>
      <c r="W267" s="54">
        <f t="shared" si="27"/>
        <v>-103.88858130366113</v>
      </c>
      <c r="X267" s="56">
        <f t="shared" si="28"/>
        <v>-3.7906670239056091</v>
      </c>
    </row>
    <row r="268" spans="1:24" ht="15" customHeight="1">
      <c r="A268" s="64" t="s">
        <v>250</v>
      </c>
      <c r="B268" s="52">
        <f>'Расчет субсидий'!AF270</f>
        <v>-8.5818181818181642</v>
      </c>
      <c r="C268" s="53">
        <f>'Расчет субсидий'!D270-1</f>
        <v>0.30000000000000004</v>
      </c>
      <c r="D268" s="53">
        <f>C268*'Расчет субсидий'!E270</f>
        <v>4.5000000000000009</v>
      </c>
      <c r="E268" s="54">
        <f t="shared" si="24"/>
        <v>33.817803948735701</v>
      </c>
      <c r="F268" s="53">
        <f>'Расчет субсидий'!F270-1</f>
        <v>0</v>
      </c>
      <c r="G268" s="53">
        <f>F268*'Расчет субсидий'!G270</f>
        <v>0</v>
      </c>
      <c r="H268" s="54">
        <f t="shared" si="25"/>
        <v>0</v>
      </c>
      <c r="I268" s="53">
        <f>'Расчет субсидий'!J270-1</f>
        <v>4.3106060606060703E-2</v>
      </c>
      <c r="J268" s="53">
        <f>I268*'Расчет субсидий'!K270</f>
        <v>0.43106060606060703</v>
      </c>
      <c r="K268" s="54">
        <f t="shared" si="26"/>
        <v>3.2394495701735107</v>
      </c>
      <c r="L268" s="53" t="s">
        <v>394</v>
      </c>
      <c r="M268" s="53" t="s">
        <v>394</v>
      </c>
      <c r="N268" s="55" t="s">
        <v>394</v>
      </c>
      <c r="O268" s="53" t="s">
        <v>394</v>
      </c>
      <c r="P268" s="53" t="s">
        <v>394</v>
      </c>
      <c r="Q268" s="55" t="s">
        <v>394</v>
      </c>
      <c r="R268" s="53" t="s">
        <v>394</v>
      </c>
      <c r="S268" s="53" t="s">
        <v>394</v>
      </c>
      <c r="T268" s="55" t="s">
        <v>394</v>
      </c>
      <c r="U268" s="53">
        <f>'Расчет субсидий'!Z270-1</f>
        <v>-0.40486725663716816</v>
      </c>
      <c r="V268" s="53">
        <f>U268*'Расчет субсидий'!AA270</f>
        <v>-6.0730088495575227</v>
      </c>
      <c r="W268" s="54">
        <f t="shared" si="27"/>
        <v>-45.639071700727378</v>
      </c>
      <c r="X268" s="56">
        <f t="shared" si="28"/>
        <v>-1.1419482434969144</v>
      </c>
    </row>
    <row r="269" spans="1:24" ht="15" customHeight="1">
      <c r="A269" s="64" t="s">
        <v>251</v>
      </c>
      <c r="B269" s="52">
        <f>'Расчет субсидий'!AF271</f>
        <v>-52.327272727272771</v>
      </c>
      <c r="C269" s="53">
        <f>'Расчет субсидий'!D271-1</f>
        <v>0.18413713910761165</v>
      </c>
      <c r="D269" s="53">
        <f>C269*'Расчет субсидий'!E271</f>
        <v>2.7620570866141749</v>
      </c>
      <c r="E269" s="54">
        <f t="shared" si="24"/>
        <v>50.186241974505712</v>
      </c>
      <c r="F269" s="53">
        <f>'Расчет субсидий'!F271-1</f>
        <v>0</v>
      </c>
      <c r="G269" s="53">
        <f>F269*'Расчет субсидий'!G271</f>
        <v>0</v>
      </c>
      <c r="H269" s="54">
        <f t="shared" si="25"/>
        <v>0</v>
      </c>
      <c r="I269" s="53">
        <f>'Расчет субсидий'!J271-1</f>
        <v>4.3106060606060703E-2</v>
      </c>
      <c r="J269" s="53">
        <f>I269*'Расчет субсидий'!K271</f>
        <v>0.43106060606060703</v>
      </c>
      <c r="K269" s="54">
        <f t="shared" si="26"/>
        <v>7.8323188851804533</v>
      </c>
      <c r="L269" s="53" t="s">
        <v>394</v>
      </c>
      <c r="M269" s="53" t="s">
        <v>394</v>
      </c>
      <c r="N269" s="55" t="s">
        <v>394</v>
      </c>
      <c r="O269" s="53" t="s">
        <v>394</v>
      </c>
      <c r="P269" s="53" t="s">
        <v>394</v>
      </c>
      <c r="Q269" s="55" t="s">
        <v>394</v>
      </c>
      <c r="R269" s="53" t="s">
        <v>394</v>
      </c>
      <c r="S269" s="53" t="s">
        <v>394</v>
      </c>
      <c r="T269" s="55" t="s">
        <v>394</v>
      </c>
      <c r="U269" s="53">
        <f>'Расчет субсидий'!Z271-1</f>
        <v>-0.40486725663716816</v>
      </c>
      <c r="V269" s="53">
        <f>U269*'Расчет субсидий'!AA271</f>
        <v>-6.0730088495575227</v>
      </c>
      <c r="W269" s="54">
        <f t="shared" si="27"/>
        <v>-110.34583358695892</v>
      </c>
      <c r="X269" s="56">
        <f t="shared" si="28"/>
        <v>-2.8798911568827408</v>
      </c>
    </row>
    <row r="270" spans="1:24" ht="15" customHeight="1">
      <c r="A270" s="64" t="s">
        <v>252</v>
      </c>
      <c r="B270" s="52">
        <f>'Расчет субсидий'!AF272</f>
        <v>-37.74545454545455</v>
      </c>
      <c r="C270" s="53">
        <f>'Расчет субсидий'!D272-1</f>
        <v>1.8340492261539332E-2</v>
      </c>
      <c r="D270" s="53">
        <f>C270*'Расчет субсидий'!E272</f>
        <v>0.27510738392308998</v>
      </c>
      <c r="E270" s="54">
        <f t="shared" si="24"/>
        <v>1.9348539535067362</v>
      </c>
      <c r="F270" s="53">
        <f>'Расчет субсидий'!F272-1</f>
        <v>0</v>
      </c>
      <c r="G270" s="53">
        <f>F270*'Расчет субсидий'!G272</f>
        <v>0</v>
      </c>
      <c r="H270" s="54">
        <f t="shared" si="25"/>
        <v>0</v>
      </c>
      <c r="I270" s="53">
        <f>'Расчет субсидий'!J272-1</f>
        <v>4.3106060606060703E-2</v>
      </c>
      <c r="J270" s="53">
        <f>I270*'Расчет субсидий'!K272</f>
        <v>0.43106060606060703</v>
      </c>
      <c r="K270" s="54">
        <f t="shared" si="26"/>
        <v>3.0316864125702359</v>
      </c>
      <c r="L270" s="53" t="s">
        <v>394</v>
      </c>
      <c r="M270" s="53" t="s">
        <v>394</v>
      </c>
      <c r="N270" s="55" t="s">
        <v>394</v>
      </c>
      <c r="O270" s="53" t="s">
        <v>394</v>
      </c>
      <c r="P270" s="53" t="s">
        <v>394</v>
      </c>
      <c r="Q270" s="55" t="s">
        <v>394</v>
      </c>
      <c r="R270" s="53" t="s">
        <v>394</v>
      </c>
      <c r="S270" s="53" t="s">
        <v>394</v>
      </c>
      <c r="T270" s="55" t="s">
        <v>394</v>
      </c>
      <c r="U270" s="53">
        <f>'Расчет субсидий'!Z272-1</f>
        <v>-0.40486725663716816</v>
      </c>
      <c r="V270" s="53">
        <f>U270*'Расчет субсидий'!AA272</f>
        <v>-6.0730088495575227</v>
      </c>
      <c r="W270" s="54">
        <f t="shared" si="27"/>
        <v>-42.711994911531526</v>
      </c>
      <c r="X270" s="56">
        <f t="shared" si="28"/>
        <v>-5.3668408595738253</v>
      </c>
    </row>
    <row r="271" spans="1:24" ht="15" customHeight="1">
      <c r="A271" s="64" t="s">
        <v>253</v>
      </c>
      <c r="B271" s="52">
        <f>'Расчет субсидий'!AF273</f>
        <v>-4.0363636363636317</v>
      </c>
      <c r="C271" s="53">
        <f>'Расчет субсидий'!D273-1</f>
        <v>7.0616481886872418E-2</v>
      </c>
      <c r="D271" s="53">
        <f>C271*'Расчет субсидий'!E273</f>
        <v>1.0592472283030863</v>
      </c>
      <c r="E271" s="54">
        <f t="shared" si="24"/>
        <v>0.9329666020249211</v>
      </c>
      <c r="F271" s="53">
        <f>'Расчет субсидий'!F273-1</f>
        <v>0</v>
      </c>
      <c r="G271" s="53">
        <f>F271*'Расчет субсидий'!G273</f>
        <v>0</v>
      </c>
      <c r="H271" s="54">
        <f t="shared" si="25"/>
        <v>0</v>
      </c>
      <c r="I271" s="53">
        <f>'Расчет субсидий'!J273-1</f>
        <v>4.3106060606060703E-2</v>
      </c>
      <c r="J271" s="53">
        <f>I271*'Расчет субсидий'!K273</f>
        <v>0.43106060606060703</v>
      </c>
      <c r="K271" s="54">
        <f t="shared" si="26"/>
        <v>0.37967071157451704</v>
      </c>
      <c r="L271" s="53" t="s">
        <v>394</v>
      </c>
      <c r="M271" s="53" t="s">
        <v>394</v>
      </c>
      <c r="N271" s="55" t="s">
        <v>394</v>
      </c>
      <c r="O271" s="53" t="s">
        <v>394</v>
      </c>
      <c r="P271" s="53" t="s">
        <v>394</v>
      </c>
      <c r="Q271" s="55" t="s">
        <v>394</v>
      </c>
      <c r="R271" s="53" t="s">
        <v>394</v>
      </c>
      <c r="S271" s="53" t="s">
        <v>394</v>
      </c>
      <c r="T271" s="55" t="s">
        <v>394</v>
      </c>
      <c r="U271" s="53">
        <f>'Расчет субсидий'!Z273-1</f>
        <v>-0.40486725663716816</v>
      </c>
      <c r="V271" s="53">
        <f>U271*'Расчет субсидий'!AA273</f>
        <v>-6.0730088495575227</v>
      </c>
      <c r="W271" s="54">
        <f t="shared" si="27"/>
        <v>-5.3490009499630702</v>
      </c>
      <c r="X271" s="56">
        <f t="shared" si="28"/>
        <v>-4.5827010151938294</v>
      </c>
    </row>
    <row r="272" spans="1:24" ht="15" customHeight="1">
      <c r="A272" s="60" t="s">
        <v>254</v>
      </c>
      <c r="B272" s="61"/>
      <c r="C272" s="62"/>
      <c r="D272" s="62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</row>
    <row r="273" spans="1:24" ht="15" customHeight="1">
      <c r="A273" s="64" t="s">
        <v>255</v>
      </c>
      <c r="B273" s="52">
        <f>'Расчет субсидий'!AF275</f>
        <v>18.063636363636348</v>
      </c>
      <c r="C273" s="53">
        <f>'Расчет субсидий'!D275-1</f>
        <v>0.22726810673443443</v>
      </c>
      <c r="D273" s="53">
        <f>C273*'Расчет субсидий'!E275</f>
        <v>3.4090216010165166</v>
      </c>
      <c r="E273" s="54">
        <f t="shared" si="24"/>
        <v>7.887176658368392</v>
      </c>
      <c r="F273" s="53">
        <f>'Расчет субсидий'!F275-1</f>
        <v>0</v>
      </c>
      <c r="G273" s="53">
        <f>F273*'Расчет субсидий'!G275</f>
        <v>0</v>
      </c>
      <c r="H273" s="54">
        <f t="shared" si="25"/>
        <v>0</v>
      </c>
      <c r="I273" s="53">
        <f>'Расчет субсидий'!J275-1</f>
        <v>1.604078587416069E-2</v>
      </c>
      <c r="J273" s="53">
        <f>I273*'Расчет субсидий'!K275</f>
        <v>0.1604078587416069</v>
      </c>
      <c r="K273" s="54">
        <f t="shared" si="26"/>
        <v>0.37112264671728801</v>
      </c>
      <c r="L273" s="53" t="s">
        <v>394</v>
      </c>
      <c r="M273" s="53" t="s">
        <v>394</v>
      </c>
      <c r="N273" s="55" t="s">
        <v>394</v>
      </c>
      <c r="O273" s="53" t="s">
        <v>394</v>
      </c>
      <c r="P273" s="53" t="s">
        <v>394</v>
      </c>
      <c r="Q273" s="55" t="s">
        <v>394</v>
      </c>
      <c r="R273" s="53" t="s">
        <v>394</v>
      </c>
      <c r="S273" s="53" t="s">
        <v>394</v>
      </c>
      <c r="T273" s="55" t="s">
        <v>394</v>
      </c>
      <c r="U273" s="53">
        <f>'Расчет субсидий'!Z275-1</f>
        <v>0.28253968253968242</v>
      </c>
      <c r="V273" s="53">
        <f>U273*'Расчет субсидий'!AA275</f>
        <v>4.2380952380952364</v>
      </c>
      <c r="W273" s="54">
        <f t="shared" si="27"/>
        <v>9.8053370585506681</v>
      </c>
      <c r="X273" s="56">
        <f t="shared" si="28"/>
        <v>7.8075246978533599</v>
      </c>
    </row>
    <row r="274" spans="1:24" ht="15" customHeight="1">
      <c r="A274" s="64" t="s">
        <v>256</v>
      </c>
      <c r="B274" s="52">
        <f>'Расчет субсидий'!AF276</f>
        <v>-4.2727272727272805</v>
      </c>
      <c r="C274" s="53">
        <f>'Расчет субсидий'!D276-1</f>
        <v>-0.37150837988826813</v>
      </c>
      <c r="D274" s="53">
        <f>C274*'Расчет субсидий'!E276</f>
        <v>-5.5726256983240221</v>
      </c>
      <c r="E274" s="54">
        <f t="shared" si="24"/>
        <v>-20.279236403226637</v>
      </c>
      <c r="F274" s="53">
        <f>'Расчет субсидий'!F276-1</f>
        <v>0</v>
      </c>
      <c r="G274" s="53">
        <f>F274*'Расчет субсидий'!G276</f>
        <v>0</v>
      </c>
      <c r="H274" s="54">
        <f t="shared" si="25"/>
        <v>0</v>
      </c>
      <c r="I274" s="53">
        <f>'Расчет субсидий'!J276-1</f>
        <v>1.604078587416069E-2</v>
      </c>
      <c r="J274" s="53">
        <f>I274*'Расчет субсидий'!K276</f>
        <v>0.1604078587416069</v>
      </c>
      <c r="K274" s="54">
        <f t="shared" si="26"/>
        <v>0.58373719400080304</v>
      </c>
      <c r="L274" s="53" t="s">
        <v>394</v>
      </c>
      <c r="M274" s="53" t="s">
        <v>394</v>
      </c>
      <c r="N274" s="55" t="s">
        <v>394</v>
      </c>
      <c r="O274" s="53" t="s">
        <v>394</v>
      </c>
      <c r="P274" s="53" t="s">
        <v>394</v>
      </c>
      <c r="Q274" s="55" t="s">
        <v>394</v>
      </c>
      <c r="R274" s="53" t="s">
        <v>394</v>
      </c>
      <c r="S274" s="53" t="s">
        <v>394</v>
      </c>
      <c r="T274" s="55" t="s">
        <v>394</v>
      </c>
      <c r="U274" s="53">
        <f>'Расчет субсидий'!Z276-1</f>
        <v>0.28253968253968242</v>
      </c>
      <c r="V274" s="53">
        <f>U274*'Расчет субсидий'!AA276</f>
        <v>4.2380952380952364</v>
      </c>
      <c r="W274" s="54">
        <f t="shared" si="27"/>
        <v>15.422771936498552</v>
      </c>
      <c r="X274" s="56">
        <f t="shared" si="28"/>
        <v>-1.1741226014871788</v>
      </c>
    </row>
    <row r="275" spans="1:24" ht="15" customHeight="1">
      <c r="A275" s="64" t="s">
        <v>257</v>
      </c>
      <c r="B275" s="52">
        <f>'Расчет субсидий'!AF277</f>
        <v>26.563636363636363</v>
      </c>
      <c r="C275" s="53">
        <f>'Расчет субсидий'!D277-1</f>
        <v>7.3377960865087521E-2</v>
      </c>
      <c r="D275" s="53">
        <f>C275*'Расчет субсидий'!E277</f>
        <v>1.1006694129763128</v>
      </c>
      <c r="E275" s="54">
        <f t="shared" si="24"/>
        <v>5.3167602926996151</v>
      </c>
      <c r="F275" s="53">
        <f>'Расчет субсидий'!F277-1</f>
        <v>0</v>
      </c>
      <c r="G275" s="53">
        <f>F275*'Расчет субсидий'!G277</f>
        <v>0</v>
      </c>
      <c r="H275" s="54">
        <f t="shared" si="25"/>
        <v>0</v>
      </c>
      <c r="I275" s="53">
        <f>'Расчет субсидий'!J277-1</f>
        <v>1.604078587416069E-2</v>
      </c>
      <c r="J275" s="53">
        <f>I275*'Расчет субсидий'!K277</f>
        <v>0.1604078587416069</v>
      </c>
      <c r="K275" s="54">
        <f t="shared" si="26"/>
        <v>0.77484676501380922</v>
      </c>
      <c r="L275" s="53" t="s">
        <v>394</v>
      </c>
      <c r="M275" s="53" t="s">
        <v>394</v>
      </c>
      <c r="N275" s="55" t="s">
        <v>394</v>
      </c>
      <c r="O275" s="53" t="s">
        <v>394</v>
      </c>
      <c r="P275" s="53" t="s">
        <v>394</v>
      </c>
      <c r="Q275" s="55" t="s">
        <v>394</v>
      </c>
      <c r="R275" s="53" t="s">
        <v>394</v>
      </c>
      <c r="S275" s="53" t="s">
        <v>394</v>
      </c>
      <c r="T275" s="55" t="s">
        <v>394</v>
      </c>
      <c r="U275" s="53">
        <f>'Расчет субсидий'!Z277-1</f>
        <v>0.28253968253968242</v>
      </c>
      <c r="V275" s="53">
        <f>U275*'Расчет субсидий'!AA277</f>
        <v>4.2380952380952364</v>
      </c>
      <c r="W275" s="54">
        <f t="shared" si="27"/>
        <v>20.472029305922941</v>
      </c>
      <c r="X275" s="56">
        <f t="shared" si="28"/>
        <v>5.4991725098131559</v>
      </c>
    </row>
    <row r="276" spans="1:24" ht="15" customHeight="1">
      <c r="A276" s="64" t="s">
        <v>258</v>
      </c>
      <c r="B276" s="52">
        <f>'Расчет субсидий'!AF278</f>
        <v>-9.9181818181818926</v>
      </c>
      <c r="C276" s="53">
        <f>'Расчет субсидий'!D278-1</f>
        <v>-0.36942038640906061</v>
      </c>
      <c r="D276" s="53">
        <f>C276*'Расчет субсидий'!E278</f>
        <v>-5.5413057961359087</v>
      </c>
      <c r="E276" s="54">
        <f t="shared" si="24"/>
        <v>-48.092009609296916</v>
      </c>
      <c r="F276" s="53">
        <f>'Расчет субсидий'!F278-1</f>
        <v>0</v>
      </c>
      <c r="G276" s="53">
        <f>F276*'Расчет субсидий'!G278</f>
        <v>0</v>
      </c>
      <c r="H276" s="54">
        <f t="shared" si="25"/>
        <v>0</v>
      </c>
      <c r="I276" s="53">
        <f>'Расчет субсидий'!J278-1</f>
        <v>1.604078587416069E-2</v>
      </c>
      <c r="J276" s="53">
        <f>I276*'Расчет субсидий'!K278</f>
        <v>0.1604078587416069</v>
      </c>
      <c r="K276" s="54">
        <f t="shared" si="26"/>
        <v>1.3921513390196769</v>
      </c>
      <c r="L276" s="53" t="s">
        <v>394</v>
      </c>
      <c r="M276" s="53" t="s">
        <v>394</v>
      </c>
      <c r="N276" s="55" t="s">
        <v>394</v>
      </c>
      <c r="O276" s="53" t="s">
        <v>394</v>
      </c>
      <c r="P276" s="53" t="s">
        <v>394</v>
      </c>
      <c r="Q276" s="55" t="s">
        <v>394</v>
      </c>
      <c r="R276" s="53" t="s">
        <v>394</v>
      </c>
      <c r="S276" s="53" t="s">
        <v>394</v>
      </c>
      <c r="T276" s="55" t="s">
        <v>394</v>
      </c>
      <c r="U276" s="53">
        <f>'Расчет субсидий'!Z278-1</f>
        <v>0.28253968253968242</v>
      </c>
      <c r="V276" s="53">
        <f>U276*'Расчет субсидий'!AA278</f>
        <v>4.2380952380952364</v>
      </c>
      <c r="W276" s="54">
        <f t="shared" si="27"/>
        <v>36.781676452095347</v>
      </c>
      <c r="X276" s="56">
        <f t="shared" si="28"/>
        <v>-1.1428026992990654</v>
      </c>
    </row>
    <row r="277" spans="1:24" ht="15" customHeight="1">
      <c r="A277" s="64" t="s">
        <v>259</v>
      </c>
      <c r="B277" s="52">
        <f>'Расчет субсидий'!AF279</f>
        <v>-8.3727272727272748</v>
      </c>
      <c r="C277" s="53">
        <f>'Расчет субсидий'!D279-1</f>
        <v>-0.47900555651028243</v>
      </c>
      <c r="D277" s="53">
        <f>C277*'Расчет субсидий'!E279</f>
        <v>-7.1850833476542366</v>
      </c>
      <c r="E277" s="54">
        <f t="shared" si="24"/>
        <v>-21.588735255005385</v>
      </c>
      <c r="F277" s="53">
        <f>'Расчет субсидий'!F279-1</f>
        <v>0</v>
      </c>
      <c r="G277" s="53">
        <f>F277*'Расчет субсидий'!G279</f>
        <v>0</v>
      </c>
      <c r="H277" s="54">
        <f t="shared" si="25"/>
        <v>0</v>
      </c>
      <c r="I277" s="53">
        <f>'Расчет субсидий'!J279-1</f>
        <v>1.604078587416069E-2</v>
      </c>
      <c r="J277" s="53">
        <f>I277*'Расчет субсидий'!K279</f>
        <v>0.1604078587416069</v>
      </c>
      <c r="K277" s="54">
        <f t="shared" si="26"/>
        <v>0.48197113765220873</v>
      </c>
      <c r="L277" s="53" t="s">
        <v>394</v>
      </c>
      <c r="M277" s="53" t="s">
        <v>394</v>
      </c>
      <c r="N277" s="55" t="s">
        <v>394</v>
      </c>
      <c r="O277" s="53" t="s">
        <v>394</v>
      </c>
      <c r="P277" s="53" t="s">
        <v>394</v>
      </c>
      <c r="Q277" s="55" t="s">
        <v>394</v>
      </c>
      <c r="R277" s="53" t="s">
        <v>394</v>
      </c>
      <c r="S277" s="53" t="s">
        <v>394</v>
      </c>
      <c r="T277" s="55" t="s">
        <v>394</v>
      </c>
      <c r="U277" s="53">
        <f>'Расчет субсидий'!Z279-1</f>
        <v>0.28253968253968242</v>
      </c>
      <c r="V277" s="53">
        <f>U277*'Расчет субсидий'!AA279</f>
        <v>4.2380952380952364</v>
      </c>
      <c r="W277" s="54">
        <f t="shared" si="27"/>
        <v>12.734036844625903</v>
      </c>
      <c r="X277" s="56">
        <f t="shared" si="28"/>
        <v>-2.7865802508173934</v>
      </c>
    </row>
    <row r="278" spans="1:24" ht="15" customHeight="1">
      <c r="A278" s="64" t="s">
        <v>260</v>
      </c>
      <c r="B278" s="52">
        <f>'Расчет субсидий'!AF280</f>
        <v>54.390909090909076</v>
      </c>
      <c r="C278" s="53">
        <f>'Расчет субсидий'!D280-1</f>
        <v>0.28470989761092147</v>
      </c>
      <c r="D278" s="53">
        <f>C278*'Расчет субсидий'!E280</f>
        <v>4.2706484641638216</v>
      </c>
      <c r="E278" s="54">
        <f t="shared" si="24"/>
        <v>26.794369753382504</v>
      </c>
      <c r="F278" s="53">
        <f>'Расчет субсидий'!F280-1</f>
        <v>0</v>
      </c>
      <c r="G278" s="53">
        <f>F278*'Расчет субсидий'!G280</f>
        <v>0</v>
      </c>
      <c r="H278" s="54">
        <f t="shared" si="25"/>
        <v>0</v>
      </c>
      <c r="I278" s="53">
        <f>'Расчет субсидий'!J280-1</f>
        <v>1.604078587416069E-2</v>
      </c>
      <c r="J278" s="53">
        <f>I278*'Расчет субсидий'!K280</f>
        <v>0.1604078587416069</v>
      </c>
      <c r="K278" s="54">
        <f t="shared" si="26"/>
        <v>1.0064109735411118</v>
      </c>
      <c r="L278" s="53" t="s">
        <v>394</v>
      </c>
      <c r="M278" s="53" t="s">
        <v>394</v>
      </c>
      <c r="N278" s="55" t="s">
        <v>394</v>
      </c>
      <c r="O278" s="53" t="s">
        <v>394</v>
      </c>
      <c r="P278" s="53" t="s">
        <v>394</v>
      </c>
      <c r="Q278" s="55" t="s">
        <v>394</v>
      </c>
      <c r="R278" s="53" t="s">
        <v>394</v>
      </c>
      <c r="S278" s="53" t="s">
        <v>394</v>
      </c>
      <c r="T278" s="55" t="s">
        <v>394</v>
      </c>
      <c r="U278" s="53">
        <f>'Расчет субсидий'!Z280-1</f>
        <v>0.28253968253968242</v>
      </c>
      <c r="V278" s="53">
        <f>U278*'Расчет субсидий'!AA280</f>
        <v>4.2380952380952364</v>
      </c>
      <c r="W278" s="54">
        <f t="shared" si="27"/>
        <v>26.590128363985468</v>
      </c>
      <c r="X278" s="56">
        <f t="shared" si="28"/>
        <v>8.669151561000664</v>
      </c>
    </row>
    <row r="279" spans="1:24" ht="15" customHeight="1">
      <c r="A279" s="64" t="s">
        <v>261</v>
      </c>
      <c r="B279" s="52">
        <f>'Расчет субсидий'!AF281</f>
        <v>32.481818181818198</v>
      </c>
      <c r="C279" s="53">
        <f>'Расчет субсидий'!D281-1</f>
        <v>0.11574896388395484</v>
      </c>
      <c r="D279" s="53">
        <f>C279*'Расчет субсидий'!E281</f>
        <v>1.7362344582593225</v>
      </c>
      <c r="E279" s="54">
        <f t="shared" si="24"/>
        <v>9.1929037693451736</v>
      </c>
      <c r="F279" s="53">
        <f>'Расчет субсидий'!F281-1</f>
        <v>0</v>
      </c>
      <c r="G279" s="53">
        <f>F279*'Расчет субсидий'!G281</f>
        <v>0</v>
      </c>
      <c r="H279" s="54">
        <f t="shared" si="25"/>
        <v>0</v>
      </c>
      <c r="I279" s="53">
        <f>'Расчет субсидий'!J281-1</f>
        <v>1.604078587416069E-2</v>
      </c>
      <c r="J279" s="53">
        <f>I279*'Расчет субсидий'!K281</f>
        <v>0.1604078587416069</v>
      </c>
      <c r="K279" s="54">
        <f t="shared" si="26"/>
        <v>0.84931732707153706</v>
      </c>
      <c r="L279" s="53" t="s">
        <v>394</v>
      </c>
      <c r="M279" s="53" t="s">
        <v>394</v>
      </c>
      <c r="N279" s="55" t="s">
        <v>394</v>
      </c>
      <c r="O279" s="53" t="s">
        <v>394</v>
      </c>
      <c r="P279" s="53" t="s">
        <v>394</v>
      </c>
      <c r="Q279" s="55" t="s">
        <v>394</v>
      </c>
      <c r="R279" s="53" t="s">
        <v>394</v>
      </c>
      <c r="S279" s="53" t="s">
        <v>394</v>
      </c>
      <c r="T279" s="55" t="s">
        <v>394</v>
      </c>
      <c r="U279" s="53">
        <f>'Расчет субсидий'!Z281-1</f>
        <v>0.28253968253968242</v>
      </c>
      <c r="V279" s="53">
        <f>U279*'Расчет субсидий'!AA281</f>
        <v>4.2380952380952364</v>
      </c>
      <c r="W279" s="54">
        <f t="shared" si="27"/>
        <v>22.439597085401488</v>
      </c>
      <c r="X279" s="56">
        <f t="shared" si="28"/>
        <v>6.1347375550961658</v>
      </c>
    </row>
    <row r="280" spans="1:24" ht="15" customHeight="1">
      <c r="A280" s="64" t="s">
        <v>262</v>
      </c>
      <c r="B280" s="52">
        <f>'Расчет субсидий'!AF282</f>
        <v>12.918181818181836</v>
      </c>
      <c r="C280" s="53">
        <f>'Расчет субсидий'!D282-1</f>
        <v>-0.17653758542141218</v>
      </c>
      <c r="D280" s="53">
        <f>C280*'Расчет субсидий'!E282</f>
        <v>-2.6480637813211825</v>
      </c>
      <c r="E280" s="54">
        <f t="shared" si="24"/>
        <v>-19.542619438464669</v>
      </c>
      <c r="F280" s="53">
        <f>'Расчет субсидий'!F282-1</f>
        <v>0</v>
      </c>
      <c r="G280" s="53">
        <f>F280*'Расчет субсидий'!G282</f>
        <v>0</v>
      </c>
      <c r="H280" s="54">
        <f t="shared" si="25"/>
        <v>0</v>
      </c>
      <c r="I280" s="53">
        <f>'Расчет субсидий'!J282-1</f>
        <v>1.604078587416069E-2</v>
      </c>
      <c r="J280" s="53">
        <f>I280*'Расчет субсидий'!K282</f>
        <v>0.1604078587416069</v>
      </c>
      <c r="K280" s="54">
        <f t="shared" si="26"/>
        <v>1.1838044689249139</v>
      </c>
      <c r="L280" s="53" t="s">
        <v>394</v>
      </c>
      <c r="M280" s="53" t="s">
        <v>394</v>
      </c>
      <c r="N280" s="55" t="s">
        <v>394</v>
      </c>
      <c r="O280" s="53" t="s">
        <v>394</v>
      </c>
      <c r="P280" s="53" t="s">
        <v>394</v>
      </c>
      <c r="Q280" s="55" t="s">
        <v>394</v>
      </c>
      <c r="R280" s="53" t="s">
        <v>394</v>
      </c>
      <c r="S280" s="53" t="s">
        <v>394</v>
      </c>
      <c r="T280" s="55" t="s">
        <v>394</v>
      </c>
      <c r="U280" s="53">
        <f>'Расчет субсидий'!Z282-1</f>
        <v>0.28253968253968242</v>
      </c>
      <c r="V280" s="53">
        <f>U280*'Расчет субсидий'!AA282</f>
        <v>4.2380952380952364</v>
      </c>
      <c r="W280" s="54">
        <f t="shared" si="27"/>
        <v>31.27699678772159</v>
      </c>
      <c r="X280" s="56">
        <f t="shared" si="28"/>
        <v>1.7504393155156608</v>
      </c>
    </row>
    <row r="281" spans="1:24" ht="15" customHeight="1">
      <c r="A281" s="64" t="s">
        <v>263</v>
      </c>
      <c r="B281" s="52">
        <f>'Расчет субсидий'!AF283</f>
        <v>52.690909090909088</v>
      </c>
      <c r="C281" s="53">
        <f>'Расчет субсидий'!D283-1</f>
        <v>0.30000000000000004</v>
      </c>
      <c r="D281" s="53">
        <f>C281*'Расчет субсидий'!E283</f>
        <v>4.5000000000000009</v>
      </c>
      <c r="E281" s="54">
        <f t="shared" si="24"/>
        <v>26.645952507829801</v>
      </c>
      <c r="F281" s="53">
        <f>'Расчет субсидий'!F283-1</f>
        <v>0</v>
      </c>
      <c r="G281" s="53">
        <f>F281*'Расчет субсидий'!G283</f>
        <v>0</v>
      </c>
      <c r="H281" s="54">
        <f t="shared" si="25"/>
        <v>0</v>
      </c>
      <c r="I281" s="53">
        <f>'Расчет субсидий'!J283-1</f>
        <v>1.604078587416069E-2</v>
      </c>
      <c r="J281" s="53">
        <f>I281*'Расчет субсидий'!K283</f>
        <v>0.1604078587416069</v>
      </c>
      <c r="K281" s="54">
        <f t="shared" si="26"/>
        <v>0.94982670798033964</v>
      </c>
      <c r="L281" s="53" t="s">
        <v>394</v>
      </c>
      <c r="M281" s="53" t="s">
        <v>394</v>
      </c>
      <c r="N281" s="55" t="s">
        <v>394</v>
      </c>
      <c r="O281" s="53" t="s">
        <v>394</v>
      </c>
      <c r="P281" s="53" t="s">
        <v>394</v>
      </c>
      <c r="Q281" s="55" t="s">
        <v>394</v>
      </c>
      <c r="R281" s="53" t="s">
        <v>394</v>
      </c>
      <c r="S281" s="53" t="s">
        <v>394</v>
      </c>
      <c r="T281" s="55" t="s">
        <v>394</v>
      </c>
      <c r="U281" s="53">
        <f>'Расчет субсидий'!Z283-1</f>
        <v>0.28253968253968242</v>
      </c>
      <c r="V281" s="53">
        <f>U281*'Расчет субсидий'!AA283</f>
        <v>4.2380952380952364</v>
      </c>
      <c r="W281" s="54">
        <f t="shared" si="27"/>
        <v>25.095129875098948</v>
      </c>
      <c r="X281" s="56">
        <f t="shared" si="28"/>
        <v>8.8985030968368442</v>
      </c>
    </row>
    <row r="282" spans="1:24" ht="15" customHeight="1">
      <c r="A282" s="64" t="s">
        <v>264</v>
      </c>
      <c r="B282" s="52">
        <f>'Расчет субсидий'!AF284</f>
        <v>8.0545454545454618</v>
      </c>
      <c r="C282" s="53">
        <f>'Расчет субсидий'!D284-1</f>
        <v>-0.19669294366467993</v>
      </c>
      <c r="D282" s="53">
        <f>C282*'Расчет субсидий'!E284</f>
        <v>-2.9503941549701991</v>
      </c>
      <c r="E282" s="54">
        <f t="shared" si="24"/>
        <v>-16.410425447273525</v>
      </c>
      <c r="F282" s="53">
        <f>'Расчет субсидий'!F284-1</f>
        <v>0</v>
      </c>
      <c r="G282" s="53">
        <f>F282*'Расчет субсидий'!G284</f>
        <v>0</v>
      </c>
      <c r="H282" s="54">
        <f t="shared" si="25"/>
        <v>0</v>
      </c>
      <c r="I282" s="53">
        <f>'Расчет субсидий'!J284-1</f>
        <v>1.604078587416069E-2</v>
      </c>
      <c r="J282" s="53">
        <f>I282*'Расчет субсидий'!K284</f>
        <v>0.1604078587416069</v>
      </c>
      <c r="K282" s="54">
        <f t="shared" si="26"/>
        <v>0.89220662351214275</v>
      </c>
      <c r="L282" s="53" t="s">
        <v>394</v>
      </c>
      <c r="M282" s="53" t="s">
        <v>394</v>
      </c>
      <c r="N282" s="55" t="s">
        <v>394</v>
      </c>
      <c r="O282" s="53" t="s">
        <v>394</v>
      </c>
      <c r="P282" s="53" t="s">
        <v>394</v>
      </c>
      <c r="Q282" s="55" t="s">
        <v>394</v>
      </c>
      <c r="R282" s="53" t="s">
        <v>394</v>
      </c>
      <c r="S282" s="53" t="s">
        <v>394</v>
      </c>
      <c r="T282" s="55" t="s">
        <v>394</v>
      </c>
      <c r="U282" s="53">
        <f>'Расчет субсидий'!Z284-1</f>
        <v>0.28253968253968242</v>
      </c>
      <c r="V282" s="53">
        <f>U282*'Расчет субсидий'!AA284</f>
        <v>4.2380952380952364</v>
      </c>
      <c r="W282" s="54">
        <f t="shared" si="27"/>
        <v>23.572764278306842</v>
      </c>
      <c r="X282" s="56">
        <f t="shared" si="28"/>
        <v>1.4481089418666442</v>
      </c>
    </row>
    <row r="283" spans="1:24" ht="15" customHeight="1">
      <c r="A283" s="64" t="s">
        <v>265</v>
      </c>
      <c r="B283" s="52">
        <f>'Расчет субсидий'!AF285</f>
        <v>27.372727272727275</v>
      </c>
      <c r="C283" s="53">
        <f>'Расчет субсидий'!D285-1</f>
        <v>1.1398509425690539E-2</v>
      </c>
      <c r="D283" s="53">
        <f>C283*'Расчет субсидий'!E285</f>
        <v>0.17097764138535809</v>
      </c>
      <c r="E283" s="54">
        <f t="shared" si="24"/>
        <v>1.0242136066419705</v>
      </c>
      <c r="F283" s="53">
        <f>'Расчет субсидий'!F285-1</f>
        <v>0</v>
      </c>
      <c r="G283" s="53">
        <f>F283*'Расчет субсидий'!G285</f>
        <v>0</v>
      </c>
      <c r="H283" s="54">
        <f t="shared" si="25"/>
        <v>0</v>
      </c>
      <c r="I283" s="53">
        <f>'Расчет субсидий'!J285-1</f>
        <v>1.604078587416069E-2</v>
      </c>
      <c r="J283" s="53">
        <f>I283*'Расчет субсидий'!K285</f>
        <v>0.1604078587416069</v>
      </c>
      <c r="K283" s="54">
        <f t="shared" si="26"/>
        <v>0.96089705182660401</v>
      </c>
      <c r="L283" s="53" t="s">
        <v>394</v>
      </c>
      <c r="M283" s="53" t="s">
        <v>394</v>
      </c>
      <c r="N283" s="55" t="s">
        <v>394</v>
      </c>
      <c r="O283" s="53" t="s">
        <v>394</v>
      </c>
      <c r="P283" s="53" t="s">
        <v>394</v>
      </c>
      <c r="Q283" s="55" t="s">
        <v>394</v>
      </c>
      <c r="R283" s="53" t="s">
        <v>394</v>
      </c>
      <c r="S283" s="53" t="s">
        <v>394</v>
      </c>
      <c r="T283" s="55" t="s">
        <v>394</v>
      </c>
      <c r="U283" s="53">
        <f>'Расчет субсидий'!Z285-1</f>
        <v>0.28253968253968242</v>
      </c>
      <c r="V283" s="53">
        <f>U283*'Расчет субсидий'!AA285</f>
        <v>4.2380952380952364</v>
      </c>
      <c r="W283" s="54">
        <f t="shared" si="27"/>
        <v>25.387616614258704</v>
      </c>
      <c r="X283" s="56">
        <f t="shared" si="28"/>
        <v>4.5694807382222011</v>
      </c>
    </row>
    <row r="284" spans="1:24" ht="15" customHeight="1">
      <c r="A284" s="64" t="s">
        <v>266</v>
      </c>
      <c r="B284" s="52">
        <f>'Расчет субсидий'!AF286</f>
        <v>-13.027272727272759</v>
      </c>
      <c r="C284" s="53">
        <f>'Расчет субсидий'!D286-1</f>
        <v>-0.44929067310594628</v>
      </c>
      <c r="D284" s="53">
        <f>C284*'Расчет субсидий'!E286</f>
        <v>-6.739360096589194</v>
      </c>
      <c r="E284" s="54">
        <f t="shared" si="24"/>
        <v>-37.50570068776306</v>
      </c>
      <c r="F284" s="53">
        <f>'Расчет субсидий'!F286-1</f>
        <v>0</v>
      </c>
      <c r="G284" s="53">
        <f>F284*'Расчет субсидий'!G286</f>
        <v>0</v>
      </c>
      <c r="H284" s="54">
        <f t="shared" si="25"/>
        <v>0</v>
      </c>
      <c r="I284" s="53">
        <f>'Расчет субсидий'!J286-1</f>
        <v>1.604078587416069E-2</v>
      </c>
      <c r="J284" s="53">
        <f>I284*'Расчет субсидий'!K286</f>
        <v>0.1604078587416069</v>
      </c>
      <c r="K284" s="54">
        <f t="shared" si="26"/>
        <v>0.89269738546431188</v>
      </c>
      <c r="L284" s="53" t="s">
        <v>394</v>
      </c>
      <c r="M284" s="53" t="s">
        <v>394</v>
      </c>
      <c r="N284" s="55" t="s">
        <v>394</v>
      </c>
      <c r="O284" s="53" t="s">
        <v>394</v>
      </c>
      <c r="P284" s="53" t="s">
        <v>394</v>
      </c>
      <c r="Q284" s="55" t="s">
        <v>394</v>
      </c>
      <c r="R284" s="53" t="s">
        <v>394</v>
      </c>
      <c r="S284" s="53" t="s">
        <v>394</v>
      </c>
      <c r="T284" s="55" t="s">
        <v>394</v>
      </c>
      <c r="U284" s="53">
        <f>'Расчет субсидий'!Z286-1</f>
        <v>0.28253968253968242</v>
      </c>
      <c r="V284" s="53">
        <f>U284*'Расчет субсидий'!AA286</f>
        <v>4.2380952380952364</v>
      </c>
      <c r="W284" s="54">
        <f t="shared" si="27"/>
        <v>23.585730575025991</v>
      </c>
      <c r="X284" s="56">
        <f t="shared" si="28"/>
        <v>-2.3408569997523507</v>
      </c>
    </row>
    <row r="285" spans="1:24" ht="15" customHeight="1">
      <c r="A285" s="64" t="s">
        <v>267</v>
      </c>
      <c r="B285" s="52">
        <f>'Расчет субсидий'!AF287</f>
        <v>2.9090909090909065</v>
      </c>
      <c r="C285" s="53">
        <f>'Расчет субсидий'!D287-1</f>
        <v>-3.0659057849390048E-2</v>
      </c>
      <c r="D285" s="53">
        <f>C285*'Расчет субсидий'!E287</f>
        <v>-0.45988586774085072</v>
      </c>
      <c r="E285" s="54">
        <f t="shared" si="24"/>
        <v>-0.33967499740292367</v>
      </c>
      <c r="F285" s="53">
        <f>'Расчет субсидий'!F287-1</f>
        <v>0</v>
      </c>
      <c r="G285" s="53">
        <f>F285*'Расчет субсидий'!G287</f>
        <v>0</v>
      </c>
      <c r="H285" s="54">
        <f t="shared" si="25"/>
        <v>0</v>
      </c>
      <c r="I285" s="53">
        <f>'Расчет субсидий'!J287-1</f>
        <v>1.604078587416069E-2</v>
      </c>
      <c r="J285" s="53">
        <f>I285*'Расчет субсидий'!K287</f>
        <v>0.1604078587416069</v>
      </c>
      <c r="K285" s="54">
        <f t="shared" si="26"/>
        <v>0.11847839393092084</v>
      </c>
      <c r="L285" s="53" t="s">
        <v>394</v>
      </c>
      <c r="M285" s="53" t="s">
        <v>394</v>
      </c>
      <c r="N285" s="55" t="s">
        <v>394</v>
      </c>
      <c r="O285" s="53" t="s">
        <v>394</v>
      </c>
      <c r="P285" s="53" t="s">
        <v>394</v>
      </c>
      <c r="Q285" s="55" t="s">
        <v>394</v>
      </c>
      <c r="R285" s="53" t="s">
        <v>394</v>
      </c>
      <c r="S285" s="53" t="s">
        <v>394</v>
      </c>
      <c r="T285" s="55" t="s">
        <v>394</v>
      </c>
      <c r="U285" s="53">
        <f>'Расчет субсидий'!Z287-1</f>
        <v>0.28253968253968242</v>
      </c>
      <c r="V285" s="53">
        <f>U285*'Расчет субсидий'!AA287</f>
        <v>4.2380952380952364</v>
      </c>
      <c r="W285" s="54">
        <f t="shared" si="27"/>
        <v>3.130287512562909</v>
      </c>
      <c r="X285" s="56">
        <f t="shared" si="28"/>
        <v>3.9386172290959927</v>
      </c>
    </row>
    <row r="286" spans="1:24" ht="15" customHeight="1">
      <c r="A286" s="64" t="s">
        <v>268</v>
      </c>
      <c r="B286" s="52">
        <f>'Расчет субсидий'!AF288</f>
        <v>6.7818181818181529</v>
      </c>
      <c r="C286" s="53">
        <f>'Расчет субсидий'!D288-1</f>
        <v>-0.23558677202224165</v>
      </c>
      <c r="D286" s="53">
        <f>C286*'Расчет субсидий'!E288</f>
        <v>-3.5338015803336247</v>
      </c>
      <c r="E286" s="54">
        <f t="shared" si="24"/>
        <v>-27.715459440107384</v>
      </c>
      <c r="F286" s="53">
        <f>'Расчет субсидий'!F288-1</f>
        <v>0</v>
      </c>
      <c r="G286" s="53">
        <f>F286*'Расчет субсидий'!G288</f>
        <v>0</v>
      </c>
      <c r="H286" s="54">
        <f t="shared" si="25"/>
        <v>0</v>
      </c>
      <c r="I286" s="53">
        <f>'Расчет субсидий'!J288-1</f>
        <v>1.604078587416069E-2</v>
      </c>
      <c r="J286" s="53">
        <f>I286*'Расчет субсидий'!K288</f>
        <v>0.1604078587416069</v>
      </c>
      <c r="K286" s="54">
        <f t="shared" si="26"/>
        <v>1.2580721927255905</v>
      </c>
      <c r="L286" s="53" t="s">
        <v>394</v>
      </c>
      <c r="M286" s="53" t="s">
        <v>394</v>
      </c>
      <c r="N286" s="55" t="s">
        <v>394</v>
      </c>
      <c r="O286" s="53" t="s">
        <v>394</v>
      </c>
      <c r="P286" s="53" t="s">
        <v>394</v>
      </c>
      <c r="Q286" s="55" t="s">
        <v>394</v>
      </c>
      <c r="R286" s="53" t="s">
        <v>394</v>
      </c>
      <c r="S286" s="53" t="s">
        <v>394</v>
      </c>
      <c r="T286" s="55" t="s">
        <v>394</v>
      </c>
      <c r="U286" s="53">
        <f>'Расчет субсидий'!Z288-1</f>
        <v>0.28253968253968242</v>
      </c>
      <c r="V286" s="53">
        <f>U286*'Расчет субсидий'!AA288</f>
        <v>4.2380952380952364</v>
      </c>
      <c r="W286" s="54">
        <f t="shared" si="27"/>
        <v>33.239205429199949</v>
      </c>
      <c r="X286" s="56">
        <f t="shared" si="28"/>
        <v>0.86470151650321858</v>
      </c>
    </row>
    <row r="287" spans="1:24" ht="15" customHeight="1">
      <c r="A287" s="64" t="s">
        <v>269</v>
      </c>
      <c r="B287" s="52">
        <f>'Расчет субсидий'!AF289</f>
        <v>-4.363636363636374</v>
      </c>
      <c r="C287" s="53">
        <f>'Расчет субсидий'!D289-1</f>
        <v>-0.34145435983108274</v>
      </c>
      <c r="D287" s="53">
        <f>C287*'Расчет субсидий'!E289</f>
        <v>-5.121815397466241</v>
      </c>
      <c r="E287" s="54">
        <f t="shared" si="24"/>
        <v>-30.899156418007159</v>
      </c>
      <c r="F287" s="53">
        <f>'Расчет субсидий'!F289-1</f>
        <v>0</v>
      </c>
      <c r="G287" s="53">
        <f>F287*'Расчет субсидий'!G289</f>
        <v>0</v>
      </c>
      <c r="H287" s="54">
        <f t="shared" si="25"/>
        <v>0</v>
      </c>
      <c r="I287" s="53">
        <f>'Расчет субсидий'!J289-1</f>
        <v>1.604078587416069E-2</v>
      </c>
      <c r="J287" s="53">
        <f>I287*'Расчет субсидий'!K289</f>
        <v>0.1604078587416069</v>
      </c>
      <c r="K287" s="54">
        <f t="shared" si="26"/>
        <v>0.96771693887805277</v>
      </c>
      <c r="L287" s="53" t="s">
        <v>394</v>
      </c>
      <c r="M287" s="53" t="s">
        <v>394</v>
      </c>
      <c r="N287" s="55" t="s">
        <v>394</v>
      </c>
      <c r="O287" s="53" t="s">
        <v>394</v>
      </c>
      <c r="P287" s="53" t="s">
        <v>394</v>
      </c>
      <c r="Q287" s="55" t="s">
        <v>394</v>
      </c>
      <c r="R287" s="53" t="s">
        <v>394</v>
      </c>
      <c r="S287" s="53" t="s">
        <v>394</v>
      </c>
      <c r="T287" s="55" t="s">
        <v>394</v>
      </c>
      <c r="U287" s="53">
        <f>'Расчет субсидий'!Z289-1</f>
        <v>0.28253968253968242</v>
      </c>
      <c r="V287" s="53">
        <f>U287*'Расчет субсидий'!AA289</f>
        <v>4.2380952380952364</v>
      </c>
      <c r="W287" s="54">
        <f t="shared" si="27"/>
        <v>25.56780311549273</v>
      </c>
      <c r="X287" s="56">
        <f t="shared" si="28"/>
        <v>-0.72331230062939778</v>
      </c>
    </row>
    <row r="288" spans="1:24" ht="15" customHeight="1">
      <c r="A288" s="64" t="s">
        <v>270</v>
      </c>
      <c r="B288" s="52">
        <f>'Расчет субсидий'!AF290</f>
        <v>0.13636363636363669</v>
      </c>
      <c r="C288" s="53">
        <f>'Расчет субсидий'!D290-1</f>
        <v>-0.25986554263152273</v>
      </c>
      <c r="D288" s="53">
        <f>C288*'Расчет субсидий'!E290</f>
        <v>-3.8979831394728408</v>
      </c>
      <c r="E288" s="54">
        <f t="shared" si="24"/>
        <v>-1.0619819401049324</v>
      </c>
      <c r="F288" s="53">
        <f>'Расчет субсидий'!F290-1</f>
        <v>0</v>
      </c>
      <c r="G288" s="53">
        <f>F288*'Расчет субсидий'!G290</f>
        <v>0</v>
      </c>
      <c r="H288" s="54">
        <f t="shared" si="25"/>
        <v>0</v>
      </c>
      <c r="I288" s="53">
        <f>'Расчет субсидий'!J290-1</f>
        <v>1.604078587416069E-2</v>
      </c>
      <c r="J288" s="53">
        <f>I288*'Расчет субсидий'!K290</f>
        <v>0.1604078587416069</v>
      </c>
      <c r="K288" s="54">
        <f t="shared" si="26"/>
        <v>4.3702151327808879E-2</v>
      </c>
      <c r="L288" s="53" t="s">
        <v>394</v>
      </c>
      <c r="M288" s="53" t="s">
        <v>394</v>
      </c>
      <c r="N288" s="55" t="s">
        <v>394</v>
      </c>
      <c r="O288" s="53" t="s">
        <v>394</v>
      </c>
      <c r="P288" s="53" t="s">
        <v>394</v>
      </c>
      <c r="Q288" s="55" t="s">
        <v>394</v>
      </c>
      <c r="R288" s="53" t="s">
        <v>394</v>
      </c>
      <c r="S288" s="53" t="s">
        <v>394</v>
      </c>
      <c r="T288" s="55" t="s">
        <v>394</v>
      </c>
      <c r="U288" s="53">
        <f>'Расчет субсидий'!Z290-1</f>
        <v>0.28253968253968242</v>
      </c>
      <c r="V288" s="53">
        <f>U288*'Расчет субсидий'!AA290</f>
        <v>4.2380952380952364</v>
      </c>
      <c r="W288" s="54">
        <f t="shared" si="27"/>
        <v>1.1546434251407602</v>
      </c>
      <c r="X288" s="56">
        <f t="shared" si="28"/>
        <v>0.50051995736400245</v>
      </c>
    </row>
    <row r="289" spans="1:24" ht="15" customHeight="1">
      <c r="A289" s="64" t="s">
        <v>163</v>
      </c>
      <c r="B289" s="52">
        <f>'Расчет субсидий'!AF291</f>
        <v>-5.0999999999999943</v>
      </c>
      <c r="C289" s="53">
        <f>'Расчет субсидий'!D291-1</f>
        <v>-0.41432253726325219</v>
      </c>
      <c r="D289" s="53">
        <f>C289*'Расчет субсидий'!E291</f>
        <v>-6.2148380589487831</v>
      </c>
      <c r="E289" s="54">
        <f t="shared" si="24"/>
        <v>-17.450346308251799</v>
      </c>
      <c r="F289" s="53">
        <f>'Расчет субсидий'!F291-1</f>
        <v>0</v>
      </c>
      <c r="G289" s="53">
        <f>F289*'Расчет субсидий'!G291</f>
        <v>0</v>
      </c>
      <c r="H289" s="54">
        <f t="shared" si="25"/>
        <v>0</v>
      </c>
      <c r="I289" s="53">
        <f>'Расчет субсидий'!J291-1</f>
        <v>1.604078587416069E-2</v>
      </c>
      <c r="J289" s="53">
        <f>I289*'Расчет субсидий'!K291</f>
        <v>0.1604078587416069</v>
      </c>
      <c r="K289" s="54">
        <f t="shared" si="26"/>
        <v>0.45040154852878755</v>
      </c>
      <c r="L289" s="53" t="s">
        <v>394</v>
      </c>
      <c r="M289" s="53" t="s">
        <v>394</v>
      </c>
      <c r="N289" s="55" t="s">
        <v>394</v>
      </c>
      <c r="O289" s="53" t="s">
        <v>394</v>
      </c>
      <c r="P289" s="53" t="s">
        <v>394</v>
      </c>
      <c r="Q289" s="55" t="s">
        <v>394</v>
      </c>
      <c r="R289" s="53" t="s">
        <v>394</v>
      </c>
      <c r="S289" s="53" t="s">
        <v>394</v>
      </c>
      <c r="T289" s="55" t="s">
        <v>394</v>
      </c>
      <c r="U289" s="53">
        <f>'Расчет субсидий'!Z291-1</f>
        <v>0.28253968253968242</v>
      </c>
      <c r="V289" s="53">
        <f>U289*'Расчет субсидий'!AA291</f>
        <v>4.2380952380952364</v>
      </c>
      <c r="W289" s="54">
        <f t="shared" si="27"/>
        <v>11.899944759723017</v>
      </c>
      <c r="X289" s="56">
        <f t="shared" si="28"/>
        <v>-1.8163349621119398</v>
      </c>
    </row>
    <row r="290" spans="1:24" ht="15" customHeight="1">
      <c r="A290" s="60" t="s">
        <v>271</v>
      </c>
      <c r="B290" s="61"/>
      <c r="C290" s="62"/>
      <c r="D290" s="62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</row>
    <row r="291" spans="1:24" ht="15" customHeight="1">
      <c r="A291" s="64" t="s">
        <v>67</v>
      </c>
      <c r="B291" s="52">
        <f>'Расчет субсидий'!AF293</f>
        <v>-45.827272727272714</v>
      </c>
      <c r="C291" s="53">
        <f>'Расчет субсидий'!D293-1</f>
        <v>-0.34712680837307042</v>
      </c>
      <c r="D291" s="53">
        <f>C291*'Расчет субсидий'!E293</f>
        <v>-5.2069021255960566</v>
      </c>
      <c r="E291" s="54">
        <f t="shared" si="24"/>
        <v>-24.023042102040147</v>
      </c>
      <c r="F291" s="53">
        <f>'Расчет субсидий'!F293-1</f>
        <v>0</v>
      </c>
      <c r="G291" s="53">
        <f>F291*'Расчет субсидий'!G293</f>
        <v>0</v>
      </c>
      <c r="H291" s="54">
        <f t="shared" si="25"/>
        <v>0</v>
      </c>
      <c r="I291" s="53">
        <f>'Расчет субсидий'!J293-1</f>
        <v>-0.14313870933559392</v>
      </c>
      <c r="J291" s="53">
        <f>I291*'Расчет субсидий'!K293</f>
        <v>-1.4313870933559392</v>
      </c>
      <c r="K291" s="54">
        <f t="shared" si="26"/>
        <v>-6.6039790221849515</v>
      </c>
      <c r="L291" s="53" t="s">
        <v>394</v>
      </c>
      <c r="M291" s="53" t="s">
        <v>394</v>
      </c>
      <c r="N291" s="55" t="s">
        <v>394</v>
      </c>
      <c r="O291" s="53" t="s">
        <v>394</v>
      </c>
      <c r="P291" s="53" t="s">
        <v>394</v>
      </c>
      <c r="Q291" s="55" t="s">
        <v>394</v>
      </c>
      <c r="R291" s="53" t="s">
        <v>394</v>
      </c>
      <c r="S291" s="53" t="s">
        <v>394</v>
      </c>
      <c r="T291" s="55" t="s">
        <v>394</v>
      </c>
      <c r="U291" s="53">
        <f>'Расчет субсидий'!Z293-1</f>
        <v>-0.21963974433468902</v>
      </c>
      <c r="V291" s="53">
        <f>U291*'Расчет субсидий'!AA293</f>
        <v>-3.2945961650203355</v>
      </c>
      <c r="W291" s="54">
        <f t="shared" si="27"/>
        <v>-15.200251603047622</v>
      </c>
      <c r="X291" s="56">
        <f t="shared" si="28"/>
        <v>-9.9328853839723301</v>
      </c>
    </row>
    <row r="292" spans="1:24" ht="15" customHeight="1">
      <c r="A292" s="64" t="s">
        <v>272</v>
      </c>
      <c r="B292" s="52">
        <f>'Расчет субсидий'!AF294</f>
        <v>-4.1363636363636367</v>
      </c>
      <c r="C292" s="53">
        <f>'Расчет субсидий'!D294-1</f>
        <v>-0.52192192192192188</v>
      </c>
      <c r="D292" s="53">
        <f>C292*'Расчет субсидий'!E294</f>
        <v>-7.8288288288288284</v>
      </c>
      <c r="E292" s="54">
        <f t="shared" si="24"/>
        <v>-2.5793203958731503</v>
      </c>
      <c r="F292" s="53">
        <f>'Расчет субсидий'!F294-1</f>
        <v>0</v>
      </c>
      <c r="G292" s="53">
        <f>F292*'Расчет субсидий'!G294</f>
        <v>0</v>
      </c>
      <c r="H292" s="54">
        <f t="shared" si="25"/>
        <v>0</v>
      </c>
      <c r="I292" s="53">
        <f>'Расчет субсидий'!J294-1</f>
        <v>-0.14313870933559392</v>
      </c>
      <c r="J292" s="53">
        <f>I292*'Расчет субсидий'!K294</f>
        <v>-1.4313870933559392</v>
      </c>
      <c r="K292" s="54">
        <f t="shared" si="26"/>
        <v>-0.47159109044345698</v>
      </c>
      <c r="L292" s="53" t="s">
        <v>394</v>
      </c>
      <c r="M292" s="53" t="s">
        <v>394</v>
      </c>
      <c r="N292" s="55" t="s">
        <v>394</v>
      </c>
      <c r="O292" s="53" t="s">
        <v>394</v>
      </c>
      <c r="P292" s="53" t="s">
        <v>394</v>
      </c>
      <c r="Q292" s="55" t="s">
        <v>394</v>
      </c>
      <c r="R292" s="53" t="s">
        <v>394</v>
      </c>
      <c r="S292" s="53" t="s">
        <v>394</v>
      </c>
      <c r="T292" s="55" t="s">
        <v>394</v>
      </c>
      <c r="U292" s="53">
        <f>'Расчет субсидий'!Z294-1</f>
        <v>-0.21963974433468902</v>
      </c>
      <c r="V292" s="53">
        <f>U292*'Расчет субсидий'!AA294</f>
        <v>-3.2945961650203355</v>
      </c>
      <c r="W292" s="54">
        <f t="shared" si="27"/>
        <v>-1.0854521500470289</v>
      </c>
      <c r="X292" s="56">
        <f t="shared" si="28"/>
        <v>-12.554812087205104</v>
      </c>
    </row>
    <row r="293" spans="1:24" ht="15" customHeight="1">
      <c r="A293" s="64" t="s">
        <v>273</v>
      </c>
      <c r="B293" s="52">
        <f>'Расчет субсидий'!AF295</f>
        <v>-7.2272727272727266</v>
      </c>
      <c r="C293" s="53">
        <f>'Расчет субсидий'!D295-1</f>
        <v>-0.30550660792951534</v>
      </c>
      <c r="D293" s="53">
        <f>C293*'Расчет субсидий'!E295</f>
        <v>-4.5825991189427304</v>
      </c>
      <c r="E293" s="54">
        <f t="shared" si="24"/>
        <v>-3.5579739524094682</v>
      </c>
      <c r="F293" s="53">
        <f>'Расчет субсидий'!F295-1</f>
        <v>0</v>
      </c>
      <c r="G293" s="53">
        <f>F293*'Расчет субсидий'!G295</f>
        <v>0</v>
      </c>
      <c r="H293" s="54">
        <f t="shared" si="25"/>
        <v>0</v>
      </c>
      <c r="I293" s="53">
        <f>'Расчет субсидий'!J295-1</f>
        <v>-0.14313870933559392</v>
      </c>
      <c r="J293" s="53">
        <f>I293*'Расчет субсидий'!K295</f>
        <v>-1.4313870933559392</v>
      </c>
      <c r="K293" s="54">
        <f t="shared" si="26"/>
        <v>-1.111342681694252</v>
      </c>
      <c r="L293" s="53" t="s">
        <v>394</v>
      </c>
      <c r="M293" s="53" t="s">
        <v>394</v>
      </c>
      <c r="N293" s="55" t="s">
        <v>394</v>
      </c>
      <c r="O293" s="53" t="s">
        <v>394</v>
      </c>
      <c r="P293" s="53" t="s">
        <v>394</v>
      </c>
      <c r="Q293" s="55" t="s">
        <v>394</v>
      </c>
      <c r="R293" s="53" t="s">
        <v>394</v>
      </c>
      <c r="S293" s="53" t="s">
        <v>394</v>
      </c>
      <c r="T293" s="55" t="s">
        <v>394</v>
      </c>
      <c r="U293" s="53">
        <f>'Расчет субсидий'!Z295-1</f>
        <v>-0.21963974433468902</v>
      </c>
      <c r="V293" s="53">
        <f>U293*'Расчет субсидий'!AA295</f>
        <v>-3.2945961650203355</v>
      </c>
      <c r="W293" s="54">
        <f t="shared" si="27"/>
        <v>-2.5579560931690062</v>
      </c>
      <c r="X293" s="56">
        <f t="shared" si="28"/>
        <v>-9.3085823773190057</v>
      </c>
    </row>
    <row r="294" spans="1:24" ht="15" customHeight="1">
      <c r="A294" s="64" t="s">
        <v>49</v>
      </c>
      <c r="B294" s="52">
        <f>'Расчет субсидий'!AF296</f>
        <v>-2.5090909090909115</v>
      </c>
      <c r="C294" s="53">
        <f>'Расчет субсидий'!D296-1</f>
        <v>-4.7453412863207811E-2</v>
      </c>
      <c r="D294" s="53">
        <f>C294*'Расчет субсидий'!E296</f>
        <v>-0.71180119294811717</v>
      </c>
      <c r="E294" s="54">
        <f t="shared" si="24"/>
        <v>-0.3284377890100455</v>
      </c>
      <c r="F294" s="53">
        <f>'Расчет субсидий'!F296-1</f>
        <v>0</v>
      </c>
      <c r="G294" s="53">
        <f>F294*'Расчет субсидий'!G296</f>
        <v>0</v>
      </c>
      <c r="H294" s="54">
        <f t="shared" si="25"/>
        <v>0</v>
      </c>
      <c r="I294" s="53">
        <f>'Расчет субсидий'!J296-1</f>
        <v>-0.14313870933559392</v>
      </c>
      <c r="J294" s="53">
        <f>I294*'Расчет субсидий'!K296</f>
        <v>-1.4313870933559392</v>
      </c>
      <c r="K294" s="54">
        <f t="shared" si="26"/>
        <v>-0.66046758114046489</v>
      </c>
      <c r="L294" s="53" t="s">
        <v>394</v>
      </c>
      <c r="M294" s="53" t="s">
        <v>394</v>
      </c>
      <c r="N294" s="55" t="s">
        <v>394</v>
      </c>
      <c r="O294" s="53" t="s">
        <v>394</v>
      </c>
      <c r="P294" s="53" t="s">
        <v>394</v>
      </c>
      <c r="Q294" s="55" t="s">
        <v>394</v>
      </c>
      <c r="R294" s="53" t="s">
        <v>394</v>
      </c>
      <c r="S294" s="53" t="s">
        <v>394</v>
      </c>
      <c r="T294" s="55" t="s">
        <v>394</v>
      </c>
      <c r="U294" s="53">
        <f>'Расчет субсидий'!Z296-1</f>
        <v>-0.21963974433468902</v>
      </c>
      <c r="V294" s="53">
        <f>U294*'Расчет субсидий'!AA296</f>
        <v>-3.2945961650203355</v>
      </c>
      <c r="W294" s="54">
        <f t="shared" si="27"/>
        <v>-1.5201855389404013</v>
      </c>
      <c r="X294" s="56">
        <f t="shared" si="28"/>
        <v>-5.4377844513243918</v>
      </c>
    </row>
    <row r="295" spans="1:24" ht="15" customHeight="1">
      <c r="A295" s="64" t="s">
        <v>274</v>
      </c>
      <c r="B295" s="52">
        <f>'Расчет субсидий'!AF297</f>
        <v>-26.172727272727286</v>
      </c>
      <c r="C295" s="53">
        <f>'Расчет субсидий'!D297-1</f>
        <v>-9.9580831539594516E-2</v>
      </c>
      <c r="D295" s="53">
        <f>C295*'Расчет субсидий'!E297</f>
        <v>-1.4937124730939177</v>
      </c>
      <c r="E295" s="54">
        <f t="shared" si="24"/>
        <v>-6.2856015583445686</v>
      </c>
      <c r="F295" s="53">
        <f>'Расчет субсидий'!F297-1</f>
        <v>0</v>
      </c>
      <c r="G295" s="53">
        <f>F295*'Расчет субсидий'!G297</f>
        <v>0</v>
      </c>
      <c r="H295" s="54">
        <f t="shared" si="25"/>
        <v>0</v>
      </c>
      <c r="I295" s="53">
        <f>'Расчет субсидий'!J297-1</f>
        <v>-0.14313870933559392</v>
      </c>
      <c r="J295" s="53">
        <f>I295*'Расчет субсидий'!K297</f>
        <v>-1.4313870933559392</v>
      </c>
      <c r="K295" s="54">
        <f t="shared" si="26"/>
        <v>-6.0233338789470601</v>
      </c>
      <c r="L295" s="53" t="s">
        <v>394</v>
      </c>
      <c r="M295" s="53" t="s">
        <v>394</v>
      </c>
      <c r="N295" s="55" t="s">
        <v>394</v>
      </c>
      <c r="O295" s="53" t="s">
        <v>394</v>
      </c>
      <c r="P295" s="53" t="s">
        <v>394</v>
      </c>
      <c r="Q295" s="55" t="s">
        <v>394</v>
      </c>
      <c r="R295" s="53" t="s">
        <v>394</v>
      </c>
      <c r="S295" s="53" t="s">
        <v>394</v>
      </c>
      <c r="T295" s="55" t="s">
        <v>394</v>
      </c>
      <c r="U295" s="53">
        <f>'Расчет субсидий'!Z297-1</f>
        <v>-0.21963974433468902</v>
      </c>
      <c r="V295" s="53">
        <f>U295*'Расчет субсидий'!AA297</f>
        <v>-3.2945961650203355</v>
      </c>
      <c r="W295" s="54">
        <f t="shared" si="27"/>
        <v>-13.863791835435658</v>
      </c>
      <c r="X295" s="56">
        <f t="shared" si="28"/>
        <v>-6.2196957314701926</v>
      </c>
    </row>
    <row r="296" spans="1:24" ht="15" customHeight="1">
      <c r="A296" s="64" t="s">
        <v>275</v>
      </c>
      <c r="B296" s="52">
        <f>'Расчет субсидий'!AF298</f>
        <v>-80.045454545454561</v>
      </c>
      <c r="C296" s="53">
        <f>'Расчет субсидий'!D298-1</f>
        <v>-0.56443260837401987</v>
      </c>
      <c r="D296" s="53">
        <f>C296*'Расчет субсидий'!E298</f>
        <v>-8.4664891256102983</v>
      </c>
      <c r="E296" s="54">
        <f t="shared" si="24"/>
        <v>-51.370505143997299</v>
      </c>
      <c r="F296" s="53">
        <f>'Расчет субсидий'!F298-1</f>
        <v>0</v>
      </c>
      <c r="G296" s="53">
        <f>F296*'Расчет субсидий'!G298</f>
        <v>0</v>
      </c>
      <c r="H296" s="54">
        <f t="shared" si="25"/>
        <v>0</v>
      </c>
      <c r="I296" s="53">
        <f>'Расчет субсидий'!J298-1</f>
        <v>-0.14313870933559392</v>
      </c>
      <c r="J296" s="53">
        <f>I296*'Расчет субсидий'!K298</f>
        <v>-1.4313870933559392</v>
      </c>
      <c r="K296" s="54">
        <f t="shared" si="26"/>
        <v>-8.6849551155588589</v>
      </c>
      <c r="L296" s="53" t="s">
        <v>394</v>
      </c>
      <c r="M296" s="53" t="s">
        <v>394</v>
      </c>
      <c r="N296" s="55" t="s">
        <v>394</v>
      </c>
      <c r="O296" s="53" t="s">
        <v>394</v>
      </c>
      <c r="P296" s="53" t="s">
        <v>394</v>
      </c>
      <c r="Q296" s="55" t="s">
        <v>394</v>
      </c>
      <c r="R296" s="53" t="s">
        <v>394</v>
      </c>
      <c r="S296" s="53" t="s">
        <v>394</v>
      </c>
      <c r="T296" s="55" t="s">
        <v>394</v>
      </c>
      <c r="U296" s="53">
        <f>'Расчет субсидий'!Z298-1</f>
        <v>-0.21963974433468902</v>
      </c>
      <c r="V296" s="53">
        <f>U296*'Расчет субсидий'!AA298</f>
        <v>-3.2945961650203355</v>
      </c>
      <c r="W296" s="54">
        <f t="shared" si="27"/>
        <v>-19.989994285898412</v>
      </c>
      <c r="X296" s="56">
        <f t="shared" si="28"/>
        <v>-13.192472383986573</v>
      </c>
    </row>
    <row r="297" spans="1:24" ht="15" customHeight="1">
      <c r="A297" s="64" t="s">
        <v>276</v>
      </c>
      <c r="B297" s="52">
        <f>'Расчет субсидий'!AF299</f>
        <v>-4.0636363636363662</v>
      </c>
      <c r="C297" s="53">
        <f>'Расчет субсидий'!D299-1</f>
        <v>-0.12053909776913685</v>
      </c>
      <c r="D297" s="53">
        <f>C297*'Расчет субсидий'!E299</f>
        <v>-1.8080864665370528</v>
      </c>
      <c r="E297" s="54">
        <f t="shared" si="24"/>
        <v>-1.1244762029404602</v>
      </c>
      <c r="F297" s="53">
        <f>'Расчет субсидий'!F299-1</f>
        <v>0</v>
      </c>
      <c r="G297" s="53">
        <f>F297*'Расчет субсидий'!G299</f>
        <v>0</v>
      </c>
      <c r="H297" s="54">
        <f t="shared" si="25"/>
        <v>0</v>
      </c>
      <c r="I297" s="53">
        <f>'Расчет субсидий'!J299-1</f>
        <v>-0.14313870933559392</v>
      </c>
      <c r="J297" s="53">
        <f>I297*'Расчет субсидий'!K299</f>
        <v>-1.4313870933559392</v>
      </c>
      <c r="K297" s="54">
        <f t="shared" si="26"/>
        <v>-0.8902011897459684</v>
      </c>
      <c r="L297" s="53" t="s">
        <v>394</v>
      </c>
      <c r="M297" s="53" t="s">
        <v>394</v>
      </c>
      <c r="N297" s="55" t="s">
        <v>394</v>
      </c>
      <c r="O297" s="53" t="s">
        <v>394</v>
      </c>
      <c r="P297" s="53" t="s">
        <v>394</v>
      </c>
      <c r="Q297" s="55" t="s">
        <v>394</v>
      </c>
      <c r="R297" s="53" t="s">
        <v>394</v>
      </c>
      <c r="S297" s="53" t="s">
        <v>394</v>
      </c>
      <c r="T297" s="55" t="s">
        <v>394</v>
      </c>
      <c r="U297" s="53">
        <f>'Расчет субсидий'!Z299-1</f>
        <v>-0.21963974433468902</v>
      </c>
      <c r="V297" s="53">
        <f>U297*'Расчет субсидий'!AA299</f>
        <v>-3.2945961650203355</v>
      </c>
      <c r="W297" s="54">
        <f t="shared" si="27"/>
        <v>-2.0489589709499376</v>
      </c>
      <c r="X297" s="56">
        <f t="shared" si="28"/>
        <v>-6.5340697249133273</v>
      </c>
    </row>
    <row r="298" spans="1:24" ht="15" customHeight="1">
      <c r="A298" s="64" t="s">
        <v>277</v>
      </c>
      <c r="B298" s="52">
        <f>'Расчет субсидий'!AF300</f>
        <v>-45.854545454545416</v>
      </c>
      <c r="C298" s="53">
        <f>'Расчет субсидий'!D300-1</f>
        <v>-0.19026320316531919</v>
      </c>
      <c r="D298" s="53">
        <f>C298*'Расчет субсидий'!E300</f>
        <v>-2.853948047479788</v>
      </c>
      <c r="E298" s="54">
        <f t="shared" si="24"/>
        <v>-17.264864968758879</v>
      </c>
      <c r="F298" s="53">
        <f>'Расчет субсидий'!F300-1</f>
        <v>0</v>
      </c>
      <c r="G298" s="53">
        <f>F298*'Расчет субсидий'!G300</f>
        <v>0</v>
      </c>
      <c r="H298" s="54">
        <f t="shared" si="25"/>
        <v>0</v>
      </c>
      <c r="I298" s="53">
        <f>'Расчет субсидий'!J300-1</f>
        <v>-0.14313870933559392</v>
      </c>
      <c r="J298" s="53">
        <f>I298*'Расчет субсидий'!K300</f>
        <v>-1.4313870933559392</v>
      </c>
      <c r="K298" s="54">
        <f t="shared" si="26"/>
        <v>-8.6591292040643104</v>
      </c>
      <c r="L298" s="53" t="s">
        <v>394</v>
      </c>
      <c r="M298" s="53" t="s">
        <v>394</v>
      </c>
      <c r="N298" s="55" t="s">
        <v>394</v>
      </c>
      <c r="O298" s="53" t="s">
        <v>394</v>
      </c>
      <c r="P298" s="53" t="s">
        <v>394</v>
      </c>
      <c r="Q298" s="55" t="s">
        <v>394</v>
      </c>
      <c r="R298" s="53" t="s">
        <v>394</v>
      </c>
      <c r="S298" s="53" t="s">
        <v>394</v>
      </c>
      <c r="T298" s="55" t="s">
        <v>394</v>
      </c>
      <c r="U298" s="53">
        <f>'Расчет субсидий'!Z300-1</f>
        <v>-0.21963974433468902</v>
      </c>
      <c r="V298" s="53">
        <f>U298*'Расчет субсидий'!AA300</f>
        <v>-3.2945961650203355</v>
      </c>
      <c r="W298" s="54">
        <f t="shared" si="27"/>
        <v>-19.930551281722227</v>
      </c>
      <c r="X298" s="56">
        <f t="shared" si="28"/>
        <v>-7.5799313058560625</v>
      </c>
    </row>
    <row r="299" spans="1:24" ht="15" customHeight="1">
      <c r="A299" s="64" t="s">
        <v>278</v>
      </c>
      <c r="B299" s="52">
        <f>'Расчет субсидий'!AF301</f>
        <v>-39.200000000000003</v>
      </c>
      <c r="C299" s="53">
        <f>'Расчет субсидий'!D301-1</f>
        <v>-0.61270417422867518</v>
      </c>
      <c r="D299" s="53">
        <f>C299*'Расчет субсидий'!E301</f>
        <v>-9.1905626134301279</v>
      </c>
      <c r="E299" s="54">
        <f t="shared" si="24"/>
        <v>-25.887893286532677</v>
      </c>
      <c r="F299" s="53">
        <f>'Расчет субсидий'!F301-1</f>
        <v>0</v>
      </c>
      <c r="G299" s="53">
        <f>F299*'Расчет субсидий'!G301</f>
        <v>0</v>
      </c>
      <c r="H299" s="54">
        <f t="shared" si="25"/>
        <v>0</v>
      </c>
      <c r="I299" s="53">
        <f>'Расчет субсидий'!J301-1</f>
        <v>-0.14313870933559392</v>
      </c>
      <c r="J299" s="53">
        <f>I299*'Расчет субсидий'!K301</f>
        <v>-1.4313870933559392</v>
      </c>
      <c r="K299" s="54">
        <f t="shared" si="26"/>
        <v>-4.0319181624821931</v>
      </c>
      <c r="L299" s="53" t="s">
        <v>394</v>
      </c>
      <c r="M299" s="53" t="s">
        <v>394</v>
      </c>
      <c r="N299" s="55" t="s">
        <v>394</v>
      </c>
      <c r="O299" s="53" t="s">
        <v>394</v>
      </c>
      <c r="P299" s="53" t="s">
        <v>394</v>
      </c>
      <c r="Q299" s="55" t="s">
        <v>394</v>
      </c>
      <c r="R299" s="53" t="s">
        <v>394</v>
      </c>
      <c r="S299" s="53" t="s">
        <v>394</v>
      </c>
      <c r="T299" s="55" t="s">
        <v>394</v>
      </c>
      <c r="U299" s="53">
        <f>'Расчет субсидий'!Z301-1</f>
        <v>-0.21963974433468902</v>
      </c>
      <c r="V299" s="53">
        <f>U299*'Расчет субсидий'!AA301</f>
        <v>-3.2945961650203355</v>
      </c>
      <c r="W299" s="54">
        <f t="shared" si="27"/>
        <v>-9.2801885509851303</v>
      </c>
      <c r="X299" s="56">
        <f t="shared" si="28"/>
        <v>-13.916545871806402</v>
      </c>
    </row>
    <row r="300" spans="1:24" ht="15" customHeight="1">
      <c r="A300" s="64" t="s">
        <v>279</v>
      </c>
      <c r="B300" s="52">
        <f>'Расчет субсидий'!AF302</f>
        <v>-0.93636363636363384</v>
      </c>
      <c r="C300" s="53">
        <f>'Расчет субсидий'!D302-1</f>
        <v>0.20562868815251933</v>
      </c>
      <c r="D300" s="53">
        <f>C300*'Расчет субсидий'!E302</f>
        <v>3.08443032228779</v>
      </c>
      <c r="E300" s="54">
        <f t="shared" si="24"/>
        <v>1.7594000956006759</v>
      </c>
      <c r="F300" s="53">
        <f>'Расчет субсидий'!F302-1</f>
        <v>0</v>
      </c>
      <c r="G300" s="53">
        <f>F300*'Расчет субсидий'!G302</f>
        <v>0</v>
      </c>
      <c r="H300" s="54">
        <f t="shared" si="25"/>
        <v>0</v>
      </c>
      <c r="I300" s="53">
        <f>'Расчет субсидий'!J302-1</f>
        <v>-0.14313870933559392</v>
      </c>
      <c r="J300" s="53">
        <f>I300*'Расчет субсидий'!K302</f>
        <v>-1.4313870933559392</v>
      </c>
      <c r="K300" s="54">
        <f t="shared" si="26"/>
        <v>-0.81648224331554142</v>
      </c>
      <c r="L300" s="53" t="s">
        <v>394</v>
      </c>
      <c r="M300" s="53" t="s">
        <v>394</v>
      </c>
      <c r="N300" s="55" t="s">
        <v>394</v>
      </c>
      <c r="O300" s="53" t="s">
        <v>394</v>
      </c>
      <c r="P300" s="53" t="s">
        <v>394</v>
      </c>
      <c r="Q300" s="55" t="s">
        <v>394</v>
      </c>
      <c r="R300" s="53" t="s">
        <v>394</v>
      </c>
      <c r="S300" s="53" t="s">
        <v>394</v>
      </c>
      <c r="T300" s="55" t="s">
        <v>394</v>
      </c>
      <c r="U300" s="53">
        <f>'Расчет субсидий'!Z302-1</f>
        <v>-0.21963974433468902</v>
      </c>
      <c r="V300" s="53">
        <f>U300*'Расчет субсидий'!AA302</f>
        <v>-3.2945961650203355</v>
      </c>
      <c r="W300" s="54">
        <f t="shared" si="27"/>
        <v>-1.8792814886487683</v>
      </c>
      <c r="X300" s="56">
        <f t="shared" si="28"/>
        <v>-1.6415529360884846</v>
      </c>
    </row>
    <row r="301" spans="1:24" ht="15" customHeight="1">
      <c r="A301" s="64" t="s">
        <v>280</v>
      </c>
      <c r="B301" s="52">
        <f>'Расчет субсидий'!AF303</f>
        <v>-67.290909090909054</v>
      </c>
      <c r="C301" s="53">
        <f>'Расчет субсидий'!D303-1</f>
        <v>-0.42304968127086906</v>
      </c>
      <c r="D301" s="53">
        <f>C301*'Расчет субсидий'!E303</f>
        <v>-6.3457452190630361</v>
      </c>
      <c r="E301" s="54">
        <f t="shared" si="24"/>
        <v>-38.567687558465245</v>
      </c>
      <c r="F301" s="53">
        <f>'Расчет субсидий'!F303-1</f>
        <v>0</v>
      </c>
      <c r="G301" s="53">
        <f>F301*'Расчет субсидий'!G303</f>
        <v>0</v>
      </c>
      <c r="H301" s="54">
        <f t="shared" si="25"/>
        <v>0</v>
      </c>
      <c r="I301" s="53">
        <f>'Расчет субсидий'!J303-1</f>
        <v>-0.14313870933559392</v>
      </c>
      <c r="J301" s="53">
        <f>I301*'Расчет субсидий'!K303</f>
        <v>-1.4313870933559392</v>
      </c>
      <c r="K301" s="54">
        <f t="shared" si="26"/>
        <v>-8.6995755874237233</v>
      </c>
      <c r="L301" s="53" t="s">
        <v>394</v>
      </c>
      <c r="M301" s="53" t="s">
        <v>394</v>
      </c>
      <c r="N301" s="55" t="s">
        <v>394</v>
      </c>
      <c r="O301" s="53" t="s">
        <v>394</v>
      </c>
      <c r="P301" s="53" t="s">
        <v>394</v>
      </c>
      <c r="Q301" s="55" t="s">
        <v>394</v>
      </c>
      <c r="R301" s="53" t="s">
        <v>394</v>
      </c>
      <c r="S301" s="53" t="s">
        <v>394</v>
      </c>
      <c r="T301" s="55" t="s">
        <v>394</v>
      </c>
      <c r="U301" s="53">
        <f>'Расчет субсидий'!Z303-1</f>
        <v>-0.21963974433468902</v>
      </c>
      <c r="V301" s="53">
        <f>U301*'Расчет субсидий'!AA303</f>
        <v>-3.2945961650203355</v>
      </c>
      <c r="W301" s="54">
        <f t="shared" si="27"/>
        <v>-20.023645945020078</v>
      </c>
      <c r="X301" s="56">
        <f t="shared" si="28"/>
        <v>-11.071728477439311</v>
      </c>
    </row>
    <row r="302" spans="1:24" ht="15" customHeight="1">
      <c r="A302" s="64" t="s">
        <v>281</v>
      </c>
      <c r="B302" s="52">
        <f>'Расчет субсидий'!AF304</f>
        <v>-4.2454545454545443</v>
      </c>
      <c r="C302" s="53">
        <f>'Расчет субсидий'!D304-1</f>
        <v>-0.58504698046778647</v>
      </c>
      <c r="D302" s="53">
        <f>C302*'Расчет субсидий'!E304</f>
        <v>-8.7757047070167964</v>
      </c>
      <c r="E302" s="54">
        <f t="shared" si="24"/>
        <v>-2.759422046596427</v>
      </c>
      <c r="F302" s="53">
        <f>'Расчет субсидий'!F304-1</f>
        <v>0</v>
      </c>
      <c r="G302" s="53">
        <f>F302*'Расчет субсидий'!G304</f>
        <v>0</v>
      </c>
      <c r="H302" s="54">
        <f t="shared" si="25"/>
        <v>0</v>
      </c>
      <c r="I302" s="53">
        <f>'Расчет субсидий'!J304-1</f>
        <v>-0.14313870933559392</v>
      </c>
      <c r="J302" s="53">
        <f>I302*'Расчет субсидий'!K304</f>
        <v>-1.4313870933559392</v>
      </c>
      <c r="K302" s="54">
        <f t="shared" si="26"/>
        <v>-0.45008363823611924</v>
      </c>
      <c r="L302" s="53" t="s">
        <v>394</v>
      </c>
      <c r="M302" s="53" t="s">
        <v>394</v>
      </c>
      <c r="N302" s="55" t="s">
        <v>394</v>
      </c>
      <c r="O302" s="53" t="s">
        <v>394</v>
      </c>
      <c r="P302" s="53" t="s">
        <v>394</v>
      </c>
      <c r="Q302" s="55" t="s">
        <v>394</v>
      </c>
      <c r="R302" s="53" t="s">
        <v>394</v>
      </c>
      <c r="S302" s="53" t="s">
        <v>394</v>
      </c>
      <c r="T302" s="55" t="s">
        <v>394</v>
      </c>
      <c r="U302" s="53">
        <f>'Расчет субсидий'!Z304-1</f>
        <v>-0.21963974433468902</v>
      </c>
      <c r="V302" s="53">
        <f>U302*'Расчет субсидий'!AA304</f>
        <v>-3.2945961650203355</v>
      </c>
      <c r="W302" s="54">
        <f t="shared" si="27"/>
        <v>-1.035948860621998</v>
      </c>
      <c r="X302" s="56">
        <f t="shared" si="28"/>
        <v>-13.501687965393071</v>
      </c>
    </row>
    <row r="303" spans="1:24" ht="15" customHeight="1">
      <c r="A303" s="64" t="s">
        <v>282</v>
      </c>
      <c r="B303" s="52">
        <f>'Расчет субсидий'!AF305</f>
        <v>-28.063636363636363</v>
      </c>
      <c r="C303" s="53">
        <f>'Расчет субсидий'!D305-1</f>
        <v>-5.0000000000000044E-2</v>
      </c>
      <c r="D303" s="53">
        <f>C303*'Расчет субсидий'!E305</f>
        <v>-0.75000000000000067</v>
      </c>
      <c r="E303" s="54">
        <f t="shared" si="24"/>
        <v>-3.8436434663184689</v>
      </c>
      <c r="F303" s="53">
        <f>'Расчет субсидий'!F305-1</f>
        <v>0</v>
      </c>
      <c r="G303" s="53">
        <f>F303*'Расчет субсидий'!G305</f>
        <v>0</v>
      </c>
      <c r="H303" s="54">
        <f t="shared" si="25"/>
        <v>0</v>
      </c>
      <c r="I303" s="53">
        <f>'Расчет субсидий'!J305-1</f>
        <v>-0.14313870933559392</v>
      </c>
      <c r="J303" s="53">
        <f>I303*'Расчет субсидий'!K305</f>
        <v>-1.4313870933559392</v>
      </c>
      <c r="K303" s="54">
        <f t="shared" si="26"/>
        <v>-7.33565553220018</v>
      </c>
      <c r="L303" s="53" t="s">
        <v>394</v>
      </c>
      <c r="M303" s="53" t="s">
        <v>394</v>
      </c>
      <c r="N303" s="55" t="s">
        <v>394</v>
      </c>
      <c r="O303" s="53" t="s">
        <v>394</v>
      </c>
      <c r="P303" s="53" t="s">
        <v>394</v>
      </c>
      <c r="Q303" s="55" t="s">
        <v>394</v>
      </c>
      <c r="R303" s="53" t="s">
        <v>394</v>
      </c>
      <c r="S303" s="53" t="s">
        <v>394</v>
      </c>
      <c r="T303" s="55" t="s">
        <v>394</v>
      </c>
      <c r="U303" s="53">
        <f>'Расчет субсидий'!Z305-1</f>
        <v>-0.21963974433468902</v>
      </c>
      <c r="V303" s="53">
        <f>U303*'Расчет субсидий'!AA305</f>
        <v>-3.2945961650203355</v>
      </c>
      <c r="W303" s="54">
        <f t="shared" si="27"/>
        <v>-16.884337365117716</v>
      </c>
      <c r="X303" s="56">
        <f t="shared" si="28"/>
        <v>-5.4759832583762753</v>
      </c>
    </row>
    <row r="304" spans="1:24" ht="15" customHeight="1">
      <c r="A304" s="64" t="s">
        <v>283</v>
      </c>
      <c r="B304" s="52">
        <f>'Расчет субсидий'!AF306</f>
        <v>-0.87272727272727302</v>
      </c>
      <c r="C304" s="53">
        <f>'Расчет субсидий'!D306-1</f>
        <v>8.0502675127535062E-2</v>
      </c>
      <c r="D304" s="53">
        <f>C304*'Расчет субсидий'!E306</f>
        <v>1.2075401269130259</v>
      </c>
      <c r="E304" s="54">
        <f t="shared" si="24"/>
        <v>0.29952259061560399</v>
      </c>
      <c r="F304" s="53">
        <f>'Расчет субсидий'!F306-1</f>
        <v>0</v>
      </c>
      <c r="G304" s="53">
        <f>F304*'Расчет субсидий'!G306</f>
        <v>0</v>
      </c>
      <c r="H304" s="54">
        <f t="shared" si="25"/>
        <v>0</v>
      </c>
      <c r="I304" s="53">
        <f>'Расчет субсидий'!J306-1</f>
        <v>-0.14313870933559392</v>
      </c>
      <c r="J304" s="53">
        <f>I304*'Расчет субсидий'!K306</f>
        <v>-1.4313870933559392</v>
      </c>
      <c r="K304" s="54">
        <f t="shared" si="26"/>
        <v>-0.35504639624003986</v>
      </c>
      <c r="L304" s="53" t="s">
        <v>394</v>
      </c>
      <c r="M304" s="53" t="s">
        <v>394</v>
      </c>
      <c r="N304" s="55" t="s">
        <v>394</v>
      </c>
      <c r="O304" s="53" t="s">
        <v>394</v>
      </c>
      <c r="P304" s="53" t="s">
        <v>394</v>
      </c>
      <c r="Q304" s="55" t="s">
        <v>394</v>
      </c>
      <c r="R304" s="53" t="s">
        <v>394</v>
      </c>
      <c r="S304" s="53" t="s">
        <v>394</v>
      </c>
      <c r="T304" s="55" t="s">
        <v>394</v>
      </c>
      <c r="U304" s="53">
        <f>'Расчет субсидий'!Z306-1</f>
        <v>-0.21963974433468902</v>
      </c>
      <c r="V304" s="53">
        <f>U304*'Расчет субсидий'!AA306</f>
        <v>-3.2945961650203355</v>
      </c>
      <c r="W304" s="54">
        <f t="shared" si="27"/>
        <v>-0.81720346710283709</v>
      </c>
      <c r="X304" s="56">
        <f t="shared" si="28"/>
        <v>-3.5184431314632487</v>
      </c>
    </row>
    <row r="305" spans="1:24" ht="15" customHeight="1">
      <c r="A305" s="64" t="s">
        <v>284</v>
      </c>
      <c r="B305" s="52">
        <f>'Расчет субсидий'!AF307</f>
        <v>-6.9181818181818215</v>
      </c>
      <c r="C305" s="53">
        <f>'Расчет субсидий'!D307-1</f>
        <v>-0.26429794015227526</v>
      </c>
      <c r="D305" s="53">
        <f>C305*'Расчет субсидий'!E307</f>
        <v>-3.964469102284129</v>
      </c>
      <c r="E305" s="54">
        <f t="shared" si="24"/>
        <v>-3.1559827870780075</v>
      </c>
      <c r="F305" s="53">
        <f>'Расчет субсидий'!F307-1</f>
        <v>0</v>
      </c>
      <c r="G305" s="53">
        <f>F305*'Расчет субсидий'!G307</f>
        <v>0</v>
      </c>
      <c r="H305" s="54">
        <f t="shared" si="25"/>
        <v>0</v>
      </c>
      <c r="I305" s="53">
        <f>'Расчет субсидий'!J307-1</f>
        <v>-0.14313870933559392</v>
      </c>
      <c r="J305" s="53">
        <f>I305*'Расчет субсидий'!K307</f>
        <v>-1.4313870933559392</v>
      </c>
      <c r="K305" s="54">
        <f t="shared" si="26"/>
        <v>-1.1394799433987886</v>
      </c>
      <c r="L305" s="53" t="s">
        <v>394</v>
      </c>
      <c r="M305" s="53" t="s">
        <v>394</v>
      </c>
      <c r="N305" s="55" t="s">
        <v>394</v>
      </c>
      <c r="O305" s="53" t="s">
        <v>394</v>
      </c>
      <c r="P305" s="53" t="s">
        <v>394</v>
      </c>
      <c r="Q305" s="55" t="s">
        <v>394</v>
      </c>
      <c r="R305" s="53" t="s">
        <v>394</v>
      </c>
      <c r="S305" s="53" t="s">
        <v>394</v>
      </c>
      <c r="T305" s="55" t="s">
        <v>394</v>
      </c>
      <c r="U305" s="53">
        <f>'Расчет субсидий'!Z307-1</f>
        <v>-0.21963974433468902</v>
      </c>
      <c r="V305" s="53">
        <f>U305*'Расчет субсидий'!AA307</f>
        <v>-3.2945961650203355</v>
      </c>
      <c r="W305" s="54">
        <f t="shared" si="27"/>
        <v>-2.6227190877050259</v>
      </c>
      <c r="X305" s="56">
        <f t="shared" si="28"/>
        <v>-8.6904523606604034</v>
      </c>
    </row>
    <row r="306" spans="1:24" ht="15" customHeight="1">
      <c r="A306" s="64" t="s">
        <v>285</v>
      </c>
      <c r="B306" s="52">
        <f>'Расчет субсидий'!AF308</f>
        <v>-2.036363636363637</v>
      </c>
      <c r="C306" s="53">
        <f>'Расчет субсидий'!D308-1</f>
        <v>-0.30788309235929079</v>
      </c>
      <c r="D306" s="53">
        <f>C306*'Расчет субсидий'!E308</f>
        <v>-4.6182463853893623</v>
      </c>
      <c r="E306" s="54">
        <f t="shared" si="24"/>
        <v>-1.0064424100759588</v>
      </c>
      <c r="F306" s="53">
        <f>'Расчет субсидий'!F308-1</f>
        <v>0</v>
      </c>
      <c r="G306" s="53">
        <f>F306*'Расчет субсидий'!G308</f>
        <v>0</v>
      </c>
      <c r="H306" s="54">
        <f t="shared" si="25"/>
        <v>0</v>
      </c>
      <c r="I306" s="53">
        <f>'Расчет субсидий'!J308-1</f>
        <v>-0.14313870933559392</v>
      </c>
      <c r="J306" s="53">
        <f>I306*'Расчет субсидий'!K308</f>
        <v>-1.4313870933559392</v>
      </c>
      <c r="K306" s="54">
        <f t="shared" si="26"/>
        <v>-0.31193846230170669</v>
      </c>
      <c r="L306" s="53" t="s">
        <v>394</v>
      </c>
      <c r="M306" s="53" t="s">
        <v>394</v>
      </c>
      <c r="N306" s="55" t="s">
        <v>394</v>
      </c>
      <c r="O306" s="53" t="s">
        <v>394</v>
      </c>
      <c r="P306" s="53" t="s">
        <v>394</v>
      </c>
      <c r="Q306" s="55" t="s">
        <v>394</v>
      </c>
      <c r="R306" s="53" t="s">
        <v>394</v>
      </c>
      <c r="S306" s="53" t="s">
        <v>394</v>
      </c>
      <c r="T306" s="55" t="s">
        <v>394</v>
      </c>
      <c r="U306" s="53">
        <f>'Расчет субсидий'!Z308-1</f>
        <v>-0.21963974433468902</v>
      </c>
      <c r="V306" s="53">
        <f>U306*'Расчет субсидий'!AA308</f>
        <v>-3.2945961650203355</v>
      </c>
      <c r="W306" s="54">
        <f t="shared" si="27"/>
        <v>-0.71798276398597172</v>
      </c>
      <c r="X306" s="56">
        <f t="shared" si="28"/>
        <v>-9.3442296437656367</v>
      </c>
    </row>
    <row r="307" spans="1:24" ht="15" customHeight="1">
      <c r="A307" s="64" t="s">
        <v>286</v>
      </c>
      <c r="B307" s="52">
        <f>'Расчет субсидий'!AF309</f>
        <v>-0.48181818181818148</v>
      </c>
      <c r="C307" s="53">
        <f>'Расчет субсидий'!D309-1</f>
        <v>3.535102952121072E-2</v>
      </c>
      <c r="D307" s="53">
        <f>C307*'Расчет субсидий'!E309</f>
        <v>0.53026544281816079</v>
      </c>
      <c r="E307" s="54">
        <f t="shared" si="24"/>
        <v>6.0893401980531822E-2</v>
      </c>
      <c r="F307" s="53">
        <f>'Расчет субсидий'!F309-1</f>
        <v>0</v>
      </c>
      <c r="G307" s="53">
        <f>F307*'Расчет субсидий'!G309</f>
        <v>0</v>
      </c>
      <c r="H307" s="54">
        <f t="shared" si="25"/>
        <v>0</v>
      </c>
      <c r="I307" s="53">
        <f>'Расчет субсидий'!J309-1</f>
        <v>-0.14313870933559392</v>
      </c>
      <c r="J307" s="53">
        <f>I307*'Расчет субсидий'!K309</f>
        <v>-1.4313870933559392</v>
      </c>
      <c r="K307" s="54">
        <f t="shared" si="26"/>
        <v>-0.1643743352428077</v>
      </c>
      <c r="L307" s="53" t="s">
        <v>394</v>
      </c>
      <c r="M307" s="53" t="s">
        <v>394</v>
      </c>
      <c r="N307" s="55" t="s">
        <v>394</v>
      </c>
      <c r="O307" s="53" t="s">
        <v>394</v>
      </c>
      <c r="P307" s="53" t="s">
        <v>394</v>
      </c>
      <c r="Q307" s="55" t="s">
        <v>394</v>
      </c>
      <c r="R307" s="53" t="s">
        <v>394</v>
      </c>
      <c r="S307" s="53" t="s">
        <v>394</v>
      </c>
      <c r="T307" s="55" t="s">
        <v>394</v>
      </c>
      <c r="U307" s="53">
        <f>'Расчет субсидий'!Z309-1</f>
        <v>-0.21963974433468902</v>
      </c>
      <c r="V307" s="53">
        <f>U307*'Расчет субсидий'!AA309</f>
        <v>-3.2945961650203355</v>
      </c>
      <c r="W307" s="54">
        <f t="shared" si="27"/>
        <v>-0.37833724855590561</v>
      </c>
      <c r="X307" s="56">
        <f t="shared" si="28"/>
        <v>-4.1957178155581136</v>
      </c>
    </row>
    <row r="308" spans="1:24" ht="15" customHeight="1">
      <c r="A308" s="64" t="s">
        <v>287</v>
      </c>
      <c r="B308" s="52">
        <f>'Расчет субсидий'!AF310</f>
        <v>-5.863636363636374</v>
      </c>
      <c r="C308" s="53">
        <f>'Расчет субсидий'!D310-1</f>
        <v>0.20549759780370613</v>
      </c>
      <c r="D308" s="53">
        <f>C308*'Расчет субсидий'!E310</f>
        <v>3.0824639670555918</v>
      </c>
      <c r="E308" s="54">
        <f t="shared" si="24"/>
        <v>10.997405325435466</v>
      </c>
      <c r="F308" s="53">
        <f>'Расчет субсидий'!F310-1</f>
        <v>0</v>
      </c>
      <c r="G308" s="53">
        <f>F308*'Расчет субсидий'!G310</f>
        <v>0</v>
      </c>
      <c r="H308" s="54">
        <f t="shared" si="25"/>
        <v>0</v>
      </c>
      <c r="I308" s="53">
        <f>'Расчет субсидий'!J310-1</f>
        <v>-0.14313870933559392</v>
      </c>
      <c r="J308" s="53">
        <f>I308*'Расчет субсидий'!K310</f>
        <v>-1.4313870933559392</v>
      </c>
      <c r="K308" s="54">
        <f t="shared" si="26"/>
        <v>-5.1068055333242777</v>
      </c>
      <c r="L308" s="53" t="s">
        <v>394</v>
      </c>
      <c r="M308" s="53" t="s">
        <v>394</v>
      </c>
      <c r="N308" s="55" t="s">
        <v>394</v>
      </c>
      <c r="O308" s="53" t="s">
        <v>394</v>
      </c>
      <c r="P308" s="53" t="s">
        <v>394</v>
      </c>
      <c r="Q308" s="55" t="s">
        <v>394</v>
      </c>
      <c r="R308" s="53" t="s">
        <v>394</v>
      </c>
      <c r="S308" s="53" t="s">
        <v>394</v>
      </c>
      <c r="T308" s="55" t="s">
        <v>394</v>
      </c>
      <c r="U308" s="53">
        <f>'Расчет субсидий'!Z310-1</f>
        <v>-0.21963974433468902</v>
      </c>
      <c r="V308" s="53">
        <f>U308*'Расчет субсидий'!AA310</f>
        <v>-3.2945961650203355</v>
      </c>
      <c r="W308" s="54">
        <f t="shared" si="27"/>
        <v>-11.754236155747563</v>
      </c>
      <c r="X308" s="56">
        <f t="shared" si="28"/>
        <v>-1.6435192913206829</v>
      </c>
    </row>
    <row r="309" spans="1:24" ht="15" customHeight="1">
      <c r="A309" s="64" t="s">
        <v>288</v>
      </c>
      <c r="B309" s="52">
        <f>'Расчет субсидий'!AF311</f>
        <v>-78.900000000000006</v>
      </c>
      <c r="C309" s="53">
        <f>'Расчет субсидий'!D311-1</f>
        <v>-0.52783086478738661</v>
      </c>
      <c r="D309" s="53">
        <f>C309*'Расчет субсидий'!E311</f>
        <v>-7.9174629718107994</v>
      </c>
      <c r="E309" s="54">
        <f t="shared" si="24"/>
        <v>-49.408034574022089</v>
      </c>
      <c r="F309" s="53">
        <f>'Расчет субсидий'!F311-1</f>
        <v>0</v>
      </c>
      <c r="G309" s="53">
        <f>F309*'Расчет субсидий'!G311</f>
        <v>0</v>
      </c>
      <c r="H309" s="54">
        <f t="shared" si="25"/>
        <v>0</v>
      </c>
      <c r="I309" s="53">
        <f>'Расчет субсидий'!J311-1</f>
        <v>-0.14313870933559392</v>
      </c>
      <c r="J309" s="53">
        <f>I309*'Расчет субсидий'!K311</f>
        <v>-1.4313870933559392</v>
      </c>
      <c r="K309" s="54">
        <f t="shared" si="26"/>
        <v>-8.9324096935011514</v>
      </c>
      <c r="L309" s="53" t="s">
        <v>394</v>
      </c>
      <c r="M309" s="53" t="s">
        <v>394</v>
      </c>
      <c r="N309" s="55" t="s">
        <v>394</v>
      </c>
      <c r="O309" s="53" t="s">
        <v>394</v>
      </c>
      <c r="P309" s="53" t="s">
        <v>394</v>
      </c>
      <c r="Q309" s="55" t="s">
        <v>394</v>
      </c>
      <c r="R309" s="53" t="s">
        <v>394</v>
      </c>
      <c r="S309" s="53" t="s">
        <v>394</v>
      </c>
      <c r="T309" s="55" t="s">
        <v>394</v>
      </c>
      <c r="U309" s="53">
        <f>'Расчет субсидий'!Z311-1</f>
        <v>-0.21963974433468902</v>
      </c>
      <c r="V309" s="53">
        <f>U309*'Расчет субсидий'!AA311</f>
        <v>-3.2945961650203355</v>
      </c>
      <c r="W309" s="54">
        <f t="shared" si="27"/>
        <v>-20.559555732476774</v>
      </c>
      <c r="X309" s="56">
        <f t="shared" si="28"/>
        <v>-12.643446230187074</v>
      </c>
    </row>
    <row r="310" spans="1:24" ht="15" customHeight="1">
      <c r="A310" s="64" t="s">
        <v>289</v>
      </c>
      <c r="B310" s="52">
        <f>'Расчет субсидий'!AF312</f>
        <v>-76.209090909090946</v>
      </c>
      <c r="C310" s="53">
        <f>'Расчет субсидий'!D312-1</f>
        <v>-0.47944905990380404</v>
      </c>
      <c r="D310" s="53">
        <f>C310*'Расчет субсидий'!E312</f>
        <v>-7.1917358985570603</v>
      </c>
      <c r="E310" s="54">
        <f t="shared" si="24"/>
        <v>-45.988300921527888</v>
      </c>
      <c r="F310" s="53">
        <f>'Расчет субсидий'!F312-1</f>
        <v>0</v>
      </c>
      <c r="G310" s="53">
        <f>F310*'Расчет субсидий'!G312</f>
        <v>0</v>
      </c>
      <c r="H310" s="54">
        <f t="shared" si="25"/>
        <v>0</v>
      </c>
      <c r="I310" s="53">
        <f>'Расчет субсидий'!J312-1</f>
        <v>-0.14313870933559392</v>
      </c>
      <c r="J310" s="53">
        <f>I310*'Расчет субсидий'!K312</f>
        <v>-1.4313870933559392</v>
      </c>
      <c r="K310" s="54">
        <f t="shared" si="26"/>
        <v>-9.1531531904072718</v>
      </c>
      <c r="L310" s="53" t="s">
        <v>394</v>
      </c>
      <c r="M310" s="53" t="s">
        <v>394</v>
      </c>
      <c r="N310" s="55" t="s">
        <v>394</v>
      </c>
      <c r="O310" s="53" t="s">
        <v>394</v>
      </c>
      <c r="P310" s="53" t="s">
        <v>394</v>
      </c>
      <c r="Q310" s="55" t="s">
        <v>394</v>
      </c>
      <c r="R310" s="53" t="s">
        <v>394</v>
      </c>
      <c r="S310" s="53" t="s">
        <v>394</v>
      </c>
      <c r="T310" s="55" t="s">
        <v>394</v>
      </c>
      <c r="U310" s="53">
        <f>'Расчет субсидий'!Z312-1</f>
        <v>-0.21963974433468902</v>
      </c>
      <c r="V310" s="53">
        <f>U310*'Расчет субсидий'!AA312</f>
        <v>-3.2945961650203355</v>
      </c>
      <c r="W310" s="54">
        <f t="shared" si="27"/>
        <v>-21.067636797155782</v>
      </c>
      <c r="X310" s="56">
        <f t="shared" si="28"/>
        <v>-11.917719156933336</v>
      </c>
    </row>
    <row r="311" spans="1:24" ht="15" customHeight="1">
      <c r="A311" s="64" t="s">
        <v>290</v>
      </c>
      <c r="B311" s="52">
        <f>'Расчет субсидий'!AF313</f>
        <v>-1.3090909090909104</v>
      </c>
      <c r="C311" s="53">
        <f>'Расчет субсидий'!D313-1</f>
        <v>5.1606315293378335E-2</v>
      </c>
      <c r="D311" s="53">
        <f>C311*'Расчет субсидий'!E313</f>
        <v>0.77409472940067503</v>
      </c>
      <c r="E311" s="54">
        <f t="shared" si="24"/>
        <v>0.25642433120356589</v>
      </c>
      <c r="F311" s="53">
        <f>'Расчет субсидий'!F313-1</f>
        <v>0</v>
      </c>
      <c r="G311" s="53">
        <f>F311*'Расчет субсидий'!G313</f>
        <v>0</v>
      </c>
      <c r="H311" s="54">
        <f t="shared" si="25"/>
        <v>0</v>
      </c>
      <c r="I311" s="53">
        <f>'Расчет субсидий'!J313-1</f>
        <v>-0.14313870933559392</v>
      </c>
      <c r="J311" s="53">
        <f>I311*'Расчет субсидий'!K313</f>
        <v>-1.4313870933559392</v>
      </c>
      <c r="K311" s="54">
        <f t="shared" si="26"/>
        <v>-0.47415705619309284</v>
      </c>
      <c r="L311" s="53" t="s">
        <v>394</v>
      </c>
      <c r="M311" s="53" t="s">
        <v>394</v>
      </c>
      <c r="N311" s="55" t="s">
        <v>394</v>
      </c>
      <c r="O311" s="53" t="s">
        <v>394</v>
      </c>
      <c r="P311" s="53" t="s">
        <v>394</v>
      </c>
      <c r="Q311" s="55" t="s">
        <v>394</v>
      </c>
      <c r="R311" s="53" t="s">
        <v>394</v>
      </c>
      <c r="S311" s="53" t="s">
        <v>394</v>
      </c>
      <c r="T311" s="55" t="s">
        <v>394</v>
      </c>
      <c r="U311" s="53">
        <f>'Расчет субсидий'!Z313-1</f>
        <v>-0.21963974433468902</v>
      </c>
      <c r="V311" s="53">
        <f>U311*'Расчет субсидий'!AA313</f>
        <v>-3.2945961650203355</v>
      </c>
      <c r="W311" s="54">
        <f t="shared" si="27"/>
        <v>-1.0913581841013835</v>
      </c>
      <c r="X311" s="56">
        <f t="shared" si="28"/>
        <v>-3.9518885289755996</v>
      </c>
    </row>
    <row r="312" spans="1:24" ht="15" customHeight="1">
      <c r="A312" s="64" t="s">
        <v>291</v>
      </c>
      <c r="B312" s="52">
        <f>'Расчет субсидий'!AF314</f>
        <v>-3.5818181818181785</v>
      </c>
      <c r="C312" s="53">
        <f>'Расчет субсидий'!D314-1</f>
        <v>-5.7085168869309921E-2</v>
      </c>
      <c r="D312" s="53">
        <f>C312*'Расчет субсидий'!E314</f>
        <v>-0.85627753303964882</v>
      </c>
      <c r="E312" s="54">
        <f t="shared" si="24"/>
        <v>-0.54942442697054417</v>
      </c>
      <c r="F312" s="53">
        <f>'Расчет субсидий'!F314-1</f>
        <v>0</v>
      </c>
      <c r="G312" s="53">
        <f>F312*'Расчет субсидий'!G314</f>
        <v>0</v>
      </c>
      <c r="H312" s="54">
        <f t="shared" si="25"/>
        <v>0</v>
      </c>
      <c r="I312" s="53">
        <f>'Расчет субсидий'!J314-1</f>
        <v>-0.14313870933559392</v>
      </c>
      <c r="J312" s="53">
        <f>I312*'Расчет субсидий'!K314</f>
        <v>-1.4313870933559392</v>
      </c>
      <c r="K312" s="54">
        <f t="shared" si="26"/>
        <v>-0.91843941151694863</v>
      </c>
      <c r="L312" s="53" t="s">
        <v>394</v>
      </c>
      <c r="M312" s="53" t="s">
        <v>394</v>
      </c>
      <c r="N312" s="55" t="s">
        <v>394</v>
      </c>
      <c r="O312" s="53" t="s">
        <v>394</v>
      </c>
      <c r="P312" s="53" t="s">
        <v>394</v>
      </c>
      <c r="Q312" s="55" t="s">
        <v>394</v>
      </c>
      <c r="R312" s="53" t="s">
        <v>394</v>
      </c>
      <c r="S312" s="53" t="s">
        <v>394</v>
      </c>
      <c r="T312" s="55" t="s">
        <v>394</v>
      </c>
      <c r="U312" s="53">
        <f>'Расчет субсидий'!Z314-1</f>
        <v>-0.21963974433468902</v>
      </c>
      <c r="V312" s="53">
        <f>U312*'Расчет субсидий'!AA314</f>
        <v>-3.2945961650203355</v>
      </c>
      <c r="W312" s="54">
        <f t="shared" si="27"/>
        <v>-2.1139543433306858</v>
      </c>
      <c r="X312" s="56">
        <f t="shared" si="28"/>
        <v>-5.5822607914159237</v>
      </c>
    </row>
    <row r="313" spans="1:24" ht="15" customHeight="1">
      <c r="A313" s="64" t="s">
        <v>292</v>
      </c>
      <c r="B313" s="52">
        <f>'Расчет субсидий'!AF315</f>
        <v>-17.127272727272725</v>
      </c>
      <c r="C313" s="53">
        <f>'Расчет субсидий'!D315-1</f>
        <v>-0.1402730855855856</v>
      </c>
      <c r="D313" s="53">
        <f>C313*'Расчет субсидий'!E315</f>
        <v>-2.1040962837837842</v>
      </c>
      <c r="E313" s="54">
        <f t="shared" ref="E313:E376" si="29">$B313*D313/$X313</f>
        <v>-5.2762827540085748</v>
      </c>
      <c r="F313" s="53">
        <f>'Расчет субсидий'!F315-1</f>
        <v>0</v>
      </c>
      <c r="G313" s="53">
        <f>F313*'Расчет субсидий'!G315</f>
        <v>0</v>
      </c>
      <c r="H313" s="54">
        <f t="shared" ref="H313:H376" si="30">$B313*G313/$X313</f>
        <v>0</v>
      </c>
      <c r="I313" s="53">
        <f>'Расчет субсидий'!J315-1</f>
        <v>-0.14313870933559392</v>
      </c>
      <c r="J313" s="53">
        <f>I313*'Расчет субсидий'!K315</f>
        <v>-1.4313870933559392</v>
      </c>
      <c r="K313" s="54">
        <f t="shared" ref="K313:K376" si="31">$B313*J313/$X313</f>
        <v>-3.589380910555557</v>
      </c>
      <c r="L313" s="53" t="s">
        <v>394</v>
      </c>
      <c r="M313" s="53" t="s">
        <v>394</v>
      </c>
      <c r="N313" s="55" t="s">
        <v>394</v>
      </c>
      <c r="O313" s="53" t="s">
        <v>394</v>
      </c>
      <c r="P313" s="53" t="s">
        <v>394</v>
      </c>
      <c r="Q313" s="55" t="s">
        <v>394</v>
      </c>
      <c r="R313" s="53" t="s">
        <v>394</v>
      </c>
      <c r="S313" s="53" t="s">
        <v>394</v>
      </c>
      <c r="T313" s="55" t="s">
        <v>394</v>
      </c>
      <c r="U313" s="53">
        <f>'Расчет субсидий'!Z315-1</f>
        <v>-0.21963974433468902</v>
      </c>
      <c r="V313" s="53">
        <f>U313*'Расчет субсидий'!AA315</f>
        <v>-3.2945961650203355</v>
      </c>
      <c r="W313" s="54">
        <f t="shared" ref="W313:W376" si="32">$B313*V313/$X313</f>
        <v>-8.2616090627085939</v>
      </c>
      <c r="X313" s="56">
        <f t="shared" ref="X313:X376" si="33">D313+G313+J313+V313</f>
        <v>-6.8300795421600586</v>
      </c>
    </row>
    <row r="314" spans="1:24" ht="15" customHeight="1">
      <c r="A314" s="64" t="s">
        <v>293</v>
      </c>
      <c r="B314" s="52">
        <f>'Расчет субсидий'!AF316</f>
        <v>-4.1454545454545464</v>
      </c>
      <c r="C314" s="53">
        <f>'Расчет субсидий'!D316-1</f>
        <v>-0.42551703278006725</v>
      </c>
      <c r="D314" s="53">
        <f>C314*'Расчет субсидий'!E316</f>
        <v>-6.3827554917010083</v>
      </c>
      <c r="E314" s="54">
        <f t="shared" si="29"/>
        <v>-2.3818566050455399</v>
      </c>
      <c r="F314" s="53">
        <f>'Расчет субсидий'!F316-1</f>
        <v>0</v>
      </c>
      <c r="G314" s="53">
        <f>F314*'Расчет субсидий'!G316</f>
        <v>0</v>
      </c>
      <c r="H314" s="54">
        <f t="shared" si="30"/>
        <v>0</v>
      </c>
      <c r="I314" s="53">
        <f>'Расчет субсидий'!J316-1</f>
        <v>-0.14313870933559392</v>
      </c>
      <c r="J314" s="53">
        <f>I314*'Расчет субсидий'!K316</f>
        <v>-1.4313870933559392</v>
      </c>
      <c r="K314" s="54">
        <f t="shared" si="31"/>
        <v>-0.5341515599523905</v>
      </c>
      <c r="L314" s="53" t="s">
        <v>394</v>
      </c>
      <c r="M314" s="53" t="s">
        <v>394</v>
      </c>
      <c r="N314" s="55" t="s">
        <v>394</v>
      </c>
      <c r="O314" s="53" t="s">
        <v>394</v>
      </c>
      <c r="P314" s="53" t="s">
        <v>394</v>
      </c>
      <c r="Q314" s="55" t="s">
        <v>394</v>
      </c>
      <c r="R314" s="53" t="s">
        <v>394</v>
      </c>
      <c r="S314" s="53" t="s">
        <v>394</v>
      </c>
      <c r="T314" s="55" t="s">
        <v>394</v>
      </c>
      <c r="U314" s="53">
        <f>'Расчет субсидий'!Z316-1</f>
        <v>-0.21963974433468902</v>
      </c>
      <c r="V314" s="53">
        <f>U314*'Расчет субсидий'!AA316</f>
        <v>-3.2945961650203355</v>
      </c>
      <c r="W314" s="54">
        <f t="shared" si="32"/>
        <v>-1.2294463804566158</v>
      </c>
      <c r="X314" s="56">
        <f t="shared" si="33"/>
        <v>-11.108738750077283</v>
      </c>
    </row>
    <row r="315" spans="1:24" ht="15" customHeight="1">
      <c r="A315" s="60" t="s">
        <v>294</v>
      </c>
      <c r="B315" s="61"/>
      <c r="C315" s="62"/>
      <c r="D315" s="62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</row>
    <row r="316" spans="1:24" ht="15" customHeight="1">
      <c r="A316" s="64" t="s">
        <v>295</v>
      </c>
      <c r="B316" s="52">
        <f>'Расчет субсидий'!AF318</f>
        <v>-1.2727272727272734</v>
      </c>
      <c r="C316" s="53">
        <f>'Расчет субсидий'!D318-1</f>
        <v>-9.3305218766473463E-2</v>
      </c>
      <c r="D316" s="53">
        <f>C316*'Расчет субсидий'!E318</f>
        <v>-1.3995782814971021</v>
      </c>
      <c r="E316" s="54">
        <f t="shared" si="29"/>
        <v>-0.25143352556375587</v>
      </c>
      <c r="F316" s="53">
        <f>'Расчет субсидий'!F318-1</f>
        <v>0</v>
      </c>
      <c r="G316" s="53">
        <f>F316*'Расчет субсидий'!G318</f>
        <v>0</v>
      </c>
      <c r="H316" s="54">
        <f t="shared" si="30"/>
        <v>0</v>
      </c>
      <c r="I316" s="53">
        <f>'Расчет субсидий'!J318-1</f>
        <v>2.3944549464398168E-2</v>
      </c>
      <c r="J316" s="53">
        <f>I316*'Расчет субсидий'!K318</f>
        <v>0.23944549464398168</v>
      </c>
      <c r="K316" s="54">
        <f t="shared" si="31"/>
        <v>4.3016261179970587E-2</v>
      </c>
      <c r="L316" s="53" t="s">
        <v>394</v>
      </c>
      <c r="M316" s="53" t="s">
        <v>394</v>
      </c>
      <c r="N316" s="55" t="s">
        <v>394</v>
      </c>
      <c r="O316" s="53" t="s">
        <v>394</v>
      </c>
      <c r="P316" s="53" t="s">
        <v>394</v>
      </c>
      <c r="Q316" s="55" t="s">
        <v>394</v>
      </c>
      <c r="R316" s="53" t="s">
        <v>394</v>
      </c>
      <c r="S316" s="53" t="s">
        <v>394</v>
      </c>
      <c r="T316" s="55" t="s">
        <v>394</v>
      </c>
      <c r="U316" s="53">
        <f>'Расчет субсидий'!Z318-1</f>
        <v>-0.39495798319327735</v>
      </c>
      <c r="V316" s="53">
        <f>U316*'Расчет субсидий'!AA318</f>
        <v>-5.9243697478991599</v>
      </c>
      <c r="W316" s="54">
        <f t="shared" si="32"/>
        <v>-1.0643100083434882</v>
      </c>
      <c r="X316" s="56">
        <f t="shared" si="33"/>
        <v>-7.0845025347522803</v>
      </c>
    </row>
    <row r="317" spans="1:24" ht="15" customHeight="1">
      <c r="A317" s="64" t="s">
        <v>296</v>
      </c>
      <c r="B317" s="52">
        <f>'Расчет субсидий'!AF319</f>
        <v>-7.5090909090909115</v>
      </c>
      <c r="C317" s="53">
        <f>'Расчет субсидий'!D319-1</f>
        <v>-0.48200935600926864</v>
      </c>
      <c r="D317" s="53">
        <f>C317*'Расчет субсидий'!E319</f>
        <v>-7.2301403401390294</v>
      </c>
      <c r="E317" s="54">
        <f t="shared" si="29"/>
        <v>-4.2037560638572877</v>
      </c>
      <c r="F317" s="53">
        <f>'Расчет субсидий'!F319-1</f>
        <v>0</v>
      </c>
      <c r="G317" s="53">
        <f>F317*'Расчет субсидий'!G319</f>
        <v>0</v>
      </c>
      <c r="H317" s="54">
        <f t="shared" si="30"/>
        <v>0</v>
      </c>
      <c r="I317" s="53">
        <f>'Расчет субсидий'!J319-1</f>
        <v>2.3944549464398168E-2</v>
      </c>
      <c r="J317" s="53">
        <f>I317*'Расчет субсидий'!K319</f>
        <v>0.23944549464398168</v>
      </c>
      <c r="K317" s="54">
        <f t="shared" si="31"/>
        <v>0.13921866004243982</v>
      </c>
      <c r="L317" s="53" t="s">
        <v>394</v>
      </c>
      <c r="M317" s="53" t="s">
        <v>394</v>
      </c>
      <c r="N317" s="55" t="s">
        <v>394</v>
      </c>
      <c r="O317" s="53" t="s">
        <v>394</v>
      </c>
      <c r="P317" s="53" t="s">
        <v>394</v>
      </c>
      <c r="Q317" s="55" t="s">
        <v>394</v>
      </c>
      <c r="R317" s="53" t="s">
        <v>394</v>
      </c>
      <c r="S317" s="53" t="s">
        <v>394</v>
      </c>
      <c r="T317" s="55" t="s">
        <v>394</v>
      </c>
      <c r="U317" s="53">
        <f>'Расчет субсидий'!Z319-1</f>
        <v>-0.39495798319327735</v>
      </c>
      <c r="V317" s="53">
        <f>U317*'Расчет субсидий'!AA319</f>
        <v>-5.9243697478991599</v>
      </c>
      <c r="W317" s="54">
        <f t="shared" si="32"/>
        <v>-3.4445535052760636</v>
      </c>
      <c r="X317" s="56">
        <f t="shared" si="33"/>
        <v>-12.915064593394208</v>
      </c>
    </row>
    <row r="318" spans="1:24" ht="15" customHeight="1">
      <c r="A318" s="64" t="s">
        <v>297</v>
      </c>
      <c r="B318" s="52">
        <f>'Расчет субсидий'!AF320</f>
        <v>-5.8636363636363598</v>
      </c>
      <c r="C318" s="53">
        <f>'Расчет субсидий'!D320-1</f>
        <v>6.1482820976491936E-2</v>
      </c>
      <c r="D318" s="53">
        <f>C318*'Расчет субсидий'!E320</f>
        <v>0.92224231464737905</v>
      </c>
      <c r="E318" s="54">
        <f t="shared" si="29"/>
        <v>1.1354303398709182</v>
      </c>
      <c r="F318" s="53">
        <f>'Расчет субсидий'!F320-1</f>
        <v>0</v>
      </c>
      <c r="G318" s="53">
        <f>F318*'Расчет субсидий'!G320</f>
        <v>0</v>
      </c>
      <c r="H318" s="54">
        <f t="shared" si="30"/>
        <v>0</v>
      </c>
      <c r="I318" s="53">
        <f>'Расчет субсидий'!J320-1</f>
        <v>2.3944549464398168E-2</v>
      </c>
      <c r="J318" s="53">
        <f>I318*'Расчет субсидий'!K320</f>
        <v>0.23944549464398168</v>
      </c>
      <c r="K318" s="54">
        <f t="shared" si="31"/>
        <v>0.29479636213409666</v>
      </c>
      <c r="L318" s="53" t="s">
        <v>394</v>
      </c>
      <c r="M318" s="53" t="s">
        <v>394</v>
      </c>
      <c r="N318" s="55" t="s">
        <v>394</v>
      </c>
      <c r="O318" s="53" t="s">
        <v>394</v>
      </c>
      <c r="P318" s="53" t="s">
        <v>394</v>
      </c>
      <c r="Q318" s="55" t="s">
        <v>394</v>
      </c>
      <c r="R318" s="53" t="s">
        <v>394</v>
      </c>
      <c r="S318" s="53" t="s">
        <v>394</v>
      </c>
      <c r="T318" s="55" t="s">
        <v>394</v>
      </c>
      <c r="U318" s="53">
        <f>'Расчет субсидий'!Z320-1</f>
        <v>-0.39495798319327735</v>
      </c>
      <c r="V318" s="53">
        <f>U318*'Расчет субсидий'!AA320</f>
        <v>-5.9243697478991599</v>
      </c>
      <c r="W318" s="54">
        <f t="shared" si="32"/>
        <v>-7.293863065641375</v>
      </c>
      <c r="X318" s="56">
        <f t="shared" si="33"/>
        <v>-4.7626819386077992</v>
      </c>
    </row>
    <row r="319" spans="1:24" ht="15" customHeight="1">
      <c r="A319" s="64" t="s">
        <v>298</v>
      </c>
      <c r="B319" s="52">
        <f>'Расчет субсидий'!AF321</f>
        <v>-116.78181818181818</v>
      </c>
      <c r="C319" s="53">
        <f>'Расчет субсидий'!D321-1</f>
        <v>-0.74225495175215839</v>
      </c>
      <c r="D319" s="53">
        <f>C319*'Расчет субсидий'!E321</f>
        <v>-11.133824276282375</v>
      </c>
      <c r="E319" s="54">
        <f t="shared" si="29"/>
        <v>-77.308263454776366</v>
      </c>
      <c r="F319" s="53">
        <f>'Расчет субсидий'!F321-1</f>
        <v>0</v>
      </c>
      <c r="G319" s="53">
        <f>F319*'Расчет субсидий'!G321</f>
        <v>0</v>
      </c>
      <c r="H319" s="54">
        <f t="shared" si="30"/>
        <v>0</v>
      </c>
      <c r="I319" s="53">
        <f>'Расчет субсидий'!J321-1</f>
        <v>2.3944549464398168E-2</v>
      </c>
      <c r="J319" s="53">
        <f>I319*'Расчет субсидий'!K321</f>
        <v>0.23944549464398168</v>
      </c>
      <c r="K319" s="54">
        <f t="shared" si="31"/>
        <v>1.6626017191980604</v>
      </c>
      <c r="L319" s="53" t="s">
        <v>394</v>
      </c>
      <c r="M319" s="53" t="s">
        <v>394</v>
      </c>
      <c r="N319" s="55" t="s">
        <v>394</v>
      </c>
      <c r="O319" s="53" t="s">
        <v>394</v>
      </c>
      <c r="P319" s="53" t="s">
        <v>394</v>
      </c>
      <c r="Q319" s="55" t="s">
        <v>394</v>
      </c>
      <c r="R319" s="53" t="s">
        <v>394</v>
      </c>
      <c r="S319" s="53" t="s">
        <v>394</v>
      </c>
      <c r="T319" s="55" t="s">
        <v>394</v>
      </c>
      <c r="U319" s="53">
        <f>'Расчет субсидий'!Z321-1</f>
        <v>-0.39495798319327735</v>
      </c>
      <c r="V319" s="53">
        <f>U319*'Расчет субсидий'!AA321</f>
        <v>-5.9243697478991599</v>
      </c>
      <c r="W319" s="54">
        <f t="shared" si="32"/>
        <v>-41.13615644623988</v>
      </c>
      <c r="X319" s="56">
        <f t="shared" si="33"/>
        <v>-16.818748529537555</v>
      </c>
    </row>
    <row r="320" spans="1:24" ht="15" customHeight="1">
      <c r="A320" s="64" t="s">
        <v>299</v>
      </c>
      <c r="B320" s="52">
        <f>'Расчет субсидий'!AF322</f>
        <v>-72.24545454545455</v>
      </c>
      <c r="C320" s="53">
        <f>'Расчет субсидий'!D322-1</f>
        <v>-0.34278266536331048</v>
      </c>
      <c r="D320" s="53">
        <f>C320*'Расчет субсидий'!E322</f>
        <v>-5.1417399804496569</v>
      </c>
      <c r="E320" s="54">
        <f t="shared" si="29"/>
        <v>-34.31041491853928</v>
      </c>
      <c r="F320" s="53">
        <f>'Расчет субсидий'!F322-1</f>
        <v>0</v>
      </c>
      <c r="G320" s="53">
        <f>F320*'Расчет субсидий'!G322</f>
        <v>0</v>
      </c>
      <c r="H320" s="54">
        <f t="shared" si="30"/>
        <v>0</v>
      </c>
      <c r="I320" s="53">
        <f>'Расчет субсидий'!J322-1</f>
        <v>2.3944549464398168E-2</v>
      </c>
      <c r="J320" s="53">
        <f>I320*'Расчет субсидий'!K322</f>
        <v>0.23944549464398168</v>
      </c>
      <c r="K320" s="54">
        <f t="shared" si="31"/>
        <v>1.5978004144214668</v>
      </c>
      <c r="L320" s="53" t="s">
        <v>394</v>
      </c>
      <c r="M320" s="53" t="s">
        <v>394</v>
      </c>
      <c r="N320" s="55" t="s">
        <v>394</v>
      </c>
      <c r="O320" s="53" t="s">
        <v>394</v>
      </c>
      <c r="P320" s="53" t="s">
        <v>394</v>
      </c>
      <c r="Q320" s="55" t="s">
        <v>394</v>
      </c>
      <c r="R320" s="53" t="s">
        <v>394</v>
      </c>
      <c r="S320" s="53" t="s">
        <v>394</v>
      </c>
      <c r="T320" s="55" t="s">
        <v>394</v>
      </c>
      <c r="U320" s="53">
        <f>'Расчет субсидий'!Z322-1</f>
        <v>-0.39495798319327735</v>
      </c>
      <c r="V320" s="53">
        <f>U320*'Расчет субсидий'!AA322</f>
        <v>-5.9243697478991599</v>
      </c>
      <c r="W320" s="54">
        <f t="shared" si="32"/>
        <v>-39.532840041336733</v>
      </c>
      <c r="X320" s="56">
        <f t="shared" si="33"/>
        <v>-10.826664233704836</v>
      </c>
    </row>
    <row r="321" spans="1:24" ht="15" customHeight="1">
      <c r="A321" s="64" t="s">
        <v>300</v>
      </c>
      <c r="B321" s="52">
        <f>'Расчет субсидий'!AF323</f>
        <v>-7.4727272727272691</v>
      </c>
      <c r="C321" s="53">
        <f>'Расчет субсидий'!D323-1</f>
        <v>0.21870396600566577</v>
      </c>
      <c r="D321" s="53">
        <f>C321*'Расчет субсидий'!E323</f>
        <v>3.2805594900849866</v>
      </c>
      <c r="E321" s="54">
        <f t="shared" si="29"/>
        <v>10.195926486228862</v>
      </c>
      <c r="F321" s="53">
        <f>'Расчет субсидий'!F323-1</f>
        <v>0</v>
      </c>
      <c r="G321" s="53">
        <f>F321*'Расчет субсидий'!G323</f>
        <v>0</v>
      </c>
      <c r="H321" s="54">
        <f t="shared" si="30"/>
        <v>0</v>
      </c>
      <c r="I321" s="53">
        <f>'Расчет субсидий'!J323-1</f>
        <v>2.3944549464398168E-2</v>
      </c>
      <c r="J321" s="53">
        <f>I321*'Расчет субсидий'!K323</f>
        <v>0.23944549464398168</v>
      </c>
      <c r="K321" s="54">
        <f t="shared" si="31"/>
        <v>0.7441927720644681</v>
      </c>
      <c r="L321" s="53" t="s">
        <v>394</v>
      </c>
      <c r="M321" s="53" t="s">
        <v>394</v>
      </c>
      <c r="N321" s="55" t="s">
        <v>394</v>
      </c>
      <c r="O321" s="53" t="s">
        <v>394</v>
      </c>
      <c r="P321" s="53" t="s">
        <v>394</v>
      </c>
      <c r="Q321" s="55" t="s">
        <v>394</v>
      </c>
      <c r="R321" s="53" t="s">
        <v>394</v>
      </c>
      <c r="S321" s="53" t="s">
        <v>394</v>
      </c>
      <c r="T321" s="55" t="s">
        <v>394</v>
      </c>
      <c r="U321" s="53">
        <f>'Расчет субсидий'!Z323-1</f>
        <v>-0.39495798319327735</v>
      </c>
      <c r="V321" s="53">
        <f>U321*'Расчет субсидий'!AA323</f>
        <v>-5.9243697478991599</v>
      </c>
      <c r="W321" s="54">
        <f t="shared" si="32"/>
        <v>-18.412846531020598</v>
      </c>
      <c r="X321" s="56">
        <f t="shared" si="33"/>
        <v>-2.4043647631701917</v>
      </c>
    </row>
    <row r="322" spans="1:24" ht="15" customHeight="1">
      <c r="A322" s="64" t="s">
        <v>301</v>
      </c>
      <c r="B322" s="52">
        <f>'Расчет субсидий'!AF324</f>
        <v>-0.3545454545454545</v>
      </c>
      <c r="C322" s="53">
        <f>'Расчет субсидий'!D324-1</f>
        <v>-0.11254590688307076</v>
      </c>
      <c r="D322" s="53">
        <f>C322*'Расчет субсидий'!E324</f>
        <v>-1.6881886032460613</v>
      </c>
      <c r="E322" s="54">
        <f t="shared" si="29"/>
        <v>-8.1178683596110787E-2</v>
      </c>
      <c r="F322" s="53">
        <f>'Расчет субсидий'!F324-1</f>
        <v>0</v>
      </c>
      <c r="G322" s="53">
        <f>F322*'Расчет субсидий'!G324</f>
        <v>0</v>
      </c>
      <c r="H322" s="54">
        <f t="shared" si="30"/>
        <v>0</v>
      </c>
      <c r="I322" s="53">
        <f>'Расчет субсидий'!J324-1</f>
        <v>2.3944549464398168E-2</v>
      </c>
      <c r="J322" s="53">
        <f>I322*'Расчет субсидий'!K324</f>
        <v>0.23944549464398168</v>
      </c>
      <c r="K322" s="54">
        <f t="shared" si="31"/>
        <v>1.1514039373825146E-2</v>
      </c>
      <c r="L322" s="53" t="s">
        <v>394</v>
      </c>
      <c r="M322" s="53" t="s">
        <v>394</v>
      </c>
      <c r="N322" s="55" t="s">
        <v>394</v>
      </c>
      <c r="O322" s="53" t="s">
        <v>394</v>
      </c>
      <c r="P322" s="53" t="s">
        <v>394</v>
      </c>
      <c r="Q322" s="55" t="s">
        <v>394</v>
      </c>
      <c r="R322" s="53" t="s">
        <v>394</v>
      </c>
      <c r="S322" s="53" t="s">
        <v>394</v>
      </c>
      <c r="T322" s="55" t="s">
        <v>394</v>
      </c>
      <c r="U322" s="53">
        <f>'Расчет субсидий'!Z324-1</f>
        <v>-0.39495798319327735</v>
      </c>
      <c r="V322" s="53">
        <f>U322*'Расчет субсидий'!AA324</f>
        <v>-5.9243697478991599</v>
      </c>
      <c r="W322" s="54">
        <f t="shared" si="32"/>
        <v>-0.28488081032316886</v>
      </c>
      <c r="X322" s="56">
        <f t="shared" si="33"/>
        <v>-7.3731128565012396</v>
      </c>
    </row>
    <row r="323" spans="1:24" ht="15" customHeight="1">
      <c r="A323" s="64" t="s">
        <v>302</v>
      </c>
      <c r="B323" s="52">
        <f>'Расчет субсидий'!AF325</f>
        <v>-7.1999999999999886</v>
      </c>
      <c r="C323" s="53">
        <f>'Расчет субсидий'!D325-1</f>
        <v>0.21153083057770861</v>
      </c>
      <c r="D323" s="53">
        <f>C323*'Расчет субсидий'!E325</f>
        <v>3.1729624586656291</v>
      </c>
      <c r="E323" s="54">
        <f t="shared" si="29"/>
        <v>9.0946167061929319</v>
      </c>
      <c r="F323" s="53">
        <f>'Расчет субсидий'!F325-1</f>
        <v>0</v>
      </c>
      <c r="G323" s="53">
        <f>F323*'Расчет субсидий'!G325</f>
        <v>0</v>
      </c>
      <c r="H323" s="54">
        <f t="shared" si="30"/>
        <v>0</v>
      </c>
      <c r="I323" s="53">
        <f>'Расчет субсидий'!J325-1</f>
        <v>2.3944549464398168E-2</v>
      </c>
      <c r="J323" s="53">
        <f>I323*'Расчет субсидий'!K325</f>
        <v>0.23944549464398168</v>
      </c>
      <c r="K323" s="54">
        <f t="shared" si="31"/>
        <v>0.68631918094851663</v>
      </c>
      <c r="L323" s="53" t="s">
        <v>394</v>
      </c>
      <c r="M323" s="53" t="s">
        <v>394</v>
      </c>
      <c r="N323" s="55" t="s">
        <v>394</v>
      </c>
      <c r="O323" s="53" t="s">
        <v>394</v>
      </c>
      <c r="P323" s="53" t="s">
        <v>394</v>
      </c>
      <c r="Q323" s="55" t="s">
        <v>394</v>
      </c>
      <c r="R323" s="53" t="s">
        <v>394</v>
      </c>
      <c r="S323" s="53" t="s">
        <v>394</v>
      </c>
      <c r="T323" s="55" t="s">
        <v>394</v>
      </c>
      <c r="U323" s="53">
        <f>'Расчет субсидий'!Z325-1</f>
        <v>-0.39495798319327735</v>
      </c>
      <c r="V323" s="53">
        <f>U323*'Расчет субсидий'!AA325</f>
        <v>-5.9243697478991599</v>
      </c>
      <c r="W323" s="54">
        <f t="shared" si="32"/>
        <v>-16.980935887141438</v>
      </c>
      <c r="X323" s="56">
        <f t="shared" si="33"/>
        <v>-2.5119617945895492</v>
      </c>
    </row>
    <row r="324" spans="1:24" ht="15" customHeight="1">
      <c r="A324" s="64" t="s">
        <v>303</v>
      </c>
      <c r="B324" s="52">
        <f>'Расчет субсидий'!AF326</f>
        <v>-39.090909090909065</v>
      </c>
      <c r="C324" s="53">
        <f>'Расчет субсидий'!D326-1</f>
        <v>-4.5426515930113154E-2</v>
      </c>
      <c r="D324" s="53">
        <f>C324*'Расчет субсидий'!E326</f>
        <v>-0.68139773895169731</v>
      </c>
      <c r="E324" s="54">
        <f t="shared" si="29"/>
        <v>-4.1839632209489137</v>
      </c>
      <c r="F324" s="53">
        <f>'Расчет субсидий'!F326-1</f>
        <v>0</v>
      </c>
      <c r="G324" s="53">
        <f>F324*'Расчет субсидий'!G326</f>
        <v>0</v>
      </c>
      <c r="H324" s="54">
        <f t="shared" si="30"/>
        <v>0</v>
      </c>
      <c r="I324" s="53">
        <f>'Расчет субсидий'!J326-1</f>
        <v>2.3944549464398168E-2</v>
      </c>
      <c r="J324" s="53">
        <f>I324*'Расчет субсидий'!K326</f>
        <v>0.23944549464398168</v>
      </c>
      <c r="K324" s="54">
        <f t="shared" si="31"/>
        <v>1.4702589776033246</v>
      </c>
      <c r="L324" s="53" t="s">
        <v>394</v>
      </c>
      <c r="M324" s="53" t="s">
        <v>394</v>
      </c>
      <c r="N324" s="55" t="s">
        <v>394</v>
      </c>
      <c r="O324" s="53" t="s">
        <v>394</v>
      </c>
      <c r="P324" s="53" t="s">
        <v>394</v>
      </c>
      <c r="Q324" s="55" t="s">
        <v>394</v>
      </c>
      <c r="R324" s="53" t="s">
        <v>394</v>
      </c>
      <c r="S324" s="53" t="s">
        <v>394</v>
      </c>
      <c r="T324" s="55" t="s">
        <v>394</v>
      </c>
      <c r="U324" s="53">
        <f>'Расчет субсидий'!Z326-1</f>
        <v>-0.39495798319327735</v>
      </c>
      <c r="V324" s="53">
        <f>U324*'Расчет субсидий'!AA326</f>
        <v>-5.9243697478991599</v>
      </c>
      <c r="W324" s="54">
        <f t="shared" si="32"/>
        <v>-36.377204847563476</v>
      </c>
      <c r="X324" s="56">
        <f t="shared" si="33"/>
        <v>-6.3663219922068759</v>
      </c>
    </row>
    <row r="325" spans="1:24" ht="15" customHeight="1">
      <c r="A325" s="64" t="s">
        <v>304</v>
      </c>
      <c r="B325" s="52">
        <f>'Расчет субсидий'!AF327</f>
        <v>-12.627272727272732</v>
      </c>
      <c r="C325" s="53">
        <f>'Расчет субсидий'!D327-1</f>
        <v>-0.28956529501026507</v>
      </c>
      <c r="D325" s="53">
        <f>C325*'Расчет субсидий'!E327</f>
        <v>-4.3434794251539763</v>
      </c>
      <c r="E325" s="54">
        <f t="shared" si="29"/>
        <v>-5.4690956851686616</v>
      </c>
      <c r="F325" s="53">
        <f>'Расчет субсидий'!F327-1</f>
        <v>0</v>
      </c>
      <c r="G325" s="53">
        <f>F325*'Расчет субсидий'!G327</f>
        <v>0</v>
      </c>
      <c r="H325" s="54">
        <f t="shared" si="30"/>
        <v>0</v>
      </c>
      <c r="I325" s="53">
        <f>'Расчет субсидий'!J327-1</f>
        <v>2.3944549464398168E-2</v>
      </c>
      <c r="J325" s="53">
        <f>I325*'Расчет субсидий'!K327</f>
        <v>0.23944549464398168</v>
      </c>
      <c r="K325" s="54">
        <f t="shared" si="31"/>
        <v>0.30149799122026522</v>
      </c>
      <c r="L325" s="53" t="s">
        <v>394</v>
      </c>
      <c r="M325" s="53" t="s">
        <v>394</v>
      </c>
      <c r="N325" s="55" t="s">
        <v>394</v>
      </c>
      <c r="O325" s="53" t="s">
        <v>394</v>
      </c>
      <c r="P325" s="53" t="s">
        <v>394</v>
      </c>
      <c r="Q325" s="55" t="s">
        <v>394</v>
      </c>
      <c r="R325" s="53" t="s">
        <v>394</v>
      </c>
      <c r="S325" s="53" t="s">
        <v>394</v>
      </c>
      <c r="T325" s="55" t="s">
        <v>394</v>
      </c>
      <c r="U325" s="53">
        <f>'Расчет субсидий'!Z327-1</f>
        <v>-0.39495798319327735</v>
      </c>
      <c r="V325" s="53">
        <f>U325*'Расчет субсидий'!AA327</f>
        <v>-5.9243697478991599</v>
      </c>
      <c r="W325" s="54">
        <f t="shared" si="32"/>
        <v>-7.4596750333243342</v>
      </c>
      <c r="X325" s="56">
        <f t="shared" si="33"/>
        <v>-10.028403678409155</v>
      </c>
    </row>
    <row r="326" spans="1:24" ht="15" customHeight="1">
      <c r="A326" s="64" t="s">
        <v>305</v>
      </c>
      <c r="B326" s="52">
        <f>'Расчет субсидий'!AF328</f>
        <v>-46.545454545454561</v>
      </c>
      <c r="C326" s="53">
        <f>'Расчет субсидий'!D328-1</f>
        <v>-5.4892601431980936E-2</v>
      </c>
      <c r="D326" s="53">
        <f>C326*'Расчет субсидий'!E328</f>
        <v>-0.82338902147971404</v>
      </c>
      <c r="E326" s="54">
        <f t="shared" si="29"/>
        <v>-5.8886250023162043</v>
      </c>
      <c r="F326" s="53">
        <f>'Расчет субсидий'!F328-1</f>
        <v>0</v>
      </c>
      <c r="G326" s="53">
        <f>F326*'Расчет субсидий'!G328</f>
        <v>0</v>
      </c>
      <c r="H326" s="54">
        <f t="shared" si="30"/>
        <v>0</v>
      </c>
      <c r="I326" s="53">
        <f>'Расчет субсидий'!J328-1</f>
        <v>2.3944549464398168E-2</v>
      </c>
      <c r="J326" s="53">
        <f>I326*'Расчет субсидий'!K328</f>
        <v>0.23944549464398168</v>
      </c>
      <c r="K326" s="54">
        <f t="shared" si="31"/>
        <v>1.7124405228510324</v>
      </c>
      <c r="L326" s="53" t="s">
        <v>394</v>
      </c>
      <c r="M326" s="53" t="s">
        <v>394</v>
      </c>
      <c r="N326" s="55" t="s">
        <v>394</v>
      </c>
      <c r="O326" s="53" t="s">
        <v>394</v>
      </c>
      <c r="P326" s="53" t="s">
        <v>394</v>
      </c>
      <c r="Q326" s="55" t="s">
        <v>394</v>
      </c>
      <c r="R326" s="53" t="s">
        <v>394</v>
      </c>
      <c r="S326" s="53" t="s">
        <v>394</v>
      </c>
      <c r="T326" s="55" t="s">
        <v>394</v>
      </c>
      <c r="U326" s="53">
        <f>'Расчет субсидий'!Z328-1</f>
        <v>-0.39495798319327735</v>
      </c>
      <c r="V326" s="53">
        <f>U326*'Расчет субсидий'!AA328</f>
        <v>-5.9243697478991599</v>
      </c>
      <c r="W326" s="54">
        <f t="shared" si="32"/>
        <v>-42.36927006598939</v>
      </c>
      <c r="X326" s="56">
        <f t="shared" si="33"/>
        <v>-6.508313274734892</v>
      </c>
    </row>
    <row r="327" spans="1:24" ht="15" customHeight="1">
      <c r="A327" s="64" t="s">
        <v>306</v>
      </c>
      <c r="B327" s="52">
        <f>'Расчет субсидий'!AF329</f>
        <v>-96.963636363636397</v>
      </c>
      <c r="C327" s="53">
        <f>'Расчет субсидий'!D329-1</f>
        <v>-0.42262857142857146</v>
      </c>
      <c r="D327" s="53">
        <f>C327*'Расчет субсидий'!E329</f>
        <v>-6.3394285714285719</v>
      </c>
      <c r="E327" s="54">
        <f t="shared" si="29"/>
        <v>-51.120759321981552</v>
      </c>
      <c r="F327" s="53">
        <f>'Расчет субсидий'!F329-1</f>
        <v>0</v>
      </c>
      <c r="G327" s="53">
        <f>F327*'Расчет субсидий'!G329</f>
        <v>0</v>
      </c>
      <c r="H327" s="54">
        <f t="shared" si="30"/>
        <v>0</v>
      </c>
      <c r="I327" s="53">
        <f>'Расчет субсидий'!J329-1</f>
        <v>2.3944549464398168E-2</v>
      </c>
      <c r="J327" s="53">
        <f>I327*'Расчет субсидий'!K329</f>
        <v>0.23944549464398168</v>
      </c>
      <c r="K327" s="54">
        <f t="shared" si="31"/>
        <v>1.9308736370334116</v>
      </c>
      <c r="L327" s="53" t="s">
        <v>394</v>
      </c>
      <c r="M327" s="53" t="s">
        <v>394</v>
      </c>
      <c r="N327" s="55" t="s">
        <v>394</v>
      </c>
      <c r="O327" s="53" t="s">
        <v>394</v>
      </c>
      <c r="P327" s="53" t="s">
        <v>394</v>
      </c>
      <c r="Q327" s="55" t="s">
        <v>394</v>
      </c>
      <c r="R327" s="53" t="s">
        <v>394</v>
      </c>
      <c r="S327" s="53" t="s">
        <v>394</v>
      </c>
      <c r="T327" s="55" t="s">
        <v>394</v>
      </c>
      <c r="U327" s="53">
        <f>'Расчет субсидий'!Z329-1</f>
        <v>-0.39495798319327735</v>
      </c>
      <c r="V327" s="53">
        <f>U327*'Расчет субсидий'!AA329</f>
        <v>-5.9243697478991599</v>
      </c>
      <c r="W327" s="54">
        <f t="shared" si="32"/>
        <v>-47.773750678688259</v>
      </c>
      <c r="X327" s="56">
        <f t="shared" si="33"/>
        <v>-12.024352824683749</v>
      </c>
    </row>
    <row r="328" spans="1:24" ht="15" customHeight="1">
      <c r="A328" s="64" t="s">
        <v>307</v>
      </c>
      <c r="B328" s="52">
        <f>'Расчет субсидий'!AF330</f>
        <v>-100.18181818181819</v>
      </c>
      <c r="C328" s="53">
        <f>'Расчет субсидий'!D330-1</f>
        <v>-0.65389638659120597</v>
      </c>
      <c r="D328" s="53">
        <f>C328*'Расчет субсидий'!E330</f>
        <v>-9.8084457988680889</v>
      </c>
      <c r="E328" s="54">
        <f t="shared" si="29"/>
        <v>-63.422478799811429</v>
      </c>
      <c r="F328" s="53">
        <f>'Расчет субсидий'!F330-1</f>
        <v>0</v>
      </c>
      <c r="G328" s="53">
        <f>F328*'Расчет субсидий'!G330</f>
        <v>0</v>
      </c>
      <c r="H328" s="54">
        <f t="shared" si="30"/>
        <v>0</v>
      </c>
      <c r="I328" s="53">
        <f>'Расчет субсидий'!J330-1</f>
        <v>2.3944549464398168E-2</v>
      </c>
      <c r="J328" s="53">
        <f>I328*'Расчет субсидий'!K330</f>
        <v>0.23944549464398168</v>
      </c>
      <c r="K328" s="54">
        <f t="shared" si="31"/>
        <v>1.5482806470236912</v>
      </c>
      <c r="L328" s="53" t="s">
        <v>394</v>
      </c>
      <c r="M328" s="53" t="s">
        <v>394</v>
      </c>
      <c r="N328" s="55" t="s">
        <v>394</v>
      </c>
      <c r="O328" s="53" t="s">
        <v>394</v>
      </c>
      <c r="P328" s="53" t="s">
        <v>394</v>
      </c>
      <c r="Q328" s="55" t="s">
        <v>394</v>
      </c>
      <c r="R328" s="53" t="s">
        <v>394</v>
      </c>
      <c r="S328" s="53" t="s">
        <v>394</v>
      </c>
      <c r="T328" s="55" t="s">
        <v>394</v>
      </c>
      <c r="U328" s="53">
        <f>'Расчет субсидий'!Z330-1</f>
        <v>-0.39495798319327735</v>
      </c>
      <c r="V328" s="53">
        <f>U328*'Расчет субсидий'!AA330</f>
        <v>-5.9243697478991599</v>
      </c>
      <c r="W328" s="54">
        <f t="shared" si="32"/>
        <v>-38.307620029030439</v>
      </c>
      <c r="X328" s="56">
        <f t="shared" si="33"/>
        <v>-15.493370052123268</v>
      </c>
    </row>
    <row r="329" spans="1:24" ht="15" customHeight="1">
      <c r="A329" s="64" t="s">
        <v>308</v>
      </c>
      <c r="B329" s="52">
        <f>'Расчет субсидий'!AF331</f>
        <v>-63.636363636363626</v>
      </c>
      <c r="C329" s="53">
        <f>'Расчет субсидий'!D331-1</f>
        <v>-0.17553559087767789</v>
      </c>
      <c r="D329" s="53">
        <f>C329*'Расчет субсидий'!E331</f>
        <v>-2.6330338631651684</v>
      </c>
      <c r="E329" s="54">
        <f t="shared" si="29"/>
        <v>-20.143970195337605</v>
      </c>
      <c r="F329" s="53">
        <f>'Расчет субсидий'!F331-1</f>
        <v>0</v>
      </c>
      <c r="G329" s="53">
        <f>F329*'Расчет субсидий'!G331</f>
        <v>0</v>
      </c>
      <c r="H329" s="54">
        <f t="shared" si="30"/>
        <v>0</v>
      </c>
      <c r="I329" s="53">
        <f>'Расчет субсидий'!J331-1</f>
        <v>2.3944549464398168E-2</v>
      </c>
      <c r="J329" s="53">
        <f>I329*'Расчет субсидий'!K331</f>
        <v>0.23944549464398168</v>
      </c>
      <c r="K329" s="54">
        <f t="shared" si="31"/>
        <v>1.8318727210435688</v>
      </c>
      <c r="L329" s="53" t="s">
        <v>394</v>
      </c>
      <c r="M329" s="53" t="s">
        <v>394</v>
      </c>
      <c r="N329" s="55" t="s">
        <v>394</v>
      </c>
      <c r="O329" s="53" t="s">
        <v>394</v>
      </c>
      <c r="P329" s="53" t="s">
        <v>394</v>
      </c>
      <c r="Q329" s="55" t="s">
        <v>394</v>
      </c>
      <c r="R329" s="53" t="s">
        <v>394</v>
      </c>
      <c r="S329" s="53" t="s">
        <v>394</v>
      </c>
      <c r="T329" s="55" t="s">
        <v>394</v>
      </c>
      <c r="U329" s="53">
        <f>'Расчет субсидий'!Z331-1</f>
        <v>-0.39495798319327735</v>
      </c>
      <c r="V329" s="53">
        <f>U329*'Расчет субсидий'!AA331</f>
        <v>-5.9243697478991599</v>
      </c>
      <c r="W329" s="54">
        <f t="shared" si="32"/>
        <v>-45.324266162069591</v>
      </c>
      <c r="X329" s="56">
        <f t="shared" si="33"/>
        <v>-8.3179581164203462</v>
      </c>
    </row>
    <row r="330" spans="1:24" ht="15" customHeight="1">
      <c r="A330" s="64" t="s">
        <v>309</v>
      </c>
      <c r="B330" s="52">
        <f>'Расчет субсидий'!AF332</f>
        <v>-66.527272727272731</v>
      </c>
      <c r="C330" s="53">
        <f>'Расчет субсидий'!D332-1</f>
        <v>-0.56940726577437861</v>
      </c>
      <c r="D330" s="53">
        <f>C330*'Расчет субсидий'!E332</f>
        <v>-8.5411089866156793</v>
      </c>
      <c r="E330" s="54">
        <f t="shared" si="29"/>
        <v>-39.942032846754373</v>
      </c>
      <c r="F330" s="53">
        <f>'Расчет субсидий'!F332-1</f>
        <v>0</v>
      </c>
      <c r="G330" s="53">
        <f>F330*'Расчет субсидий'!G332</f>
        <v>0</v>
      </c>
      <c r="H330" s="54">
        <f t="shared" si="30"/>
        <v>0</v>
      </c>
      <c r="I330" s="53">
        <f>'Расчет субсидий'!J332-1</f>
        <v>2.3944549464398168E-2</v>
      </c>
      <c r="J330" s="53">
        <f>I330*'Расчет субсидий'!K332</f>
        <v>0.23944549464398168</v>
      </c>
      <c r="K330" s="54">
        <f t="shared" si="31"/>
        <v>1.1197538665136353</v>
      </c>
      <c r="L330" s="53" t="s">
        <v>394</v>
      </c>
      <c r="M330" s="53" t="s">
        <v>394</v>
      </c>
      <c r="N330" s="55" t="s">
        <v>394</v>
      </c>
      <c r="O330" s="53" t="s">
        <v>394</v>
      </c>
      <c r="P330" s="53" t="s">
        <v>394</v>
      </c>
      <c r="Q330" s="55" t="s">
        <v>394</v>
      </c>
      <c r="R330" s="53" t="s">
        <v>394</v>
      </c>
      <c r="S330" s="53" t="s">
        <v>394</v>
      </c>
      <c r="T330" s="55" t="s">
        <v>394</v>
      </c>
      <c r="U330" s="53">
        <f>'Расчет субсидий'!Z332-1</f>
        <v>-0.39495798319327735</v>
      </c>
      <c r="V330" s="53">
        <f>U330*'Расчет субсидий'!AA332</f>
        <v>-5.9243697478991599</v>
      </c>
      <c r="W330" s="54">
        <f t="shared" si="32"/>
        <v>-27.704993747031992</v>
      </c>
      <c r="X330" s="56">
        <f t="shared" si="33"/>
        <v>-14.226033239870858</v>
      </c>
    </row>
    <row r="331" spans="1:24" ht="15" customHeight="1">
      <c r="A331" s="60" t="s">
        <v>310</v>
      </c>
      <c r="B331" s="61"/>
      <c r="C331" s="62"/>
      <c r="D331" s="62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</row>
    <row r="332" spans="1:24" ht="15" customHeight="1">
      <c r="A332" s="64" t="s">
        <v>311</v>
      </c>
      <c r="B332" s="52">
        <f>'Расчет субсидий'!AF334</f>
        <v>-154.10000000000002</v>
      </c>
      <c r="C332" s="53">
        <f>'Расчет субсидий'!D334-1</f>
        <v>-0.62000000000000011</v>
      </c>
      <c r="D332" s="53">
        <f>C332*'Расчет субсидий'!E334</f>
        <v>-9.3000000000000007</v>
      </c>
      <c r="E332" s="54">
        <f t="shared" si="29"/>
        <v>-109.93682553840884</v>
      </c>
      <c r="F332" s="53">
        <f>'Расчет субсидий'!F334-1</f>
        <v>0</v>
      </c>
      <c r="G332" s="53">
        <f>F332*'Расчет субсидий'!G334</f>
        <v>0</v>
      </c>
      <c r="H332" s="54">
        <f t="shared" si="30"/>
        <v>0</v>
      </c>
      <c r="I332" s="53">
        <f>'Расчет субсидий'!J334-1</f>
        <v>-6.2483014861995811E-2</v>
      </c>
      <c r="J332" s="53">
        <f>I332*'Расчет субсидий'!K334</f>
        <v>-0.62483014861995811</v>
      </c>
      <c r="K332" s="54">
        <f t="shared" si="31"/>
        <v>-7.3862196817172467</v>
      </c>
      <c r="L332" s="53" t="s">
        <v>394</v>
      </c>
      <c r="M332" s="53" t="s">
        <v>394</v>
      </c>
      <c r="N332" s="55" t="s">
        <v>394</v>
      </c>
      <c r="O332" s="53" t="s">
        <v>394</v>
      </c>
      <c r="P332" s="53" t="s">
        <v>394</v>
      </c>
      <c r="Q332" s="55" t="s">
        <v>394</v>
      </c>
      <c r="R332" s="53" t="s">
        <v>394</v>
      </c>
      <c r="S332" s="53" t="s">
        <v>394</v>
      </c>
      <c r="T332" s="55" t="s">
        <v>394</v>
      </c>
      <c r="U332" s="53">
        <f>'Расчет субсидий'!Z334-1</f>
        <v>-0.20740740740740748</v>
      </c>
      <c r="V332" s="53">
        <f>U332*'Расчет субсидий'!AA334</f>
        <v>-3.1111111111111125</v>
      </c>
      <c r="W332" s="54">
        <f t="shared" si="32"/>
        <v>-36.77695477987394</v>
      </c>
      <c r="X332" s="56">
        <f t="shared" si="33"/>
        <v>-13.035941259731072</v>
      </c>
    </row>
    <row r="333" spans="1:24" ht="15" customHeight="1">
      <c r="A333" s="64" t="s">
        <v>312</v>
      </c>
      <c r="B333" s="52">
        <f>'Расчет субсидий'!AF335</f>
        <v>-32.836363636363615</v>
      </c>
      <c r="C333" s="53">
        <f>'Расчет субсидий'!D335-1</f>
        <v>3.2798325191905064E-2</v>
      </c>
      <c r="D333" s="53">
        <f>C333*'Расчет субсидий'!E335</f>
        <v>0.49197487787857597</v>
      </c>
      <c r="E333" s="54">
        <f t="shared" si="29"/>
        <v>4.9799116539399026</v>
      </c>
      <c r="F333" s="53">
        <f>'Расчет субсидий'!F335-1</f>
        <v>0</v>
      </c>
      <c r="G333" s="53">
        <f>F333*'Расчет субсидий'!G335</f>
        <v>0</v>
      </c>
      <c r="H333" s="54">
        <f t="shared" si="30"/>
        <v>0</v>
      </c>
      <c r="I333" s="53">
        <f>'Расчет субсидий'!J335-1</f>
        <v>-6.2483014861995811E-2</v>
      </c>
      <c r="J333" s="53">
        <f>I333*'Расчет субсидий'!K335</f>
        <v>-0.62483014861995811</v>
      </c>
      <c r="K333" s="54">
        <f t="shared" si="31"/>
        <v>-6.3247110345612061</v>
      </c>
      <c r="L333" s="53" t="s">
        <v>394</v>
      </c>
      <c r="M333" s="53" t="s">
        <v>394</v>
      </c>
      <c r="N333" s="55" t="s">
        <v>394</v>
      </c>
      <c r="O333" s="53" t="s">
        <v>394</v>
      </c>
      <c r="P333" s="53" t="s">
        <v>394</v>
      </c>
      <c r="Q333" s="55" t="s">
        <v>394</v>
      </c>
      <c r="R333" s="53" t="s">
        <v>394</v>
      </c>
      <c r="S333" s="53" t="s">
        <v>394</v>
      </c>
      <c r="T333" s="55" t="s">
        <v>394</v>
      </c>
      <c r="U333" s="53">
        <f>'Расчет субсидий'!Z335-1</f>
        <v>-0.20740740740740748</v>
      </c>
      <c r="V333" s="53">
        <f>U333*'Расчет субсидий'!AA335</f>
        <v>-3.1111111111111125</v>
      </c>
      <c r="W333" s="54">
        <f t="shared" si="32"/>
        <v>-31.491564255742311</v>
      </c>
      <c r="X333" s="56">
        <f t="shared" si="33"/>
        <v>-3.2439663818524949</v>
      </c>
    </row>
    <row r="334" spans="1:24" ht="15" customHeight="1">
      <c r="A334" s="64" t="s">
        <v>265</v>
      </c>
      <c r="B334" s="52">
        <f>'Расчет субсидий'!AF336</f>
        <v>-89.309090909090855</v>
      </c>
      <c r="C334" s="53">
        <f>'Расчет субсидий'!D336-1</f>
        <v>-0.41871584699453557</v>
      </c>
      <c r="D334" s="53">
        <f>C334*'Расчет субсидий'!E336</f>
        <v>-6.2807377049180335</v>
      </c>
      <c r="E334" s="54">
        <f t="shared" si="29"/>
        <v>-55.999296437901677</v>
      </c>
      <c r="F334" s="53">
        <f>'Расчет субсидий'!F336-1</f>
        <v>0</v>
      </c>
      <c r="G334" s="53">
        <f>F334*'Расчет субсидий'!G336</f>
        <v>0</v>
      </c>
      <c r="H334" s="54">
        <v>0</v>
      </c>
      <c r="I334" s="53">
        <f>'Расчет субсидий'!J336-1</f>
        <v>-6.2483014861995811E-2</v>
      </c>
      <c r="J334" s="53">
        <f>I334*'Расчет субсидий'!K336</f>
        <v>-0.62483014861995811</v>
      </c>
      <c r="K334" s="54">
        <f t="shared" si="31"/>
        <v>-5.5710093877202969</v>
      </c>
      <c r="L334" s="53" t="s">
        <v>394</v>
      </c>
      <c r="M334" s="53" t="s">
        <v>394</v>
      </c>
      <c r="N334" s="55" t="s">
        <v>394</v>
      </c>
      <c r="O334" s="53" t="s">
        <v>394</v>
      </c>
      <c r="P334" s="53" t="s">
        <v>394</v>
      </c>
      <c r="Q334" s="55" t="s">
        <v>394</v>
      </c>
      <c r="R334" s="53" t="s">
        <v>394</v>
      </c>
      <c r="S334" s="53" t="s">
        <v>394</v>
      </c>
      <c r="T334" s="55" t="s">
        <v>394</v>
      </c>
      <c r="U334" s="53">
        <f>'Расчет субсидий'!Z336-1</f>
        <v>-0.20740740740740748</v>
      </c>
      <c r="V334" s="53">
        <f>U334*'Расчет субсидий'!AA336</f>
        <v>-3.1111111111111125</v>
      </c>
      <c r="W334" s="54">
        <f t="shared" si="32"/>
        <v>-27.738785083468876</v>
      </c>
      <c r="X334" s="56">
        <f t="shared" si="33"/>
        <v>-10.016678964649104</v>
      </c>
    </row>
    <row r="335" spans="1:24" ht="15" customHeight="1">
      <c r="A335" s="64" t="s">
        <v>313</v>
      </c>
      <c r="B335" s="52">
        <f>'Расчет субсидий'!AF337</f>
        <v>-2.7272727272702468E-2</v>
      </c>
      <c r="C335" s="53">
        <f>'Расчет субсидий'!D337-1</f>
        <v>0.24881443298969064</v>
      </c>
      <c r="D335" s="53">
        <f>C335*'Расчет субсидий'!E337</f>
        <v>3.7322164948453596</v>
      </c>
      <c r="E335" s="54">
        <f t="shared" si="29"/>
        <v>27.327287952340612</v>
      </c>
      <c r="F335" s="53">
        <f>'Расчет субсидий'!F337-1</f>
        <v>0</v>
      </c>
      <c r="G335" s="53">
        <f>F335*'Расчет субсидий'!G337</f>
        <v>0</v>
      </c>
      <c r="H335" s="54">
        <f t="shared" si="30"/>
        <v>0</v>
      </c>
      <c r="I335" s="53">
        <f>'Расчет субсидий'!J337-1</f>
        <v>-6.2483014861995811E-2</v>
      </c>
      <c r="J335" s="53">
        <f>I335*'Расчет субсидий'!K337</f>
        <v>-0.62483014861995811</v>
      </c>
      <c r="K335" s="54">
        <f t="shared" si="31"/>
        <v>-4.5750061434602971</v>
      </c>
      <c r="L335" s="53" t="s">
        <v>394</v>
      </c>
      <c r="M335" s="53" t="s">
        <v>394</v>
      </c>
      <c r="N335" s="55" t="s">
        <v>394</v>
      </c>
      <c r="O335" s="53" t="s">
        <v>394</v>
      </c>
      <c r="P335" s="53" t="s">
        <v>394</v>
      </c>
      <c r="Q335" s="55" t="s">
        <v>394</v>
      </c>
      <c r="R335" s="53" t="s">
        <v>394</v>
      </c>
      <c r="S335" s="53" t="s">
        <v>394</v>
      </c>
      <c r="T335" s="55" t="s">
        <v>394</v>
      </c>
      <c r="U335" s="53">
        <f>'Расчет субсидий'!Z337-1</f>
        <v>-0.20740740740740748</v>
      </c>
      <c r="V335" s="53">
        <f>U335*'Расчет субсидий'!AA337</f>
        <v>-3.1111111111111125</v>
      </c>
      <c r="W335" s="54">
        <f t="shared" si="32"/>
        <v>-22.779554536153018</v>
      </c>
      <c r="X335" s="56">
        <f t="shared" si="33"/>
        <v>-3.7247648857112736E-3</v>
      </c>
    </row>
    <row r="336" spans="1:24" ht="15" customHeight="1">
      <c r="A336" s="64" t="s">
        <v>314</v>
      </c>
      <c r="B336" s="52">
        <f>'Расчет субсидий'!AF338</f>
        <v>-142.4909090909091</v>
      </c>
      <c r="C336" s="53">
        <f>'Расчет субсидий'!D338-1</f>
        <v>-0.37327608639084053</v>
      </c>
      <c r="D336" s="53">
        <f>C336*'Расчет субсидий'!E338</f>
        <v>-5.5991412958626077</v>
      </c>
      <c r="E336" s="54">
        <f t="shared" si="29"/>
        <v>-85.465418074727964</v>
      </c>
      <c r="F336" s="53">
        <f>'Расчет субсидий'!F338-1</f>
        <v>0</v>
      </c>
      <c r="G336" s="53">
        <f>F336*'Расчет субсидий'!G338</f>
        <v>0</v>
      </c>
      <c r="H336" s="54">
        <f t="shared" si="30"/>
        <v>0</v>
      </c>
      <c r="I336" s="53">
        <f>'Расчет субсидий'!J338-1</f>
        <v>-6.2483014861995811E-2</v>
      </c>
      <c r="J336" s="53">
        <f>I336*'Расчет субсидий'!K338</f>
        <v>-0.62483014861995811</v>
      </c>
      <c r="K336" s="54">
        <f t="shared" si="31"/>
        <v>-9.5374213751239285</v>
      </c>
      <c r="L336" s="53" t="s">
        <v>394</v>
      </c>
      <c r="M336" s="53" t="s">
        <v>394</v>
      </c>
      <c r="N336" s="55" t="s">
        <v>394</v>
      </c>
      <c r="O336" s="53" t="s">
        <v>394</v>
      </c>
      <c r="P336" s="53" t="s">
        <v>394</v>
      </c>
      <c r="Q336" s="55" t="s">
        <v>394</v>
      </c>
      <c r="R336" s="53" t="s">
        <v>394</v>
      </c>
      <c r="S336" s="53" t="s">
        <v>394</v>
      </c>
      <c r="T336" s="55" t="s">
        <v>394</v>
      </c>
      <c r="U336" s="53">
        <f>'Расчет субсидий'!Z338-1</f>
        <v>-0.20740740740740748</v>
      </c>
      <c r="V336" s="53">
        <f>U336*'Расчет субсидий'!AA338</f>
        <v>-3.1111111111111125</v>
      </c>
      <c r="W336" s="54">
        <f t="shared" si="32"/>
        <v>-47.48806964105718</v>
      </c>
      <c r="X336" s="56">
        <f t="shared" si="33"/>
        <v>-9.3350825555936794</v>
      </c>
    </row>
    <row r="337" spans="1:24" ht="15" customHeight="1">
      <c r="A337" s="64" t="s">
        <v>315</v>
      </c>
      <c r="B337" s="52">
        <f>'Расчет субсидий'!AF339</f>
        <v>-78.027272727272702</v>
      </c>
      <c r="C337" s="53">
        <f>'Расчет субсидий'!D339-1</f>
        <v>-9.4983787907686357E-2</v>
      </c>
      <c r="D337" s="53">
        <f>C337*'Расчет субсидий'!E339</f>
        <v>-1.4247568186152955</v>
      </c>
      <c r="E337" s="54">
        <f t="shared" si="29"/>
        <v>-21.541637811092226</v>
      </c>
      <c r="F337" s="53">
        <f>'Расчет субсидий'!F339-1</f>
        <v>0</v>
      </c>
      <c r="G337" s="53">
        <f>F337*'Расчет субсидий'!G339</f>
        <v>0</v>
      </c>
      <c r="H337" s="54">
        <f t="shared" si="30"/>
        <v>0</v>
      </c>
      <c r="I337" s="53">
        <f>'Расчет субсидий'!J339-1</f>
        <v>-6.2483014861995811E-2</v>
      </c>
      <c r="J337" s="53">
        <f>I337*'Расчет субсидий'!K339</f>
        <v>-0.62483014861995811</v>
      </c>
      <c r="K337" s="54">
        <f t="shared" si="31"/>
        <v>-9.4471313133307557</v>
      </c>
      <c r="L337" s="53" t="s">
        <v>394</v>
      </c>
      <c r="M337" s="53" t="s">
        <v>394</v>
      </c>
      <c r="N337" s="55" t="s">
        <v>394</v>
      </c>
      <c r="O337" s="53" t="s">
        <v>394</v>
      </c>
      <c r="P337" s="53" t="s">
        <v>394</v>
      </c>
      <c r="Q337" s="55" t="s">
        <v>394</v>
      </c>
      <c r="R337" s="53" t="s">
        <v>394</v>
      </c>
      <c r="S337" s="53" t="s">
        <v>394</v>
      </c>
      <c r="T337" s="55" t="s">
        <v>394</v>
      </c>
      <c r="U337" s="53">
        <f>'Расчет субсидий'!Z339-1</f>
        <v>-0.20740740740740748</v>
      </c>
      <c r="V337" s="53">
        <f>U337*'Расчет субсидий'!AA339</f>
        <v>-3.1111111111111125</v>
      </c>
      <c r="W337" s="54">
        <f t="shared" si="32"/>
        <v>-47.038503602849723</v>
      </c>
      <c r="X337" s="56">
        <f t="shared" si="33"/>
        <v>-5.1606980783463658</v>
      </c>
    </row>
    <row r="338" spans="1:24" ht="15" customHeight="1">
      <c r="A338" s="64" t="s">
        <v>316</v>
      </c>
      <c r="B338" s="52">
        <f>'Расчет субсидий'!AF340</f>
        <v>-44.909090909090878</v>
      </c>
      <c r="C338" s="53">
        <f>'Расчет субсидий'!D340-1</f>
        <v>-2.0018478595626776E-2</v>
      </c>
      <c r="D338" s="53">
        <f>C338*'Расчет субсидий'!E340</f>
        <v>-0.30027717893440165</v>
      </c>
      <c r="E338" s="54">
        <f t="shared" si="29"/>
        <v>-3.3410419509279845</v>
      </c>
      <c r="F338" s="53">
        <f>'Расчет субсидий'!F340-1</f>
        <v>0</v>
      </c>
      <c r="G338" s="53">
        <f>F338*'Расчет субсидий'!G340</f>
        <v>0</v>
      </c>
      <c r="H338" s="54">
        <f t="shared" si="30"/>
        <v>0</v>
      </c>
      <c r="I338" s="53">
        <f>'Расчет субсидий'!J340-1</f>
        <v>-6.2483014861995811E-2</v>
      </c>
      <c r="J338" s="53">
        <f>I338*'Расчет субсидий'!K340</f>
        <v>-0.62483014861995811</v>
      </c>
      <c r="K338" s="54">
        <f t="shared" si="31"/>
        <v>-6.952189127898726</v>
      </c>
      <c r="L338" s="53" t="s">
        <v>394</v>
      </c>
      <c r="M338" s="53" t="s">
        <v>394</v>
      </c>
      <c r="N338" s="55" t="s">
        <v>394</v>
      </c>
      <c r="O338" s="53" t="s">
        <v>394</v>
      </c>
      <c r="P338" s="53" t="s">
        <v>394</v>
      </c>
      <c r="Q338" s="55" t="s">
        <v>394</v>
      </c>
      <c r="R338" s="53" t="s">
        <v>394</v>
      </c>
      <c r="S338" s="53" t="s">
        <v>394</v>
      </c>
      <c r="T338" s="55" t="s">
        <v>394</v>
      </c>
      <c r="U338" s="53">
        <f>'Расчет субсидий'!Z340-1</f>
        <v>-0.20740740740740748</v>
      </c>
      <c r="V338" s="53">
        <f>U338*'Расчет субсидий'!AA340</f>
        <v>-3.1111111111111125</v>
      </c>
      <c r="W338" s="54">
        <f t="shared" si="32"/>
        <v>-34.615859830264171</v>
      </c>
      <c r="X338" s="56">
        <f t="shared" si="33"/>
        <v>-4.0362184386654718</v>
      </c>
    </row>
    <row r="339" spans="1:24" ht="15" customHeight="1">
      <c r="A339" s="64" t="s">
        <v>317</v>
      </c>
      <c r="B339" s="52">
        <f>'Расчет субсидий'!AF341</f>
        <v>-2.0090909090909008</v>
      </c>
      <c r="C339" s="53">
        <f>'Расчет субсидий'!D341-1</f>
        <v>0.23614406779661001</v>
      </c>
      <c r="D339" s="53">
        <f>C339*'Расчет субсидий'!E341</f>
        <v>3.5421610169491502</v>
      </c>
      <c r="E339" s="54">
        <f t="shared" si="29"/>
        <v>36.7247114335471</v>
      </c>
      <c r="F339" s="53">
        <f>'Расчет субсидий'!F341-1</f>
        <v>0</v>
      </c>
      <c r="G339" s="53">
        <f>F339*'Расчет субсидий'!G341</f>
        <v>0</v>
      </c>
      <c r="H339" s="54">
        <f t="shared" si="30"/>
        <v>0</v>
      </c>
      <c r="I339" s="53">
        <f>'Расчет субсидий'!J341-1</f>
        <v>-6.2483014861995811E-2</v>
      </c>
      <c r="J339" s="53">
        <f>I339*'Расчет субсидий'!K341</f>
        <v>-0.62483014861995811</v>
      </c>
      <c r="K339" s="54">
        <f t="shared" si="31"/>
        <v>-6.4781659538482028</v>
      </c>
      <c r="L339" s="53" t="s">
        <v>394</v>
      </c>
      <c r="M339" s="53" t="s">
        <v>394</v>
      </c>
      <c r="N339" s="55" t="s">
        <v>394</v>
      </c>
      <c r="O339" s="53" t="s">
        <v>394</v>
      </c>
      <c r="P339" s="53" t="s">
        <v>394</v>
      </c>
      <c r="Q339" s="55" t="s">
        <v>394</v>
      </c>
      <c r="R339" s="53" t="s">
        <v>394</v>
      </c>
      <c r="S339" s="53" t="s">
        <v>394</v>
      </c>
      <c r="T339" s="55" t="s">
        <v>394</v>
      </c>
      <c r="U339" s="53">
        <f>'Расчет субсидий'!Z341-1</f>
        <v>-0.20740740740740748</v>
      </c>
      <c r="V339" s="53">
        <f>U339*'Расчет субсидий'!AA341</f>
        <v>-3.1111111111111125</v>
      </c>
      <c r="W339" s="54">
        <f t="shared" si="32"/>
        <v>-32.255636388789803</v>
      </c>
      <c r="X339" s="56">
        <f t="shared" si="33"/>
        <v>-0.19378024278192019</v>
      </c>
    </row>
    <row r="340" spans="1:24" ht="15" customHeight="1">
      <c r="A340" s="64" t="s">
        <v>318</v>
      </c>
      <c r="B340" s="52">
        <f>'Расчет субсидий'!AF342</f>
        <v>6.9818181818181415</v>
      </c>
      <c r="C340" s="53">
        <f>'Расчет субсидий'!D342-1</f>
        <v>0.30000000000000004</v>
      </c>
      <c r="D340" s="53">
        <f>C340*'Расчет субсидий'!E342</f>
        <v>4.5000000000000009</v>
      </c>
      <c r="E340" s="54">
        <f t="shared" si="29"/>
        <v>41.120113104292493</v>
      </c>
      <c r="F340" s="53">
        <f>'Расчет субсидий'!F342-1</f>
        <v>0</v>
      </c>
      <c r="G340" s="53">
        <f>F340*'Расчет субсидий'!G342</f>
        <v>0</v>
      </c>
      <c r="H340" s="54">
        <f t="shared" si="30"/>
        <v>0</v>
      </c>
      <c r="I340" s="53">
        <f>'Расчет субсидий'!J342-1</f>
        <v>-6.2483014861995811E-2</v>
      </c>
      <c r="J340" s="53">
        <f>I340*'Расчет субсидий'!K342</f>
        <v>-0.62483014861995811</v>
      </c>
      <c r="K340" s="54">
        <f t="shared" si="31"/>
        <v>-5.7095747516054569</v>
      </c>
      <c r="L340" s="53" t="s">
        <v>394</v>
      </c>
      <c r="M340" s="53" t="s">
        <v>394</v>
      </c>
      <c r="N340" s="55" t="s">
        <v>394</v>
      </c>
      <c r="O340" s="53" t="s">
        <v>394</v>
      </c>
      <c r="P340" s="53" t="s">
        <v>394</v>
      </c>
      <c r="Q340" s="55" t="s">
        <v>394</v>
      </c>
      <c r="R340" s="53" t="s">
        <v>394</v>
      </c>
      <c r="S340" s="53" t="s">
        <v>394</v>
      </c>
      <c r="T340" s="55" t="s">
        <v>394</v>
      </c>
      <c r="U340" s="53">
        <f>'Расчет субсидий'!Z342-1</f>
        <v>-0.20740740740740748</v>
      </c>
      <c r="V340" s="53">
        <f>U340*'Расчет субсидий'!AA342</f>
        <v>-3.1111111111111125</v>
      </c>
      <c r="W340" s="54">
        <f t="shared" si="32"/>
        <v>-28.428720170868889</v>
      </c>
      <c r="X340" s="56">
        <f t="shared" si="33"/>
        <v>0.76405874026893006</v>
      </c>
    </row>
    <row r="341" spans="1:24" ht="15" customHeight="1">
      <c r="A341" s="64" t="s">
        <v>319</v>
      </c>
      <c r="B341" s="52">
        <f>'Расчет субсидий'!AF343</f>
        <v>-11</v>
      </c>
      <c r="C341" s="53">
        <f>'Расчет субсидий'!D343-1</f>
        <v>0.18451483157365511</v>
      </c>
      <c r="D341" s="53">
        <f>C341*'Расчет субсидий'!E343</f>
        <v>2.7677224736048265</v>
      </c>
      <c r="E341" s="54">
        <f t="shared" si="29"/>
        <v>31.444284748347599</v>
      </c>
      <c r="F341" s="53">
        <f>'Расчет субсидий'!F343-1</f>
        <v>0</v>
      </c>
      <c r="G341" s="53">
        <f>F341*'Расчет субсидий'!G343</f>
        <v>0</v>
      </c>
      <c r="H341" s="54">
        <f t="shared" si="30"/>
        <v>0</v>
      </c>
      <c r="I341" s="53">
        <f>'Расчет субсидий'!J343-1</f>
        <v>-6.2483014861995811E-2</v>
      </c>
      <c r="J341" s="53">
        <f>I341*'Расчет субсидий'!K343</f>
        <v>-0.62483014861995811</v>
      </c>
      <c r="K341" s="54">
        <f t="shared" si="31"/>
        <v>-7.0987381502049924</v>
      </c>
      <c r="L341" s="53" t="s">
        <v>394</v>
      </c>
      <c r="M341" s="53" t="s">
        <v>394</v>
      </c>
      <c r="N341" s="55" t="s">
        <v>394</v>
      </c>
      <c r="O341" s="53" t="s">
        <v>394</v>
      </c>
      <c r="P341" s="53" t="s">
        <v>394</v>
      </c>
      <c r="Q341" s="55" t="s">
        <v>394</v>
      </c>
      <c r="R341" s="53" t="s">
        <v>394</v>
      </c>
      <c r="S341" s="53" t="s">
        <v>394</v>
      </c>
      <c r="T341" s="55" t="s">
        <v>394</v>
      </c>
      <c r="U341" s="53">
        <f>'Расчет субсидий'!Z343-1</f>
        <v>-0.20740740740740748</v>
      </c>
      <c r="V341" s="53">
        <f>U341*'Расчет субсидий'!AA343</f>
        <v>-3.1111111111111125</v>
      </c>
      <c r="W341" s="54">
        <f t="shared" si="32"/>
        <v>-35.345546598142604</v>
      </c>
      <c r="X341" s="56">
        <f t="shared" si="33"/>
        <v>-0.96821878612624435</v>
      </c>
    </row>
    <row r="342" spans="1:24" ht="15" customHeight="1">
      <c r="A342" s="64" t="s">
        <v>320</v>
      </c>
      <c r="B342" s="52">
        <f>'Расчет субсидий'!AF344</f>
        <v>-65.527272727272702</v>
      </c>
      <c r="C342" s="53">
        <f>'Расчет субсидий'!D344-1</f>
        <v>6.666270748582126E-2</v>
      </c>
      <c r="D342" s="53">
        <f>C342*'Расчет субсидий'!E344</f>
        <v>0.9999406122873189</v>
      </c>
      <c r="E342" s="54">
        <f t="shared" si="29"/>
        <v>23.948598577140601</v>
      </c>
      <c r="F342" s="53">
        <f>'Расчет субсидий'!F344-1</f>
        <v>0</v>
      </c>
      <c r="G342" s="53">
        <f>F342*'Расчет субсидий'!G344</f>
        <v>0</v>
      </c>
      <c r="H342" s="54">
        <f t="shared" si="30"/>
        <v>0</v>
      </c>
      <c r="I342" s="53">
        <f>'Расчет субсидий'!J344-1</f>
        <v>-6.2483014861995811E-2</v>
      </c>
      <c r="J342" s="53">
        <f>I342*'Расчет субсидий'!K344</f>
        <v>-0.62483014861995811</v>
      </c>
      <c r="K342" s="54">
        <f t="shared" si="31"/>
        <v>-14.964695127209055</v>
      </c>
      <c r="L342" s="53" t="s">
        <v>394</v>
      </c>
      <c r="M342" s="53" t="s">
        <v>394</v>
      </c>
      <c r="N342" s="55" t="s">
        <v>394</v>
      </c>
      <c r="O342" s="53" t="s">
        <v>394</v>
      </c>
      <c r="P342" s="53" t="s">
        <v>394</v>
      </c>
      <c r="Q342" s="55" t="s">
        <v>394</v>
      </c>
      <c r="R342" s="53" t="s">
        <v>394</v>
      </c>
      <c r="S342" s="53" t="s">
        <v>394</v>
      </c>
      <c r="T342" s="55" t="s">
        <v>394</v>
      </c>
      <c r="U342" s="53">
        <f>'Расчет субсидий'!Z344-1</f>
        <v>-0.20740740740740748</v>
      </c>
      <c r="V342" s="53">
        <f>U342*'Расчет субсидий'!AA344</f>
        <v>-3.1111111111111125</v>
      </c>
      <c r="W342" s="54">
        <f t="shared" si="32"/>
        <v>-74.511176177204248</v>
      </c>
      <c r="X342" s="56">
        <f t="shared" si="33"/>
        <v>-2.7360006474437517</v>
      </c>
    </row>
    <row r="343" spans="1:24" ht="15" customHeight="1">
      <c r="A343" s="60" t="s">
        <v>321</v>
      </c>
      <c r="B343" s="61"/>
      <c r="C343" s="62"/>
      <c r="D343" s="62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</row>
    <row r="344" spans="1:24" ht="15" customHeight="1">
      <c r="A344" s="64" t="s">
        <v>322</v>
      </c>
      <c r="B344" s="52">
        <f>'Расчет субсидий'!AF346</f>
        <v>-23.927272727272737</v>
      </c>
      <c r="C344" s="53">
        <f>'Расчет субсидий'!D346-1</f>
        <v>-0.14971751412429379</v>
      </c>
      <c r="D344" s="53">
        <f>C344*'Расчет субсидий'!E346</f>
        <v>-2.245762711864407</v>
      </c>
      <c r="E344" s="54">
        <f t="shared" si="29"/>
        <v>-17.875822799825276</v>
      </c>
      <c r="F344" s="53">
        <f>'Расчет субсидий'!F346-1</f>
        <v>0</v>
      </c>
      <c r="G344" s="53">
        <f>F344*'Расчет субсидий'!G346</f>
        <v>0</v>
      </c>
      <c r="H344" s="54">
        <f t="shared" si="30"/>
        <v>0</v>
      </c>
      <c r="I344" s="53">
        <f>'Расчет субсидий'!J346-1</f>
        <v>4.4942594718714091E-2</v>
      </c>
      <c r="J344" s="53">
        <f>I344*'Расчет субсидий'!K346</f>
        <v>0.44942594718714091</v>
      </c>
      <c r="K344" s="54">
        <f t="shared" si="31"/>
        <v>3.5773408076988442</v>
      </c>
      <c r="L344" s="53" t="s">
        <v>394</v>
      </c>
      <c r="M344" s="53" t="s">
        <v>394</v>
      </c>
      <c r="N344" s="55" t="s">
        <v>394</v>
      </c>
      <c r="O344" s="53" t="s">
        <v>394</v>
      </c>
      <c r="P344" s="53" t="s">
        <v>394</v>
      </c>
      <c r="Q344" s="55" t="s">
        <v>394</v>
      </c>
      <c r="R344" s="53" t="s">
        <v>394</v>
      </c>
      <c r="S344" s="53" t="s">
        <v>394</v>
      </c>
      <c r="T344" s="55" t="s">
        <v>394</v>
      </c>
      <c r="U344" s="53">
        <f>'Расчет субсидий'!Z346-1</f>
        <v>-8.064516129032262E-2</v>
      </c>
      <c r="V344" s="53">
        <f>U344*'Расчет субсидий'!AA346</f>
        <v>-1.2096774193548394</v>
      </c>
      <c r="W344" s="54">
        <f t="shared" si="32"/>
        <v>-9.6287907351463051</v>
      </c>
      <c r="X344" s="56">
        <f t="shared" si="33"/>
        <v>-3.0060141840321055</v>
      </c>
    </row>
    <row r="345" spans="1:24" ht="15" customHeight="1">
      <c r="A345" s="64" t="s">
        <v>323</v>
      </c>
      <c r="B345" s="52">
        <f>'Расчет субсидий'!AF347</f>
        <v>-21.699999999999989</v>
      </c>
      <c r="C345" s="53">
        <f>'Расчет субсидий'!D347-1</f>
        <v>-0.11440385940730524</v>
      </c>
      <c r="D345" s="53">
        <f>C345*'Расчет субсидий'!E347</f>
        <v>-1.7160578911095787</v>
      </c>
      <c r="E345" s="54">
        <f t="shared" si="29"/>
        <v>-15.037885326167213</v>
      </c>
      <c r="F345" s="53">
        <f>'Расчет субсидий'!F347-1</f>
        <v>0</v>
      </c>
      <c r="G345" s="53">
        <f>F345*'Расчет субсидий'!G347</f>
        <v>0</v>
      </c>
      <c r="H345" s="54">
        <f t="shared" si="30"/>
        <v>0</v>
      </c>
      <c r="I345" s="53">
        <f>'Расчет субсидий'!J347-1</f>
        <v>4.4942594718714091E-2</v>
      </c>
      <c r="J345" s="53">
        <f>I345*'Расчет субсидий'!K347</f>
        <v>0.44942594718714091</v>
      </c>
      <c r="K345" s="54">
        <f t="shared" si="31"/>
        <v>3.938337914715925</v>
      </c>
      <c r="L345" s="53" t="s">
        <v>394</v>
      </c>
      <c r="M345" s="53" t="s">
        <v>394</v>
      </c>
      <c r="N345" s="55" t="s">
        <v>394</v>
      </c>
      <c r="O345" s="53" t="s">
        <v>394</v>
      </c>
      <c r="P345" s="53" t="s">
        <v>394</v>
      </c>
      <c r="Q345" s="55" t="s">
        <v>394</v>
      </c>
      <c r="R345" s="53" t="s">
        <v>394</v>
      </c>
      <c r="S345" s="53" t="s">
        <v>394</v>
      </c>
      <c r="T345" s="55" t="s">
        <v>394</v>
      </c>
      <c r="U345" s="53">
        <f>'Расчет субсидий'!Z347-1</f>
        <v>-8.064516129032262E-2</v>
      </c>
      <c r="V345" s="53">
        <f>U345*'Расчет субсидий'!AA347</f>
        <v>-1.2096774193548394</v>
      </c>
      <c r="W345" s="54">
        <f t="shared" si="32"/>
        <v>-10.600452588548702</v>
      </c>
      <c r="X345" s="56">
        <f t="shared" si="33"/>
        <v>-2.4763093632772772</v>
      </c>
    </row>
    <row r="346" spans="1:24" ht="15" customHeight="1">
      <c r="A346" s="64" t="s">
        <v>324</v>
      </c>
      <c r="B346" s="52">
        <f>'Расчет субсидий'!AF348</f>
        <v>0.11818181818182438</v>
      </c>
      <c r="C346" s="53">
        <f>'Расчет субсидий'!D348-1</f>
        <v>5.1117001135933426E-2</v>
      </c>
      <c r="D346" s="53">
        <f>C346*'Расчет субсидий'!E348</f>
        <v>0.7667550170390014</v>
      </c>
      <c r="E346" s="54">
        <f t="shared" si="29"/>
        <v>13.933401522845372</v>
      </c>
      <c r="F346" s="53">
        <f>'Расчет субсидий'!F348-1</f>
        <v>0</v>
      </c>
      <c r="G346" s="53">
        <f>F346*'Расчет субсидий'!G348</f>
        <v>0</v>
      </c>
      <c r="H346" s="54">
        <f t="shared" si="30"/>
        <v>0</v>
      </c>
      <c r="I346" s="53">
        <f>'Расчет субсидий'!J348-1</f>
        <v>4.4942594718714091E-2</v>
      </c>
      <c r="J346" s="53">
        <f>I346*'Расчет субсидий'!K348</f>
        <v>0.44942594718714091</v>
      </c>
      <c r="K346" s="54">
        <f t="shared" si="31"/>
        <v>8.166926903361901</v>
      </c>
      <c r="L346" s="53" t="s">
        <v>394</v>
      </c>
      <c r="M346" s="53" t="s">
        <v>394</v>
      </c>
      <c r="N346" s="55" t="s">
        <v>394</v>
      </c>
      <c r="O346" s="53" t="s">
        <v>394</v>
      </c>
      <c r="P346" s="53" t="s">
        <v>394</v>
      </c>
      <c r="Q346" s="55" t="s">
        <v>394</v>
      </c>
      <c r="R346" s="53" t="s">
        <v>394</v>
      </c>
      <c r="S346" s="53" t="s">
        <v>394</v>
      </c>
      <c r="T346" s="55" t="s">
        <v>394</v>
      </c>
      <c r="U346" s="53">
        <f>'Расчет субсидий'!Z348-1</f>
        <v>-8.064516129032262E-2</v>
      </c>
      <c r="V346" s="53">
        <f>U346*'Расчет субсидий'!AA348</f>
        <v>-1.2096774193548394</v>
      </c>
      <c r="W346" s="54">
        <f t="shared" si="32"/>
        <v>-21.982146608025452</v>
      </c>
      <c r="X346" s="56">
        <f t="shared" si="33"/>
        <v>6.5035448713028909E-3</v>
      </c>
    </row>
    <row r="347" spans="1:24" ht="15" customHeight="1">
      <c r="A347" s="64" t="s">
        <v>325</v>
      </c>
      <c r="B347" s="52">
        <f>'Расчет субсидий'!AF349</f>
        <v>-63.081818181818107</v>
      </c>
      <c r="C347" s="53">
        <f>'Расчет субсидий'!D349-1</f>
        <v>-0.33528122717311915</v>
      </c>
      <c r="D347" s="53">
        <f>C347*'Расчет субсидий'!E349</f>
        <v>-5.0292184075967867</v>
      </c>
      <c r="E347" s="54">
        <f t="shared" si="29"/>
        <v>-54.798150396039198</v>
      </c>
      <c r="F347" s="53">
        <f>'Расчет субсидий'!F349-1</f>
        <v>0</v>
      </c>
      <c r="G347" s="53">
        <f>F347*'Расчет субсидий'!G349</f>
        <v>0</v>
      </c>
      <c r="H347" s="54">
        <f t="shared" si="30"/>
        <v>0</v>
      </c>
      <c r="I347" s="53">
        <f>'Расчет субсидий'!J349-1</f>
        <v>4.4942594718714091E-2</v>
      </c>
      <c r="J347" s="53">
        <f>I347*'Расчет субсидий'!K349</f>
        <v>0.44942594718714091</v>
      </c>
      <c r="K347" s="54">
        <f t="shared" si="31"/>
        <v>4.8969260528917209</v>
      </c>
      <c r="L347" s="53" t="s">
        <v>394</v>
      </c>
      <c r="M347" s="53" t="s">
        <v>394</v>
      </c>
      <c r="N347" s="55" t="s">
        <v>394</v>
      </c>
      <c r="O347" s="53" t="s">
        <v>394</v>
      </c>
      <c r="P347" s="53" t="s">
        <v>394</v>
      </c>
      <c r="Q347" s="55" t="s">
        <v>394</v>
      </c>
      <c r="R347" s="53" t="s">
        <v>394</v>
      </c>
      <c r="S347" s="53" t="s">
        <v>394</v>
      </c>
      <c r="T347" s="55" t="s">
        <v>394</v>
      </c>
      <c r="U347" s="53">
        <f>'Расчет субсидий'!Z349-1</f>
        <v>-8.064516129032262E-2</v>
      </c>
      <c r="V347" s="53">
        <f>U347*'Расчет субсидий'!AA349</f>
        <v>-1.2096774193548394</v>
      </c>
      <c r="W347" s="54">
        <f t="shared" si="32"/>
        <v>-13.180593838670621</v>
      </c>
      <c r="X347" s="56">
        <f t="shared" si="33"/>
        <v>-5.7894698797644857</v>
      </c>
    </row>
    <row r="348" spans="1:24" ht="15" customHeight="1">
      <c r="A348" s="64" t="s">
        <v>326</v>
      </c>
      <c r="B348" s="52">
        <f>'Расчет субсидий'!AF350</f>
        <v>-29.127272727272725</v>
      </c>
      <c r="C348" s="53">
        <f>'Расчет субсидий'!D350-1</f>
        <v>-0.25740458015267176</v>
      </c>
      <c r="D348" s="53">
        <f>C348*'Расчет субсидий'!E350</f>
        <v>-3.8610687022900763</v>
      </c>
      <c r="E348" s="54">
        <f t="shared" si="29"/>
        <v>-24.335557127576724</v>
      </c>
      <c r="F348" s="53">
        <f>'Расчет субсидий'!F350-1</f>
        <v>0</v>
      </c>
      <c r="G348" s="53">
        <f>F348*'Расчет субсидий'!G350</f>
        <v>0</v>
      </c>
      <c r="H348" s="54">
        <f t="shared" si="30"/>
        <v>0</v>
      </c>
      <c r="I348" s="53">
        <f>'Расчет субсидий'!J350-1</f>
        <v>4.4942594718714091E-2</v>
      </c>
      <c r="J348" s="53">
        <f>I348*'Расчет субсидий'!K350</f>
        <v>0.44942594718714091</v>
      </c>
      <c r="K348" s="54">
        <f t="shared" si="31"/>
        <v>2.8326434092977881</v>
      </c>
      <c r="L348" s="53" t="s">
        <v>394</v>
      </c>
      <c r="M348" s="53" t="s">
        <v>394</v>
      </c>
      <c r="N348" s="55" t="s">
        <v>394</v>
      </c>
      <c r="O348" s="53" t="s">
        <v>394</v>
      </c>
      <c r="P348" s="53" t="s">
        <v>394</v>
      </c>
      <c r="Q348" s="55" t="s">
        <v>394</v>
      </c>
      <c r="R348" s="53" t="s">
        <v>394</v>
      </c>
      <c r="S348" s="53" t="s">
        <v>394</v>
      </c>
      <c r="T348" s="55" t="s">
        <v>394</v>
      </c>
      <c r="U348" s="53">
        <f>'Расчет субсидий'!Z350-1</f>
        <v>-8.064516129032262E-2</v>
      </c>
      <c r="V348" s="53">
        <f>U348*'Расчет субсидий'!AA350</f>
        <v>-1.2096774193548394</v>
      </c>
      <c r="W348" s="54">
        <f t="shared" si="32"/>
        <v>-7.6243590089937854</v>
      </c>
      <c r="X348" s="56">
        <f t="shared" si="33"/>
        <v>-4.6213201744577752</v>
      </c>
    </row>
    <row r="349" spans="1:24" ht="15" customHeight="1">
      <c r="A349" s="64" t="s">
        <v>327</v>
      </c>
      <c r="B349" s="52">
        <f>'Расчет субсидий'!AF351</f>
        <v>-50.263636363636351</v>
      </c>
      <c r="C349" s="53">
        <f>'Расчет субсидий'!D351-1</f>
        <v>-0.34941763727121466</v>
      </c>
      <c r="D349" s="53">
        <f>C349*'Расчет субсидий'!E351</f>
        <v>-5.2412645590682203</v>
      </c>
      <c r="E349" s="54">
        <f t="shared" si="29"/>
        <v>-43.896411258667818</v>
      </c>
      <c r="F349" s="53">
        <f>'Расчет субсидий'!F351-1</f>
        <v>0</v>
      </c>
      <c r="G349" s="53">
        <f>F349*'Расчет субсидий'!G351</f>
        <v>0</v>
      </c>
      <c r="H349" s="54">
        <f t="shared" si="30"/>
        <v>0</v>
      </c>
      <c r="I349" s="53">
        <f>'Расчет субсидий'!J351-1</f>
        <v>4.4942594718714091E-2</v>
      </c>
      <c r="J349" s="53">
        <f>I349*'Расчет субсидий'!K351</f>
        <v>0.44942594718714091</v>
      </c>
      <c r="K349" s="54">
        <f t="shared" si="31"/>
        <v>3.7640126701694854</v>
      </c>
      <c r="L349" s="53" t="s">
        <v>394</v>
      </c>
      <c r="M349" s="53" t="s">
        <v>394</v>
      </c>
      <c r="N349" s="55" t="s">
        <v>394</v>
      </c>
      <c r="O349" s="53" t="s">
        <v>394</v>
      </c>
      <c r="P349" s="53" t="s">
        <v>394</v>
      </c>
      <c r="Q349" s="55" t="s">
        <v>394</v>
      </c>
      <c r="R349" s="53" t="s">
        <v>394</v>
      </c>
      <c r="S349" s="53" t="s">
        <v>394</v>
      </c>
      <c r="T349" s="55" t="s">
        <v>394</v>
      </c>
      <c r="U349" s="53">
        <f>'Расчет субсидий'!Z351-1</f>
        <v>-8.064516129032262E-2</v>
      </c>
      <c r="V349" s="53">
        <f>U349*'Расчет субсидий'!AA351</f>
        <v>-1.2096774193548394</v>
      </c>
      <c r="W349" s="54">
        <f t="shared" si="32"/>
        <v>-10.131237775138009</v>
      </c>
      <c r="X349" s="56">
        <f t="shared" si="33"/>
        <v>-6.0015160312359193</v>
      </c>
    </row>
    <row r="350" spans="1:24" ht="15" customHeight="1">
      <c r="A350" s="64" t="s">
        <v>328</v>
      </c>
      <c r="B350" s="52">
        <f>'Расчет субсидий'!AF352</f>
        <v>-28.327272727272771</v>
      </c>
      <c r="C350" s="53">
        <f>'Расчет субсидий'!D352-1</f>
        <v>-0.15365733922434943</v>
      </c>
      <c r="D350" s="53">
        <f>C350*'Расчет субсидий'!E352</f>
        <v>-2.3048600883652415</v>
      </c>
      <c r="E350" s="54">
        <f t="shared" si="29"/>
        <v>-21.301149740199332</v>
      </c>
      <c r="F350" s="53">
        <f>'Расчет субсидий'!F352-1</f>
        <v>0</v>
      </c>
      <c r="G350" s="53">
        <f>F350*'Расчет субсидий'!G352</f>
        <v>0</v>
      </c>
      <c r="H350" s="54">
        <f t="shared" si="30"/>
        <v>0</v>
      </c>
      <c r="I350" s="53">
        <f>'Расчет субсидий'!J352-1</f>
        <v>4.4942594718714091E-2</v>
      </c>
      <c r="J350" s="53">
        <f>I350*'Расчет субсидий'!K352</f>
        <v>0.44942594718714091</v>
      </c>
      <c r="K350" s="54">
        <f t="shared" si="31"/>
        <v>4.1535230040597444</v>
      </c>
      <c r="L350" s="53" t="s">
        <v>394</v>
      </c>
      <c r="M350" s="53" t="s">
        <v>394</v>
      </c>
      <c r="N350" s="55" t="s">
        <v>394</v>
      </c>
      <c r="O350" s="53" t="s">
        <v>394</v>
      </c>
      <c r="P350" s="53" t="s">
        <v>394</v>
      </c>
      <c r="Q350" s="55" t="s">
        <v>394</v>
      </c>
      <c r="R350" s="53" t="s">
        <v>394</v>
      </c>
      <c r="S350" s="53" t="s">
        <v>394</v>
      </c>
      <c r="T350" s="55" t="s">
        <v>394</v>
      </c>
      <c r="U350" s="53">
        <f>'Расчет субсидий'!Z352-1</f>
        <v>-8.064516129032262E-2</v>
      </c>
      <c r="V350" s="53">
        <f>U350*'Расчет субсидий'!AA352</f>
        <v>-1.2096774193548394</v>
      </c>
      <c r="W350" s="54">
        <f t="shared" si="32"/>
        <v>-11.17964599113318</v>
      </c>
      <c r="X350" s="56">
        <f t="shared" si="33"/>
        <v>-3.06511156053294</v>
      </c>
    </row>
    <row r="351" spans="1:24" ht="15" customHeight="1">
      <c r="A351" s="64" t="s">
        <v>329</v>
      </c>
      <c r="B351" s="52">
        <f>'Расчет субсидий'!AF353</f>
        <v>-59.454545454545439</v>
      </c>
      <c r="C351" s="53">
        <f>'Расчет субсидий'!D353-1</f>
        <v>-0.56195462478184988</v>
      </c>
      <c r="D351" s="53">
        <f>C351*'Расчет субсидий'!E353</f>
        <v>-8.4293193717277486</v>
      </c>
      <c r="E351" s="54">
        <f t="shared" si="29"/>
        <v>-54.535882061367964</v>
      </c>
      <c r="F351" s="53">
        <f>'Расчет субсидий'!F353-1</f>
        <v>0</v>
      </c>
      <c r="G351" s="53">
        <f>F351*'Расчет субсидий'!G353</f>
        <v>0</v>
      </c>
      <c r="H351" s="54">
        <f t="shared" si="30"/>
        <v>0</v>
      </c>
      <c r="I351" s="53">
        <f>'Расчет субсидий'!J353-1</f>
        <v>4.4942594718714091E-2</v>
      </c>
      <c r="J351" s="53">
        <f>I351*'Расчет субсидий'!K353</f>
        <v>0.44942594718714091</v>
      </c>
      <c r="K351" s="54">
        <f t="shared" si="31"/>
        <v>2.9076891466852497</v>
      </c>
      <c r="L351" s="53" t="s">
        <v>394</v>
      </c>
      <c r="M351" s="53" t="s">
        <v>394</v>
      </c>
      <c r="N351" s="55" t="s">
        <v>394</v>
      </c>
      <c r="O351" s="53" t="s">
        <v>394</v>
      </c>
      <c r="P351" s="53" t="s">
        <v>394</v>
      </c>
      <c r="Q351" s="55" t="s">
        <v>394</v>
      </c>
      <c r="R351" s="53" t="s">
        <v>394</v>
      </c>
      <c r="S351" s="53" t="s">
        <v>394</v>
      </c>
      <c r="T351" s="55" t="s">
        <v>394</v>
      </c>
      <c r="U351" s="53">
        <f>'Расчет субсидий'!Z353-1</f>
        <v>-8.064516129032262E-2</v>
      </c>
      <c r="V351" s="53">
        <f>U351*'Расчет субсидий'!AA353</f>
        <v>-1.2096774193548394</v>
      </c>
      <c r="W351" s="54">
        <f t="shared" si="32"/>
        <v>-7.8263525398627198</v>
      </c>
      <c r="X351" s="56">
        <f t="shared" si="33"/>
        <v>-9.1895708438954475</v>
      </c>
    </row>
    <row r="352" spans="1:24" ht="15" customHeight="1">
      <c r="A352" s="64" t="s">
        <v>330</v>
      </c>
      <c r="B352" s="52">
        <f>'Расчет субсидий'!AF354</f>
        <v>-34.309090909090855</v>
      </c>
      <c r="C352" s="53">
        <f>'Расчет субсидий'!D354-1</f>
        <v>-0.17679124509601485</v>
      </c>
      <c r="D352" s="53">
        <f>C352*'Расчет субсидий'!E354</f>
        <v>-2.6518686764402228</v>
      </c>
      <c r="E352" s="54">
        <f t="shared" si="29"/>
        <v>-26.664712711267633</v>
      </c>
      <c r="F352" s="53">
        <f>'Расчет субсидий'!F354-1</f>
        <v>0</v>
      </c>
      <c r="G352" s="53">
        <f>F352*'Расчет субсидий'!G354</f>
        <v>0</v>
      </c>
      <c r="H352" s="54">
        <f t="shared" si="30"/>
        <v>0</v>
      </c>
      <c r="I352" s="53">
        <f>'Расчет субсидий'!J354-1</f>
        <v>4.4942594718714091E-2</v>
      </c>
      <c r="J352" s="53">
        <f>I352*'Расчет субсидий'!K354</f>
        <v>0.44942594718714091</v>
      </c>
      <c r="K352" s="54">
        <f t="shared" si="31"/>
        <v>4.5190072469278952</v>
      </c>
      <c r="L352" s="53" t="s">
        <v>394</v>
      </c>
      <c r="M352" s="53" t="s">
        <v>394</v>
      </c>
      <c r="N352" s="55" t="s">
        <v>394</v>
      </c>
      <c r="O352" s="53" t="s">
        <v>394</v>
      </c>
      <c r="P352" s="53" t="s">
        <v>394</v>
      </c>
      <c r="Q352" s="55" t="s">
        <v>394</v>
      </c>
      <c r="R352" s="53" t="s">
        <v>394</v>
      </c>
      <c r="S352" s="53" t="s">
        <v>394</v>
      </c>
      <c r="T352" s="55" t="s">
        <v>394</v>
      </c>
      <c r="U352" s="53">
        <f>'Расчет субсидий'!Z354-1</f>
        <v>-8.064516129032262E-2</v>
      </c>
      <c r="V352" s="53">
        <f>U352*'Расчет субсидий'!AA354</f>
        <v>-1.2096774193548394</v>
      </c>
      <c r="W352" s="54">
        <f t="shared" si="32"/>
        <v>-12.163385444751118</v>
      </c>
      <c r="X352" s="56">
        <f t="shared" si="33"/>
        <v>-3.4121201486079213</v>
      </c>
    </row>
    <row r="353" spans="1:24" ht="15" customHeight="1">
      <c r="A353" s="64" t="s">
        <v>331</v>
      </c>
      <c r="B353" s="52">
        <f>'Расчет субсидий'!AF355</f>
        <v>-3.7818181818182097</v>
      </c>
      <c r="C353" s="53">
        <f>'Расчет субсидий'!D355-1</f>
        <v>7.8828828828829689E-3</v>
      </c>
      <c r="D353" s="53">
        <f>C353*'Расчет субсидий'!E355</f>
        <v>0.11824324324324453</v>
      </c>
      <c r="E353" s="54">
        <f t="shared" si="29"/>
        <v>0.69652447901423242</v>
      </c>
      <c r="F353" s="53">
        <f>'Расчет субсидий'!F355-1</f>
        <v>0</v>
      </c>
      <c r="G353" s="53">
        <f>F353*'Расчет субсидий'!G355</f>
        <v>0</v>
      </c>
      <c r="H353" s="54">
        <f t="shared" si="30"/>
        <v>0</v>
      </c>
      <c r="I353" s="53">
        <f>'Расчет субсидий'!J355-1</f>
        <v>4.4942594718714091E-2</v>
      </c>
      <c r="J353" s="53">
        <f>I353*'Расчет субсидий'!K355</f>
        <v>0.44942594718714091</v>
      </c>
      <c r="K353" s="54">
        <f t="shared" si="31"/>
        <v>2.6473916406034101</v>
      </c>
      <c r="L353" s="53" t="s">
        <v>394</v>
      </c>
      <c r="M353" s="53" t="s">
        <v>394</v>
      </c>
      <c r="N353" s="55" t="s">
        <v>394</v>
      </c>
      <c r="O353" s="53" t="s">
        <v>394</v>
      </c>
      <c r="P353" s="53" t="s">
        <v>394</v>
      </c>
      <c r="Q353" s="55" t="s">
        <v>394</v>
      </c>
      <c r="R353" s="53" t="s">
        <v>394</v>
      </c>
      <c r="S353" s="53" t="s">
        <v>394</v>
      </c>
      <c r="T353" s="55" t="s">
        <v>394</v>
      </c>
      <c r="U353" s="53">
        <f>'Расчет субсидий'!Z355-1</f>
        <v>-8.064516129032262E-2</v>
      </c>
      <c r="V353" s="53">
        <f>U353*'Расчет субсидий'!AA355</f>
        <v>-1.2096774193548394</v>
      </c>
      <c r="W353" s="54">
        <f t="shared" si="32"/>
        <v>-7.1257343014358527</v>
      </c>
      <c r="X353" s="56">
        <f t="shared" si="33"/>
        <v>-0.64200822892445397</v>
      </c>
    </row>
    <row r="354" spans="1:24" ht="15" customHeight="1">
      <c r="A354" s="64" t="s">
        <v>332</v>
      </c>
      <c r="B354" s="52">
        <f>'Расчет субсидий'!AF356</f>
        <v>27.045454545454561</v>
      </c>
      <c r="C354" s="53">
        <f>'Расчет субсидий'!D356-1</f>
        <v>0.26554095045500503</v>
      </c>
      <c r="D354" s="53">
        <f>C354*'Расчет субсидий'!E356</f>
        <v>3.9831142568250755</v>
      </c>
      <c r="E354" s="54">
        <f t="shared" si="29"/>
        <v>33.425293839733513</v>
      </c>
      <c r="F354" s="53">
        <f>'Расчет субсидий'!F356-1</f>
        <v>0</v>
      </c>
      <c r="G354" s="53">
        <f>F354*'Расчет субсидий'!G356</f>
        <v>0</v>
      </c>
      <c r="H354" s="54">
        <f t="shared" si="30"/>
        <v>0</v>
      </c>
      <c r="I354" s="53">
        <f>'Расчет субсидий'!J356-1</f>
        <v>4.4942594718714091E-2</v>
      </c>
      <c r="J354" s="53">
        <f>I354*'Расчет субсидий'!K356</f>
        <v>0.44942594718714091</v>
      </c>
      <c r="K354" s="54">
        <f t="shared" si="31"/>
        <v>3.7714696027587391</v>
      </c>
      <c r="L354" s="53" t="s">
        <v>394</v>
      </c>
      <c r="M354" s="53" t="s">
        <v>394</v>
      </c>
      <c r="N354" s="55" t="s">
        <v>394</v>
      </c>
      <c r="O354" s="53" t="s">
        <v>394</v>
      </c>
      <c r="P354" s="53" t="s">
        <v>394</v>
      </c>
      <c r="Q354" s="55" t="s">
        <v>394</v>
      </c>
      <c r="R354" s="53" t="s">
        <v>394</v>
      </c>
      <c r="S354" s="53" t="s">
        <v>394</v>
      </c>
      <c r="T354" s="55" t="s">
        <v>394</v>
      </c>
      <c r="U354" s="53">
        <f>'Расчет субсидий'!Z356-1</f>
        <v>-8.064516129032262E-2</v>
      </c>
      <c r="V354" s="53">
        <f>U354*'Расчет субсидий'!AA356</f>
        <v>-1.2096774193548394</v>
      </c>
      <c r="W354" s="54">
        <f t="shared" si="32"/>
        <v>-10.151308897037687</v>
      </c>
      <c r="X354" s="56">
        <f t="shared" si="33"/>
        <v>3.222862784657377</v>
      </c>
    </row>
    <row r="355" spans="1:24" ht="15" customHeight="1">
      <c r="A355" s="60" t="s">
        <v>333</v>
      </c>
      <c r="B355" s="61"/>
      <c r="C355" s="62"/>
      <c r="D355" s="62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</row>
    <row r="356" spans="1:24" ht="15" customHeight="1">
      <c r="A356" s="64" t="s">
        <v>334</v>
      </c>
      <c r="B356" s="52">
        <f>'Расчет субсидий'!AF358</f>
        <v>30.009090909090958</v>
      </c>
      <c r="C356" s="53">
        <f>'Расчет субсидий'!D358-1</f>
        <v>0.30000000000000004</v>
      </c>
      <c r="D356" s="53">
        <f>C356*'Расчет субсидий'!E358</f>
        <v>4.5000000000000009</v>
      </c>
      <c r="E356" s="54">
        <f t="shared" si="29"/>
        <v>28.704347826086995</v>
      </c>
      <c r="F356" s="53">
        <f>'Расчет субсидий'!F358-1</f>
        <v>0</v>
      </c>
      <c r="G356" s="53">
        <f>F356*'Расчет субсидий'!G358</f>
        <v>0</v>
      </c>
      <c r="H356" s="54">
        <f t="shared" si="30"/>
        <v>0</v>
      </c>
      <c r="I356" s="53">
        <f>'Расчет субсидий'!J358-1</f>
        <v>-6.9545454545454466E-2</v>
      </c>
      <c r="J356" s="53">
        <f>I356*'Расчет субсидий'!K358</f>
        <v>-0.69545454545454466</v>
      </c>
      <c r="K356" s="54">
        <f t="shared" si="31"/>
        <v>-4.4361264822134387</v>
      </c>
      <c r="L356" s="53" t="s">
        <v>394</v>
      </c>
      <c r="M356" s="53" t="s">
        <v>394</v>
      </c>
      <c r="N356" s="55" t="s">
        <v>394</v>
      </c>
      <c r="O356" s="53" t="s">
        <v>394</v>
      </c>
      <c r="P356" s="53" t="s">
        <v>394</v>
      </c>
      <c r="Q356" s="55" t="s">
        <v>394</v>
      </c>
      <c r="R356" s="53" t="s">
        <v>394</v>
      </c>
      <c r="S356" s="53" t="s">
        <v>394</v>
      </c>
      <c r="T356" s="55" t="s">
        <v>394</v>
      </c>
      <c r="U356" s="53">
        <f>'Расчет субсидий'!Z358-1</f>
        <v>6.0000000000000053E-2</v>
      </c>
      <c r="V356" s="53">
        <f>U356*'Расчет субсидий'!AA358</f>
        <v>0.9000000000000008</v>
      </c>
      <c r="W356" s="54">
        <f t="shared" si="32"/>
        <v>5.7408695652174027</v>
      </c>
      <c r="X356" s="56">
        <f t="shared" si="33"/>
        <v>4.7045454545454568</v>
      </c>
    </row>
    <row r="357" spans="1:24" ht="15" customHeight="1">
      <c r="A357" s="64" t="s">
        <v>49</v>
      </c>
      <c r="B357" s="52">
        <f>'Расчет субсидий'!AF359</f>
        <v>57.072727272727207</v>
      </c>
      <c r="C357" s="53">
        <f>'Расчет субсидий'!D359-1</f>
        <v>0.24755526657997384</v>
      </c>
      <c r="D357" s="53">
        <f>C357*'Расчет субсидий'!E359</f>
        <v>3.7133289986996076</v>
      </c>
      <c r="E357" s="54">
        <f t="shared" si="29"/>
        <v>54.093058811814785</v>
      </c>
      <c r="F357" s="53">
        <f>'Расчет субсидий'!F359-1</f>
        <v>0</v>
      </c>
      <c r="G357" s="53">
        <f>F357*'Расчет субсидий'!G359</f>
        <v>0</v>
      </c>
      <c r="H357" s="54">
        <f t="shared" si="30"/>
        <v>0</v>
      </c>
      <c r="I357" s="53">
        <f>'Расчет субсидий'!J359-1</f>
        <v>-6.9545454545454466E-2</v>
      </c>
      <c r="J357" s="53">
        <f>I357*'Расчет субсидий'!K359</f>
        <v>-0.69545454545454466</v>
      </c>
      <c r="K357" s="54">
        <f t="shared" si="31"/>
        <v>-10.130872767102165</v>
      </c>
      <c r="L357" s="53" t="s">
        <v>394</v>
      </c>
      <c r="M357" s="53" t="s">
        <v>394</v>
      </c>
      <c r="N357" s="55" t="s">
        <v>394</v>
      </c>
      <c r="O357" s="53" t="s">
        <v>394</v>
      </c>
      <c r="P357" s="53" t="s">
        <v>394</v>
      </c>
      <c r="Q357" s="55" t="s">
        <v>394</v>
      </c>
      <c r="R357" s="53" t="s">
        <v>394</v>
      </c>
      <c r="S357" s="53" t="s">
        <v>394</v>
      </c>
      <c r="T357" s="55" t="s">
        <v>394</v>
      </c>
      <c r="U357" s="53">
        <f>'Расчет субсидий'!Z359-1</f>
        <v>6.0000000000000053E-2</v>
      </c>
      <c r="V357" s="53">
        <f>U357*'Расчет субсидий'!AA359</f>
        <v>0.9000000000000008</v>
      </c>
      <c r="W357" s="54">
        <f t="shared" si="32"/>
        <v>13.110541228014592</v>
      </c>
      <c r="X357" s="56">
        <f t="shared" si="33"/>
        <v>3.9178744532450636</v>
      </c>
    </row>
    <row r="358" spans="1:24" ht="15" customHeight="1">
      <c r="A358" s="64" t="s">
        <v>335</v>
      </c>
      <c r="B358" s="52">
        <f>'Расчет субсидий'!AF360</f>
        <v>-0.61818181818182438</v>
      </c>
      <c r="C358" s="53">
        <f>'Расчет субсидий'!D360-1</f>
        <v>-1.9252548131370339E-2</v>
      </c>
      <c r="D358" s="53">
        <f>C358*'Расчет субсидий'!E360</f>
        <v>-0.28878822197055509</v>
      </c>
      <c r="E358" s="54">
        <f t="shared" si="29"/>
        <v>-2.1191567369386468</v>
      </c>
      <c r="F358" s="53">
        <f>'Расчет субсидий'!F360-1</f>
        <v>0</v>
      </c>
      <c r="G358" s="53">
        <f>F358*'Расчет субсидий'!G360</f>
        <v>0</v>
      </c>
      <c r="H358" s="54">
        <f t="shared" si="30"/>
        <v>0</v>
      </c>
      <c r="I358" s="53">
        <f>'Расчет субсидий'!J360-1</f>
        <v>-6.9545454545454466E-2</v>
      </c>
      <c r="J358" s="53">
        <f>I358*'Расчет субсидий'!K360</f>
        <v>-0.69545454545454466</v>
      </c>
      <c r="K358" s="54">
        <f t="shared" si="31"/>
        <v>-5.1033147237731509</v>
      </c>
      <c r="L358" s="53" t="s">
        <v>394</v>
      </c>
      <c r="M358" s="53" t="s">
        <v>394</v>
      </c>
      <c r="N358" s="55" t="s">
        <v>394</v>
      </c>
      <c r="O358" s="53" t="s">
        <v>394</v>
      </c>
      <c r="P358" s="53" t="s">
        <v>394</v>
      </c>
      <c r="Q358" s="55" t="s">
        <v>394</v>
      </c>
      <c r="R358" s="53" t="s">
        <v>394</v>
      </c>
      <c r="S358" s="53" t="s">
        <v>394</v>
      </c>
      <c r="T358" s="55" t="s">
        <v>394</v>
      </c>
      <c r="U358" s="53">
        <f>'Расчет субсидий'!Z360-1</f>
        <v>6.0000000000000053E-2</v>
      </c>
      <c r="V358" s="53">
        <f>U358*'Расчет субсидий'!AA360</f>
        <v>0.9000000000000008</v>
      </c>
      <c r="W358" s="54">
        <f t="shared" si="32"/>
        <v>6.6042896425299729</v>
      </c>
      <c r="X358" s="56">
        <f t="shared" si="33"/>
        <v>-8.4242767425098952E-2</v>
      </c>
    </row>
    <row r="359" spans="1:24" ht="15" customHeight="1">
      <c r="A359" s="64" t="s">
        <v>336</v>
      </c>
      <c r="B359" s="52">
        <f>'Расчет субсидий'!AF361</f>
        <v>-19.445454545454538</v>
      </c>
      <c r="C359" s="53">
        <f>'Расчет субсидий'!D361-1</f>
        <v>-0.22084440507824032</v>
      </c>
      <c r="D359" s="53">
        <f>C359*'Расчет субсидий'!E361</f>
        <v>-3.3126660761736049</v>
      </c>
      <c r="E359" s="54">
        <f t="shared" si="29"/>
        <v>-20.725160137047521</v>
      </c>
      <c r="F359" s="53">
        <f>'Расчет субсидий'!F361-1</f>
        <v>0</v>
      </c>
      <c r="G359" s="53">
        <f>F359*'Расчет субсидий'!G361</f>
        <v>0</v>
      </c>
      <c r="H359" s="54">
        <f t="shared" si="30"/>
        <v>0</v>
      </c>
      <c r="I359" s="53">
        <f>'Расчет субсидий'!J361-1</f>
        <v>-6.9545454545454466E-2</v>
      </c>
      <c r="J359" s="53">
        <f>I359*'Расчет субсидий'!K361</f>
        <v>-0.69545454545454466</v>
      </c>
      <c r="K359" s="54">
        <f t="shared" si="31"/>
        <v>-4.3509990114161079</v>
      </c>
      <c r="L359" s="53" t="s">
        <v>394</v>
      </c>
      <c r="M359" s="53" t="s">
        <v>394</v>
      </c>
      <c r="N359" s="55" t="s">
        <v>394</v>
      </c>
      <c r="O359" s="53" t="s">
        <v>394</v>
      </c>
      <c r="P359" s="53" t="s">
        <v>394</v>
      </c>
      <c r="Q359" s="55" t="s">
        <v>394</v>
      </c>
      <c r="R359" s="53" t="s">
        <v>394</v>
      </c>
      <c r="S359" s="53" t="s">
        <v>394</v>
      </c>
      <c r="T359" s="55" t="s">
        <v>394</v>
      </c>
      <c r="U359" s="53">
        <f>'Расчет субсидий'!Z361-1</f>
        <v>6.0000000000000053E-2</v>
      </c>
      <c r="V359" s="53">
        <f>U359*'Расчет субсидий'!AA361</f>
        <v>0.9000000000000008</v>
      </c>
      <c r="W359" s="54">
        <f t="shared" si="32"/>
        <v>5.630704603009093</v>
      </c>
      <c r="X359" s="56">
        <f t="shared" si="33"/>
        <v>-3.1081206216281489</v>
      </c>
    </row>
    <row r="360" spans="1:24" ht="15" customHeight="1">
      <c r="A360" s="64" t="s">
        <v>337</v>
      </c>
      <c r="B360" s="52">
        <f>'Расчет субсидий'!AF362</f>
        <v>26.490909090909042</v>
      </c>
      <c r="C360" s="53">
        <f>'Расчет субсидий'!D362-1</f>
        <v>0.2383515681983952</v>
      </c>
      <c r="D360" s="53">
        <f>C360*'Расчет субсидий'!E362</f>
        <v>3.575273522975928</v>
      </c>
      <c r="E360" s="54">
        <f t="shared" si="29"/>
        <v>25.057349686729431</v>
      </c>
      <c r="F360" s="53">
        <f>'Расчет субсидий'!F362-1</f>
        <v>0</v>
      </c>
      <c r="G360" s="53">
        <f>F360*'Расчет субсидий'!G362</f>
        <v>0</v>
      </c>
      <c r="H360" s="54">
        <f t="shared" si="30"/>
        <v>0</v>
      </c>
      <c r="I360" s="53">
        <f>'Расчет субсидий'!J362-1</f>
        <v>-6.9545454545454466E-2</v>
      </c>
      <c r="J360" s="53">
        <f>I360*'Расчет субсидий'!K362</f>
        <v>-0.69545454545454466</v>
      </c>
      <c r="K360" s="54">
        <f t="shared" si="31"/>
        <v>-4.8741019742106388</v>
      </c>
      <c r="L360" s="53" t="s">
        <v>394</v>
      </c>
      <c r="M360" s="53" t="s">
        <v>394</v>
      </c>
      <c r="N360" s="55" t="s">
        <v>394</v>
      </c>
      <c r="O360" s="53" t="s">
        <v>394</v>
      </c>
      <c r="P360" s="53" t="s">
        <v>394</v>
      </c>
      <c r="Q360" s="55" t="s">
        <v>394</v>
      </c>
      <c r="R360" s="53" t="s">
        <v>394</v>
      </c>
      <c r="S360" s="53" t="s">
        <v>394</v>
      </c>
      <c r="T360" s="55" t="s">
        <v>394</v>
      </c>
      <c r="U360" s="53">
        <f>'Расчет субсидий'!Z362-1</f>
        <v>6.0000000000000053E-2</v>
      </c>
      <c r="V360" s="53">
        <f>U360*'Расчет субсидий'!AA362</f>
        <v>0.9000000000000008</v>
      </c>
      <c r="W360" s="54">
        <f t="shared" si="32"/>
        <v>6.3076613783902502</v>
      </c>
      <c r="X360" s="56">
        <f t="shared" si="33"/>
        <v>3.779818977521384</v>
      </c>
    </row>
    <row r="361" spans="1:24" ht="15" customHeight="1">
      <c r="A361" s="64" t="s">
        <v>338</v>
      </c>
      <c r="B361" s="52">
        <f>'Расчет субсидий'!AF363</f>
        <v>1.5</v>
      </c>
      <c r="C361" s="53">
        <f>'Расчет субсидий'!D363-1</f>
        <v>0.22145014538973817</v>
      </c>
      <c r="D361" s="53">
        <f>C361*'Расчет субсидий'!E363</f>
        <v>3.3217521808460724</v>
      </c>
      <c r="E361" s="54">
        <f t="shared" si="29"/>
        <v>1.4129914109521506</v>
      </c>
      <c r="F361" s="53">
        <f>'Расчет субсидий'!F363-1</f>
        <v>0</v>
      </c>
      <c r="G361" s="53">
        <f>F361*'Расчет субсидий'!G363</f>
        <v>0</v>
      </c>
      <c r="H361" s="54">
        <f t="shared" si="30"/>
        <v>0</v>
      </c>
      <c r="I361" s="53">
        <f>'Расчет субсидий'!J363-1</f>
        <v>-6.9545454545454466E-2</v>
      </c>
      <c r="J361" s="53">
        <f>I361*'Расчет субсидий'!K363</f>
        <v>-0.69545454545454466</v>
      </c>
      <c r="K361" s="54">
        <f t="shared" si="31"/>
        <v>-0.29582920276268498</v>
      </c>
      <c r="L361" s="53" t="s">
        <v>394</v>
      </c>
      <c r="M361" s="53" t="s">
        <v>394</v>
      </c>
      <c r="N361" s="55" t="s">
        <v>394</v>
      </c>
      <c r="O361" s="53" t="s">
        <v>394</v>
      </c>
      <c r="P361" s="53" t="s">
        <v>394</v>
      </c>
      <c r="Q361" s="55" t="s">
        <v>394</v>
      </c>
      <c r="R361" s="53" t="s">
        <v>394</v>
      </c>
      <c r="S361" s="53" t="s">
        <v>394</v>
      </c>
      <c r="T361" s="55" t="s">
        <v>394</v>
      </c>
      <c r="U361" s="53">
        <f>'Расчет субсидий'!Z363-1</f>
        <v>6.0000000000000053E-2</v>
      </c>
      <c r="V361" s="53">
        <f>U361*'Расчет субсидий'!AA363</f>
        <v>0.9000000000000008</v>
      </c>
      <c r="W361" s="54">
        <f t="shared" si="32"/>
        <v>0.38283779181053423</v>
      </c>
      <c r="X361" s="56">
        <f t="shared" si="33"/>
        <v>3.5262976353915287</v>
      </c>
    </row>
    <row r="362" spans="1:24" ht="15" customHeight="1">
      <c r="A362" s="64" t="s">
        <v>339</v>
      </c>
      <c r="B362" s="52">
        <f>'Расчет субсидий'!AF364</f>
        <v>-50.918181818181836</v>
      </c>
      <c r="C362" s="53">
        <f>'Расчет субсидий'!D364-1</f>
        <v>-0.46504258268964149</v>
      </c>
      <c r="D362" s="53">
        <f>C362*'Расчет субсидий'!E364</f>
        <v>-6.9756387403446221</v>
      </c>
      <c r="E362" s="54">
        <f t="shared" si="29"/>
        <v>-52.456350353899907</v>
      </c>
      <c r="F362" s="53">
        <f>'Расчет субсидий'!F364-1</f>
        <v>0</v>
      </c>
      <c r="G362" s="53">
        <f>F362*'Расчет субсидий'!G364</f>
        <v>0</v>
      </c>
      <c r="H362" s="54">
        <f t="shared" si="30"/>
        <v>0</v>
      </c>
      <c r="I362" s="53">
        <f>'Расчет субсидий'!J364-1</f>
        <v>-6.9545454545454466E-2</v>
      </c>
      <c r="J362" s="53">
        <f>I362*'Расчет субсидий'!K364</f>
        <v>-0.69545454545454466</v>
      </c>
      <c r="K362" s="54">
        <f t="shared" si="31"/>
        <v>-5.229773021441404</v>
      </c>
      <c r="L362" s="53" t="s">
        <v>394</v>
      </c>
      <c r="M362" s="53" t="s">
        <v>394</v>
      </c>
      <c r="N362" s="55" t="s">
        <v>394</v>
      </c>
      <c r="O362" s="53" t="s">
        <v>394</v>
      </c>
      <c r="P362" s="53" t="s">
        <v>394</v>
      </c>
      <c r="Q362" s="55" t="s">
        <v>394</v>
      </c>
      <c r="R362" s="53" t="s">
        <v>394</v>
      </c>
      <c r="S362" s="53" t="s">
        <v>394</v>
      </c>
      <c r="T362" s="55" t="s">
        <v>394</v>
      </c>
      <c r="U362" s="53">
        <f>'Расчет субсидий'!Z364-1</f>
        <v>6.0000000000000053E-2</v>
      </c>
      <c r="V362" s="53">
        <f>U362*'Расчет субсидий'!AA364</f>
        <v>0.9000000000000008</v>
      </c>
      <c r="W362" s="54">
        <f t="shared" si="32"/>
        <v>6.7679415571594781</v>
      </c>
      <c r="X362" s="56">
        <f t="shared" si="33"/>
        <v>-6.7710932857991661</v>
      </c>
    </row>
    <row r="363" spans="1:24" ht="15" customHeight="1">
      <c r="A363" s="64" t="s">
        <v>340</v>
      </c>
      <c r="B363" s="52">
        <f>'Расчет субсидий'!AF365</f>
        <v>-15.545454545454561</v>
      </c>
      <c r="C363" s="53">
        <f>'Расчет субсидий'!D365-1</f>
        <v>-0.12293642430628737</v>
      </c>
      <c r="D363" s="53">
        <f>C363*'Расчет субсидий'!E365</f>
        <v>-1.8440463645943106</v>
      </c>
      <c r="E363" s="54">
        <f t="shared" si="29"/>
        <v>-17.484917980104914</v>
      </c>
      <c r="F363" s="53">
        <f>'Расчет субсидий'!F365-1</f>
        <v>0</v>
      </c>
      <c r="G363" s="53">
        <f>F363*'Расчет субсидий'!G365</f>
        <v>0</v>
      </c>
      <c r="H363" s="54">
        <f t="shared" si="30"/>
        <v>0</v>
      </c>
      <c r="I363" s="53">
        <f>'Расчет субсидий'!J365-1</f>
        <v>-6.9545454545454466E-2</v>
      </c>
      <c r="J363" s="53">
        <f>I363*'Расчет субсидий'!K365</f>
        <v>-0.69545454545454466</v>
      </c>
      <c r="K363" s="54">
        <f t="shared" si="31"/>
        <v>-6.5941756778111404</v>
      </c>
      <c r="L363" s="53" t="s">
        <v>394</v>
      </c>
      <c r="M363" s="53" t="s">
        <v>394</v>
      </c>
      <c r="N363" s="55" t="s">
        <v>394</v>
      </c>
      <c r="O363" s="53" t="s">
        <v>394</v>
      </c>
      <c r="P363" s="53" t="s">
        <v>394</v>
      </c>
      <c r="Q363" s="55" t="s">
        <v>394</v>
      </c>
      <c r="R363" s="53" t="s">
        <v>394</v>
      </c>
      <c r="S363" s="53" t="s">
        <v>394</v>
      </c>
      <c r="T363" s="55" t="s">
        <v>394</v>
      </c>
      <c r="U363" s="53">
        <f>'Расчет субсидий'!Z365-1</f>
        <v>6.0000000000000053E-2</v>
      </c>
      <c r="V363" s="53">
        <f>U363*'Расчет субсидий'!AA365</f>
        <v>0.9000000000000008</v>
      </c>
      <c r="W363" s="54">
        <f t="shared" si="32"/>
        <v>8.5336391124614934</v>
      </c>
      <c r="X363" s="56">
        <f t="shared" si="33"/>
        <v>-1.6395009100488545</v>
      </c>
    </row>
    <row r="364" spans="1:24" ht="15" customHeight="1">
      <c r="A364" s="64" t="s">
        <v>341</v>
      </c>
      <c r="B364" s="52">
        <f>'Расчет субсидий'!AF366</f>
        <v>-31.399999999999977</v>
      </c>
      <c r="C364" s="53">
        <f>'Расчет субсидий'!D366-1</f>
        <v>-0.32237442922374426</v>
      </c>
      <c r="D364" s="53">
        <f>C364*'Расчет субсидий'!E366</f>
        <v>-4.8356164383561637</v>
      </c>
      <c r="E364" s="54">
        <f t="shared" si="29"/>
        <v>-32.786877310924368</v>
      </c>
      <c r="F364" s="53">
        <f>'Расчет субсидий'!F366-1</f>
        <v>0</v>
      </c>
      <c r="G364" s="53">
        <f>F364*'Расчет субсидий'!G366</f>
        <v>0</v>
      </c>
      <c r="H364" s="54">
        <f t="shared" si="30"/>
        <v>0</v>
      </c>
      <c r="I364" s="53">
        <f>'Расчет субсидий'!J366-1</f>
        <v>-6.9545454545454466E-2</v>
      </c>
      <c r="J364" s="53">
        <f>I364*'Расчет субсидий'!K366</f>
        <v>-0.69545454545454466</v>
      </c>
      <c r="K364" s="54">
        <f t="shared" si="31"/>
        <v>-4.7153828571428518</v>
      </c>
      <c r="L364" s="53" t="s">
        <v>394</v>
      </c>
      <c r="M364" s="53" t="s">
        <v>394</v>
      </c>
      <c r="N364" s="55" t="s">
        <v>394</v>
      </c>
      <c r="O364" s="53" t="s">
        <v>394</v>
      </c>
      <c r="P364" s="53" t="s">
        <v>394</v>
      </c>
      <c r="Q364" s="55" t="s">
        <v>394</v>
      </c>
      <c r="R364" s="53" t="s">
        <v>394</v>
      </c>
      <c r="S364" s="53" t="s">
        <v>394</v>
      </c>
      <c r="T364" s="55" t="s">
        <v>394</v>
      </c>
      <c r="U364" s="53">
        <f>'Расчет субсидий'!Z366-1</f>
        <v>6.0000000000000053E-2</v>
      </c>
      <c r="V364" s="53">
        <f>U364*'Расчет субсидий'!AA366</f>
        <v>0.9000000000000008</v>
      </c>
      <c r="W364" s="54">
        <f t="shared" si="32"/>
        <v>6.1022601680672315</v>
      </c>
      <c r="X364" s="56">
        <f t="shared" si="33"/>
        <v>-4.6310709838107069</v>
      </c>
    </row>
    <row r="365" spans="1:24" ht="15" customHeight="1">
      <c r="A365" s="64" t="s">
        <v>342</v>
      </c>
      <c r="B365" s="52">
        <f>'Расчет субсидий'!AF367</f>
        <v>-6.6272727272727252</v>
      </c>
      <c r="C365" s="53">
        <f>'Расчет субсидий'!D367-1</f>
        <v>-5.5233751425313504E-2</v>
      </c>
      <c r="D365" s="53">
        <f>C365*'Расчет субсидий'!E367</f>
        <v>-0.82850627137970256</v>
      </c>
      <c r="E365" s="54">
        <f t="shared" si="29"/>
        <v>-8.7998106107802574</v>
      </c>
      <c r="F365" s="53">
        <f>'Расчет субсидий'!F367-1</f>
        <v>0</v>
      </c>
      <c r="G365" s="53">
        <f>F365*'Расчет субсидий'!G367</f>
        <v>0</v>
      </c>
      <c r="H365" s="54">
        <f t="shared" si="30"/>
        <v>0</v>
      </c>
      <c r="I365" s="53">
        <f>'Расчет субсидий'!J367-1</f>
        <v>-6.9545454545454466E-2</v>
      </c>
      <c r="J365" s="53">
        <f>I365*'Расчет субсидий'!K367</f>
        <v>-0.69545454545454466</v>
      </c>
      <c r="K365" s="54">
        <f t="shared" si="31"/>
        <v>-7.3866288039255421</v>
      </c>
      <c r="L365" s="53" t="s">
        <v>394</v>
      </c>
      <c r="M365" s="53" t="s">
        <v>394</v>
      </c>
      <c r="N365" s="55" t="s">
        <v>394</v>
      </c>
      <c r="O365" s="53" t="s">
        <v>394</v>
      </c>
      <c r="P365" s="53" t="s">
        <v>394</v>
      </c>
      <c r="Q365" s="55" t="s">
        <v>394</v>
      </c>
      <c r="R365" s="53" t="s">
        <v>394</v>
      </c>
      <c r="S365" s="53" t="s">
        <v>394</v>
      </c>
      <c r="T365" s="55" t="s">
        <v>394</v>
      </c>
      <c r="U365" s="53">
        <f>'Расчет субсидий'!Z367-1</f>
        <v>6.0000000000000053E-2</v>
      </c>
      <c r="V365" s="53">
        <f>U365*'Расчет субсидий'!AA367</f>
        <v>0.9000000000000008</v>
      </c>
      <c r="W365" s="54">
        <f t="shared" si="32"/>
        <v>9.5591666874330752</v>
      </c>
      <c r="X365" s="56">
        <f t="shared" si="33"/>
        <v>-0.62396081683424631</v>
      </c>
    </row>
    <row r="366" spans="1:24" ht="15" customHeight="1">
      <c r="A366" s="60" t="s">
        <v>343</v>
      </c>
      <c r="B366" s="61"/>
      <c r="C366" s="62"/>
      <c r="D366" s="62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</row>
    <row r="367" spans="1:24" ht="15" customHeight="1">
      <c r="A367" s="64" t="s">
        <v>344</v>
      </c>
      <c r="B367" s="52">
        <f>'Расчет субсидий'!AF369</f>
        <v>-64.927272727272737</v>
      </c>
      <c r="C367" s="53">
        <f>'Расчет субсидий'!D369-1</f>
        <v>-4.0487162606978266E-2</v>
      </c>
      <c r="D367" s="53">
        <f>C367*'Расчет субсидий'!E369</f>
        <v>-0.607307439104674</v>
      </c>
      <c r="E367" s="54">
        <f t="shared" si="29"/>
        <v>-6.6251938864939923</v>
      </c>
      <c r="F367" s="53">
        <f>'Расчет субсидий'!F369-1</f>
        <v>0</v>
      </c>
      <c r="G367" s="53">
        <f>F367*'Расчет субсидий'!G369</f>
        <v>0</v>
      </c>
      <c r="H367" s="54">
        <f t="shared" si="30"/>
        <v>0</v>
      </c>
      <c r="I367" s="53">
        <f>'Расчет субсидий'!J369-1</f>
        <v>-2.5000000000000022E-2</v>
      </c>
      <c r="J367" s="53">
        <f>I367*'Расчет субсидий'!K369</f>
        <v>-0.25000000000000022</v>
      </c>
      <c r="K367" s="54">
        <f t="shared" si="31"/>
        <v>-2.7272817109984784</v>
      </c>
      <c r="L367" s="53" t="s">
        <v>394</v>
      </c>
      <c r="M367" s="53" t="s">
        <v>394</v>
      </c>
      <c r="N367" s="55" t="s">
        <v>394</v>
      </c>
      <c r="O367" s="53" t="s">
        <v>394</v>
      </c>
      <c r="P367" s="53" t="s">
        <v>394</v>
      </c>
      <c r="Q367" s="55" t="s">
        <v>394</v>
      </c>
      <c r="R367" s="53" t="s">
        <v>394</v>
      </c>
      <c r="S367" s="53" t="s">
        <v>394</v>
      </c>
      <c r="T367" s="55" t="s">
        <v>394</v>
      </c>
      <c r="U367" s="53">
        <f>'Расчет субсидий'!Z369-1</f>
        <v>-0.339622641509434</v>
      </c>
      <c r="V367" s="53">
        <f>U367*'Расчет субсидий'!AA369</f>
        <v>-5.0943396226415096</v>
      </c>
      <c r="W367" s="54">
        <f t="shared" si="32"/>
        <v>-55.574797129780265</v>
      </c>
      <c r="X367" s="56">
        <f t="shared" si="33"/>
        <v>-5.9516470617461836</v>
      </c>
    </row>
    <row r="368" spans="1:24" ht="15" customHeight="1">
      <c r="A368" s="64" t="s">
        <v>345</v>
      </c>
      <c r="B368" s="52">
        <f>'Расчет субсидий'!AF370</f>
        <v>-85.890909090909133</v>
      </c>
      <c r="C368" s="53">
        <f>'Расчет субсидий'!D370-1</f>
        <v>-0.20365246264526837</v>
      </c>
      <c r="D368" s="53">
        <f>C368*'Расчет субсидий'!E370</f>
        <v>-3.0547869396790257</v>
      </c>
      <c r="E368" s="54">
        <f t="shared" si="29"/>
        <v>-31.238775291841424</v>
      </c>
      <c r="F368" s="53">
        <f>'Расчет субсидий'!F370-1</f>
        <v>0</v>
      </c>
      <c r="G368" s="53">
        <f>F368*'Расчет субсидий'!G370</f>
        <v>0</v>
      </c>
      <c r="H368" s="54">
        <f t="shared" si="30"/>
        <v>0</v>
      </c>
      <c r="I368" s="53">
        <f>'Расчет субсидий'!J370-1</f>
        <v>-2.5000000000000022E-2</v>
      </c>
      <c r="J368" s="53">
        <f>I368*'Расчет субсидий'!K370</f>
        <v>-0.25000000000000022</v>
      </c>
      <c r="K368" s="54">
        <f t="shared" si="31"/>
        <v>-2.5565428873350315</v>
      </c>
      <c r="L368" s="53" t="s">
        <v>394</v>
      </c>
      <c r="M368" s="53" t="s">
        <v>394</v>
      </c>
      <c r="N368" s="55" t="s">
        <v>394</v>
      </c>
      <c r="O368" s="53" t="s">
        <v>394</v>
      </c>
      <c r="P368" s="53" t="s">
        <v>394</v>
      </c>
      <c r="Q368" s="55" t="s">
        <v>394</v>
      </c>
      <c r="R368" s="53" t="s">
        <v>394</v>
      </c>
      <c r="S368" s="53" t="s">
        <v>394</v>
      </c>
      <c r="T368" s="55" t="s">
        <v>394</v>
      </c>
      <c r="U368" s="53">
        <f>'Расчет субсидий'!Z370-1</f>
        <v>-0.339622641509434</v>
      </c>
      <c r="V368" s="53">
        <f>U368*'Расчет субсидий'!AA370</f>
        <v>-5.0943396226415096</v>
      </c>
      <c r="W368" s="54">
        <f t="shared" si="32"/>
        <v>-52.095590911732678</v>
      </c>
      <c r="X368" s="56">
        <f t="shared" si="33"/>
        <v>-8.3991265623205358</v>
      </c>
    </row>
    <row r="369" spans="1:25" ht="15" customHeight="1">
      <c r="A369" s="64" t="s">
        <v>346</v>
      </c>
      <c r="B369" s="52">
        <f>'Расчет субсидий'!AF371</f>
        <v>-0.18181818181818166</v>
      </c>
      <c r="C369" s="53">
        <f>'Расчет субсидий'!D371-1</f>
        <v>0.20717900656044974</v>
      </c>
      <c r="D369" s="53">
        <f>C369*'Расчет субсидий'!E371</f>
        <v>3.1076850984067459</v>
      </c>
      <c r="E369" s="54">
        <f t="shared" si="29"/>
        <v>0.25262446575162917</v>
      </c>
      <c r="F369" s="53">
        <f>'Расчет субсидий'!F371-1</f>
        <v>0</v>
      </c>
      <c r="G369" s="53">
        <f>F369*'Расчет субсидий'!G371</f>
        <v>0</v>
      </c>
      <c r="H369" s="54">
        <f t="shared" si="30"/>
        <v>0</v>
      </c>
      <c r="I369" s="53">
        <f>'Расчет субсидий'!J371-1</f>
        <v>-2.5000000000000022E-2</v>
      </c>
      <c r="J369" s="53">
        <f>I369*'Расчет субсидий'!K371</f>
        <v>-0.25000000000000022</v>
      </c>
      <c r="K369" s="54">
        <f t="shared" si="31"/>
        <v>-2.0322559859841122E-2</v>
      </c>
      <c r="L369" s="53" t="s">
        <v>394</v>
      </c>
      <c r="M369" s="53" t="s">
        <v>394</v>
      </c>
      <c r="N369" s="55" t="s">
        <v>394</v>
      </c>
      <c r="O369" s="53" t="s">
        <v>394</v>
      </c>
      <c r="P369" s="53" t="s">
        <v>394</v>
      </c>
      <c r="Q369" s="55" t="s">
        <v>394</v>
      </c>
      <c r="R369" s="53" t="s">
        <v>394</v>
      </c>
      <c r="S369" s="53" t="s">
        <v>394</v>
      </c>
      <c r="T369" s="55" t="s">
        <v>394</v>
      </c>
      <c r="U369" s="53">
        <f>'Расчет субсидий'!Z371-1</f>
        <v>-0.339622641509434</v>
      </c>
      <c r="V369" s="53">
        <f>U369*'Расчет субсидий'!AA371</f>
        <v>-5.0943396226415096</v>
      </c>
      <c r="W369" s="54">
        <f t="shared" si="32"/>
        <v>-0.41412008770996966</v>
      </c>
      <c r="X369" s="56">
        <f t="shared" si="33"/>
        <v>-2.2366545242347637</v>
      </c>
    </row>
    <row r="370" spans="1:25" ht="15" customHeight="1">
      <c r="A370" s="64" t="s">
        <v>347</v>
      </c>
      <c r="B370" s="52">
        <f>'Расчет субсидий'!AF372</f>
        <v>-128.77272727272725</v>
      </c>
      <c r="C370" s="53">
        <f>'Расчет субсидий'!D372-1</f>
        <v>-0.1454326923076924</v>
      </c>
      <c r="D370" s="53">
        <f>C370*'Расчет субсидий'!E372</f>
        <v>-2.1814903846153859</v>
      </c>
      <c r="E370" s="54">
        <f t="shared" si="29"/>
        <v>-37.326974709138533</v>
      </c>
      <c r="F370" s="53">
        <f>'Расчет субсидий'!F372-1</f>
        <v>0</v>
      </c>
      <c r="G370" s="53">
        <f>F370*'Расчет субсидий'!G372</f>
        <v>0</v>
      </c>
      <c r="H370" s="54">
        <f t="shared" si="30"/>
        <v>0</v>
      </c>
      <c r="I370" s="53">
        <f>'Расчет субсидий'!J372-1</f>
        <v>-2.5000000000000022E-2</v>
      </c>
      <c r="J370" s="53">
        <f>I370*'Расчет субсидий'!K372</f>
        <v>-0.25000000000000022</v>
      </c>
      <c r="K370" s="54">
        <f t="shared" si="31"/>
        <v>-4.2776918674935622</v>
      </c>
      <c r="L370" s="53" t="s">
        <v>394</v>
      </c>
      <c r="M370" s="53" t="s">
        <v>394</v>
      </c>
      <c r="N370" s="55" t="s">
        <v>394</v>
      </c>
      <c r="O370" s="53" t="s">
        <v>394</v>
      </c>
      <c r="P370" s="53" t="s">
        <v>394</v>
      </c>
      <c r="Q370" s="55" t="s">
        <v>394</v>
      </c>
      <c r="R370" s="53" t="s">
        <v>394</v>
      </c>
      <c r="S370" s="53" t="s">
        <v>394</v>
      </c>
      <c r="T370" s="55" t="s">
        <v>394</v>
      </c>
      <c r="U370" s="53">
        <f>'Расчет субсидий'!Z372-1</f>
        <v>-0.339622641509434</v>
      </c>
      <c r="V370" s="53">
        <f>U370*'Расчет субсидий'!AA372</f>
        <v>-5.0943396226415096</v>
      </c>
      <c r="W370" s="54">
        <f t="shared" si="32"/>
        <v>-87.168060696095168</v>
      </c>
      <c r="X370" s="56">
        <f t="shared" si="33"/>
        <v>-7.5258300072568955</v>
      </c>
    </row>
    <row r="371" spans="1:25" ht="15" customHeight="1">
      <c r="A371" s="64" t="s">
        <v>348</v>
      </c>
      <c r="B371" s="52">
        <f>'Расчет субсидий'!AF373</f>
        <v>-120.4909090909091</v>
      </c>
      <c r="C371" s="53">
        <f>'Расчет субсидий'!D373-1</f>
        <v>-0.26813742588071154</v>
      </c>
      <c r="D371" s="53">
        <f>C371*'Расчет субсидий'!E373</f>
        <v>-4.0220613882106733</v>
      </c>
      <c r="E371" s="54">
        <f t="shared" si="29"/>
        <v>-51.740453192581761</v>
      </c>
      <c r="F371" s="53">
        <f>'Расчет субсидий'!F373-1</f>
        <v>0</v>
      </c>
      <c r="G371" s="53">
        <f>F371*'Расчет субсидий'!G373</f>
        <v>0</v>
      </c>
      <c r="H371" s="54">
        <f t="shared" si="30"/>
        <v>0</v>
      </c>
      <c r="I371" s="53">
        <f>'Расчет субсидий'!J373-1</f>
        <v>-2.5000000000000022E-2</v>
      </c>
      <c r="J371" s="53">
        <f>I371*'Расчет субсидий'!K373</f>
        <v>-0.25000000000000022</v>
      </c>
      <c r="K371" s="54">
        <f t="shared" si="31"/>
        <v>-3.2160407436993399</v>
      </c>
      <c r="L371" s="53" t="s">
        <v>394</v>
      </c>
      <c r="M371" s="53" t="s">
        <v>394</v>
      </c>
      <c r="N371" s="55" t="s">
        <v>394</v>
      </c>
      <c r="O371" s="53" t="s">
        <v>394</v>
      </c>
      <c r="P371" s="53" t="s">
        <v>394</v>
      </c>
      <c r="Q371" s="55" t="s">
        <v>394</v>
      </c>
      <c r="R371" s="53" t="s">
        <v>394</v>
      </c>
      <c r="S371" s="53" t="s">
        <v>394</v>
      </c>
      <c r="T371" s="55" t="s">
        <v>394</v>
      </c>
      <c r="U371" s="53">
        <f>'Расчет субсидий'!Z373-1</f>
        <v>-0.339622641509434</v>
      </c>
      <c r="V371" s="53">
        <f>U371*'Расчет субсидий'!AA373</f>
        <v>-5.0943396226415096</v>
      </c>
      <c r="W371" s="54">
        <f t="shared" si="32"/>
        <v>-65.534415154627993</v>
      </c>
      <c r="X371" s="56">
        <f t="shared" si="33"/>
        <v>-9.3664010108521829</v>
      </c>
    </row>
    <row r="372" spans="1:25" ht="15" customHeight="1">
      <c r="A372" s="64" t="s">
        <v>349</v>
      </c>
      <c r="B372" s="52">
        <f>'Расчет субсидий'!AF374</f>
        <v>-161.60000000000002</v>
      </c>
      <c r="C372" s="53">
        <f>'Расчет субсидий'!D374-1</f>
        <v>-0.35915145535273796</v>
      </c>
      <c r="D372" s="53">
        <f>C372*'Расчет субсидий'!E374</f>
        <v>-5.3872718302910698</v>
      </c>
      <c r="E372" s="54">
        <f t="shared" si="29"/>
        <v>-81.123243381788356</v>
      </c>
      <c r="F372" s="53">
        <f>'Расчет субсидий'!F374-1</f>
        <v>0</v>
      </c>
      <c r="G372" s="53">
        <f>F372*'Расчет субсидий'!G374</f>
        <v>0</v>
      </c>
      <c r="H372" s="54">
        <f t="shared" si="30"/>
        <v>0</v>
      </c>
      <c r="I372" s="53">
        <f>'Расчет субсидий'!J374-1</f>
        <v>-2.5000000000000022E-2</v>
      </c>
      <c r="J372" s="53">
        <f>I372*'Расчет субсидий'!K374</f>
        <v>-0.25000000000000022</v>
      </c>
      <c r="K372" s="54">
        <f t="shared" si="31"/>
        <v>-3.7645790827583601</v>
      </c>
      <c r="L372" s="53" t="s">
        <v>394</v>
      </c>
      <c r="M372" s="53" t="s">
        <v>394</v>
      </c>
      <c r="N372" s="55" t="s">
        <v>394</v>
      </c>
      <c r="O372" s="53" t="s">
        <v>394</v>
      </c>
      <c r="P372" s="53" t="s">
        <v>394</v>
      </c>
      <c r="Q372" s="55" t="s">
        <v>394</v>
      </c>
      <c r="R372" s="53" t="s">
        <v>394</v>
      </c>
      <c r="S372" s="53" t="s">
        <v>394</v>
      </c>
      <c r="T372" s="55" t="s">
        <v>394</v>
      </c>
      <c r="U372" s="53">
        <f>'Расчет субсидий'!Z374-1</f>
        <v>-0.339622641509434</v>
      </c>
      <c r="V372" s="53">
        <f>U372*'Расчет субсидий'!AA374</f>
        <v>-5.0943396226415096</v>
      </c>
      <c r="W372" s="54">
        <f t="shared" si="32"/>
        <v>-76.712177535453307</v>
      </c>
      <c r="X372" s="56">
        <f t="shared" si="33"/>
        <v>-10.731611452932579</v>
      </c>
    </row>
    <row r="373" spans="1:25" ht="15" customHeight="1">
      <c r="A373" s="64" t="s">
        <v>350</v>
      </c>
      <c r="B373" s="52">
        <f>'Расчет субсидий'!AF375</f>
        <v>-23.618181818181824</v>
      </c>
      <c r="C373" s="53">
        <f>'Расчет субсидий'!D375-1</f>
        <v>0.21083043262058676</v>
      </c>
      <c r="D373" s="53">
        <f>C373*'Расчет субсидий'!E375</f>
        <v>3.1624564893088012</v>
      </c>
      <c r="E373" s="54">
        <f t="shared" si="29"/>
        <v>34.232572412114976</v>
      </c>
      <c r="F373" s="53">
        <f>'Расчет субсидий'!F375-1</f>
        <v>0</v>
      </c>
      <c r="G373" s="53">
        <f>F373*'Расчет субсидий'!G375</f>
        <v>0</v>
      </c>
      <c r="H373" s="54">
        <f t="shared" si="30"/>
        <v>0</v>
      </c>
      <c r="I373" s="53">
        <f>'Расчет субсидий'!J375-1</f>
        <v>-2.5000000000000022E-2</v>
      </c>
      <c r="J373" s="53">
        <f>I373*'Расчет субсидий'!K375</f>
        <v>-0.25000000000000022</v>
      </c>
      <c r="K373" s="54">
        <f t="shared" si="31"/>
        <v>-2.7061694388400115</v>
      </c>
      <c r="L373" s="53" t="s">
        <v>394</v>
      </c>
      <c r="M373" s="53" t="s">
        <v>394</v>
      </c>
      <c r="N373" s="55" t="s">
        <v>394</v>
      </c>
      <c r="O373" s="53" t="s">
        <v>394</v>
      </c>
      <c r="P373" s="53" t="s">
        <v>394</v>
      </c>
      <c r="Q373" s="55" t="s">
        <v>394</v>
      </c>
      <c r="R373" s="53" t="s">
        <v>394</v>
      </c>
      <c r="S373" s="53" t="s">
        <v>394</v>
      </c>
      <c r="T373" s="55" t="s">
        <v>394</v>
      </c>
      <c r="U373" s="53">
        <f>'Расчет субсидий'!Z375-1</f>
        <v>-0.339622641509434</v>
      </c>
      <c r="V373" s="53">
        <f>U373*'Расчет субсидий'!AA375</f>
        <v>-5.0943396226415096</v>
      </c>
      <c r="W373" s="54">
        <f t="shared" si="32"/>
        <v>-55.144584791456786</v>
      </c>
      <c r="X373" s="56">
        <f t="shared" si="33"/>
        <v>-2.1818831333327084</v>
      </c>
    </row>
    <row r="374" spans="1:25" ht="15" customHeight="1">
      <c r="A374" s="64" t="s">
        <v>351</v>
      </c>
      <c r="B374" s="52">
        <f>'Расчет субсидий'!AF376</f>
        <v>-68.236363636363649</v>
      </c>
      <c r="C374" s="53">
        <f>'Расчет субсидий'!D376-1</f>
        <v>-0.16788766788766785</v>
      </c>
      <c r="D374" s="53">
        <f>C374*'Расчет субсидий'!E376</f>
        <v>-2.5183150183150178</v>
      </c>
      <c r="E374" s="54">
        <f t="shared" si="29"/>
        <v>-21.855297884450145</v>
      </c>
      <c r="F374" s="53">
        <f>'Расчет субсидий'!F376-1</f>
        <v>0</v>
      </c>
      <c r="G374" s="53">
        <f>F374*'Расчет субсидий'!G376</f>
        <v>0</v>
      </c>
      <c r="H374" s="54">
        <f t="shared" si="30"/>
        <v>0</v>
      </c>
      <c r="I374" s="53">
        <f>'Расчет субсидий'!J376-1</f>
        <v>-2.5000000000000022E-2</v>
      </c>
      <c r="J374" s="53">
        <f>I374*'Расчет субсидий'!K376</f>
        <v>-0.25000000000000022</v>
      </c>
      <c r="K374" s="54">
        <f t="shared" si="31"/>
        <v>-2.169635026347235</v>
      </c>
      <c r="L374" s="53" t="s">
        <v>394</v>
      </c>
      <c r="M374" s="53" t="s">
        <v>394</v>
      </c>
      <c r="N374" s="55" t="s">
        <v>394</v>
      </c>
      <c r="O374" s="53" t="s">
        <v>394</v>
      </c>
      <c r="P374" s="53" t="s">
        <v>394</v>
      </c>
      <c r="Q374" s="55" t="s">
        <v>394</v>
      </c>
      <c r="R374" s="53" t="s">
        <v>394</v>
      </c>
      <c r="S374" s="53" t="s">
        <v>394</v>
      </c>
      <c r="T374" s="55" t="s">
        <v>394</v>
      </c>
      <c r="U374" s="53">
        <f>'Расчет субсидий'!Z376-1</f>
        <v>-0.339622641509434</v>
      </c>
      <c r="V374" s="53">
        <f>U374*'Расчет субсидий'!AA376</f>
        <v>-5.0943396226415096</v>
      </c>
      <c r="W374" s="54">
        <f t="shared" si="32"/>
        <v>-44.211430725566267</v>
      </c>
      <c r="X374" s="56">
        <f t="shared" si="33"/>
        <v>-7.8626546409565279</v>
      </c>
    </row>
    <row r="375" spans="1:25" ht="15" customHeight="1">
      <c r="A375" s="64" t="s">
        <v>352</v>
      </c>
      <c r="B375" s="52">
        <f>'Расчет субсидий'!AF377</f>
        <v>-36.045454545454504</v>
      </c>
      <c r="C375" s="53">
        <f>'Расчет субсидий'!D377-1</f>
        <v>0.17373461012311897</v>
      </c>
      <c r="D375" s="53">
        <f>C375*'Расчет субсидий'!E377</f>
        <v>2.6060191518467848</v>
      </c>
      <c r="E375" s="54">
        <f t="shared" si="29"/>
        <v>34.303926762529365</v>
      </c>
      <c r="F375" s="53">
        <f>'Расчет субсидий'!F377-1</f>
        <v>0</v>
      </c>
      <c r="G375" s="53">
        <f>F375*'Расчет субсидий'!G377</f>
        <v>0</v>
      </c>
      <c r="H375" s="54">
        <f t="shared" si="30"/>
        <v>0</v>
      </c>
      <c r="I375" s="53">
        <f>'Расчет субсидий'!J377-1</f>
        <v>-2.5000000000000022E-2</v>
      </c>
      <c r="J375" s="53">
        <f>I375*'Расчет субсидий'!K377</f>
        <v>-0.25000000000000022</v>
      </c>
      <c r="K375" s="54">
        <f t="shared" si="31"/>
        <v>-3.2908360188200785</v>
      </c>
      <c r="L375" s="53" t="s">
        <v>394</v>
      </c>
      <c r="M375" s="53" t="s">
        <v>394</v>
      </c>
      <c r="N375" s="55" t="s">
        <v>394</v>
      </c>
      <c r="O375" s="53" t="s">
        <v>394</v>
      </c>
      <c r="P375" s="53" t="s">
        <v>394</v>
      </c>
      <c r="Q375" s="55" t="s">
        <v>394</v>
      </c>
      <c r="R375" s="53" t="s">
        <v>394</v>
      </c>
      <c r="S375" s="53" t="s">
        <v>394</v>
      </c>
      <c r="T375" s="55" t="s">
        <v>394</v>
      </c>
      <c r="U375" s="53">
        <f>'Расчет субсидий'!Z377-1</f>
        <v>-0.339622641509434</v>
      </c>
      <c r="V375" s="53">
        <f>U375*'Расчет субсидий'!AA377</f>
        <v>-5.0943396226415096</v>
      </c>
      <c r="W375" s="54">
        <f t="shared" si="32"/>
        <v>-67.058545289163789</v>
      </c>
      <c r="X375" s="56">
        <f t="shared" si="33"/>
        <v>-2.7383204707947248</v>
      </c>
    </row>
    <row r="376" spans="1:25" ht="15" customHeight="1">
      <c r="A376" s="64" t="s">
        <v>353</v>
      </c>
      <c r="B376" s="52">
        <f>'Расчет субсидий'!AF378</f>
        <v>-97.800000000000011</v>
      </c>
      <c r="C376" s="53">
        <f>'Расчет субсидий'!D378-1</f>
        <v>-0.29428571428571437</v>
      </c>
      <c r="D376" s="53">
        <f>C376*'Расчет субсидий'!E378</f>
        <v>-4.4142857142857155</v>
      </c>
      <c r="E376" s="54">
        <f t="shared" si="29"/>
        <v>-44.239544807965878</v>
      </c>
      <c r="F376" s="53">
        <f>'Расчет субсидий'!F378-1</f>
        <v>0</v>
      </c>
      <c r="G376" s="53">
        <f>F376*'Расчет субсидий'!G378</f>
        <v>0</v>
      </c>
      <c r="H376" s="54">
        <f t="shared" si="30"/>
        <v>0</v>
      </c>
      <c r="I376" s="53">
        <f>'Расчет субсидий'!J378-1</f>
        <v>-2.5000000000000022E-2</v>
      </c>
      <c r="J376" s="53">
        <f>I376*'Расчет субсидий'!K378</f>
        <v>-0.25000000000000022</v>
      </c>
      <c r="K376" s="54">
        <f t="shared" si="31"/>
        <v>-2.5054758386388456</v>
      </c>
      <c r="L376" s="53" t="s">
        <v>394</v>
      </c>
      <c r="M376" s="53" t="s">
        <v>394</v>
      </c>
      <c r="N376" s="55" t="s">
        <v>394</v>
      </c>
      <c r="O376" s="53" t="s">
        <v>394</v>
      </c>
      <c r="P376" s="53" t="s">
        <v>394</v>
      </c>
      <c r="Q376" s="55" t="s">
        <v>394</v>
      </c>
      <c r="R376" s="53" t="s">
        <v>394</v>
      </c>
      <c r="S376" s="53" t="s">
        <v>394</v>
      </c>
      <c r="T376" s="55" t="s">
        <v>394</v>
      </c>
      <c r="U376" s="53">
        <f>'Расчет субсидий'!Z378-1</f>
        <v>-0.339622641509434</v>
      </c>
      <c r="V376" s="53">
        <f>U376*'Расчет субсидий'!AA378</f>
        <v>-5.0943396226415096</v>
      </c>
      <c r="W376" s="54">
        <f t="shared" si="32"/>
        <v>-51.054979353395304</v>
      </c>
      <c r="X376" s="56">
        <f t="shared" si="33"/>
        <v>-9.7586253369272242</v>
      </c>
    </row>
    <row r="377" spans="1:25" ht="15" customHeight="1">
      <c r="A377" s="64" t="s">
        <v>354</v>
      </c>
      <c r="B377" s="52">
        <f>'Расчет субсидий'!AF379</f>
        <v>-98</v>
      </c>
      <c r="C377" s="53">
        <f>'Расчет субсидий'!D379-1</f>
        <v>-0.32003395585738537</v>
      </c>
      <c r="D377" s="53">
        <f>C377*'Расчет субсидий'!E379</f>
        <v>-4.8005093378607802</v>
      </c>
      <c r="E377" s="54">
        <f t="shared" ref="E377:E378" si="34">$B377*D377/$X377</f>
        <v>-46.373279379712287</v>
      </c>
      <c r="F377" s="53">
        <f>'Расчет субсидий'!F379-1</f>
        <v>0</v>
      </c>
      <c r="G377" s="53">
        <f>F377*'Расчет субсидий'!G379</f>
        <v>0</v>
      </c>
      <c r="H377" s="54">
        <f t="shared" ref="H377:H378" si="35">$B377*G377/$X377</f>
        <v>0</v>
      </c>
      <c r="I377" s="53">
        <f>'Расчет субсидий'!J379-1</f>
        <v>-2.5000000000000022E-2</v>
      </c>
      <c r="J377" s="53">
        <f>I377*'Расчет субсидий'!K379</f>
        <v>-0.25000000000000022</v>
      </c>
      <c r="K377" s="54">
        <f t="shared" ref="K377:K378" si="36">$B377*J377/$X377</f>
        <v>-2.4150187050973089</v>
      </c>
      <c r="L377" s="53" t="s">
        <v>394</v>
      </c>
      <c r="M377" s="53" t="s">
        <v>394</v>
      </c>
      <c r="N377" s="55" t="s">
        <v>394</v>
      </c>
      <c r="O377" s="53" t="s">
        <v>394</v>
      </c>
      <c r="P377" s="53" t="s">
        <v>394</v>
      </c>
      <c r="Q377" s="55" t="s">
        <v>394</v>
      </c>
      <c r="R377" s="53" t="s">
        <v>394</v>
      </c>
      <c r="S377" s="53" t="s">
        <v>394</v>
      </c>
      <c r="T377" s="55" t="s">
        <v>394</v>
      </c>
      <c r="U377" s="53">
        <f>'Расчет субсидий'!Z379-1</f>
        <v>-0.339622641509434</v>
      </c>
      <c r="V377" s="53">
        <f>U377*'Расчет субсидий'!AA379</f>
        <v>-5.0943396226415096</v>
      </c>
      <c r="W377" s="54">
        <f t="shared" ref="W377:W378" si="37">$B377*V377/$X377</f>
        <v>-49.211701915190403</v>
      </c>
      <c r="X377" s="56">
        <f t="shared" ref="X377:X378" si="38">D377+G377+J377+V377</f>
        <v>-10.144848960502291</v>
      </c>
    </row>
    <row r="378" spans="1:25" ht="15" customHeight="1">
      <c r="A378" s="64" t="s">
        <v>355</v>
      </c>
      <c r="B378" s="52">
        <f>'Расчет субсидий'!AF380</f>
        <v>-37.699999999999989</v>
      </c>
      <c r="C378" s="53">
        <f>'Расчет субсидий'!D380-1</f>
        <v>-4.5987376014427372E-2</v>
      </c>
      <c r="D378" s="53">
        <f>C378*'Расчет субсидий'!E380</f>
        <v>-0.68981064021641059</v>
      </c>
      <c r="E378" s="54">
        <f t="shared" si="34"/>
        <v>-4.3097801684245205</v>
      </c>
      <c r="F378" s="53">
        <f>'Расчет субсидий'!F380-1</f>
        <v>0</v>
      </c>
      <c r="G378" s="53">
        <f>F378*'Расчет субсидий'!G380</f>
        <v>0</v>
      </c>
      <c r="H378" s="54">
        <f t="shared" si="35"/>
        <v>0</v>
      </c>
      <c r="I378" s="53">
        <f>'Расчет субсидий'!J380-1</f>
        <v>-2.5000000000000022E-2</v>
      </c>
      <c r="J378" s="53">
        <f>I378*'Расчет субсидий'!K380</f>
        <v>-0.25000000000000022</v>
      </c>
      <c r="K378" s="54">
        <f t="shared" si="36"/>
        <v>-1.5619432048309809</v>
      </c>
      <c r="L378" s="53" t="s">
        <v>394</v>
      </c>
      <c r="M378" s="53" t="s">
        <v>394</v>
      </c>
      <c r="N378" s="55" t="s">
        <v>394</v>
      </c>
      <c r="O378" s="53" t="s">
        <v>394</v>
      </c>
      <c r="P378" s="53" t="s">
        <v>394</v>
      </c>
      <c r="Q378" s="55" t="s">
        <v>394</v>
      </c>
      <c r="R378" s="53" t="s">
        <v>394</v>
      </c>
      <c r="S378" s="53" t="s">
        <v>394</v>
      </c>
      <c r="T378" s="55" t="s">
        <v>394</v>
      </c>
      <c r="U378" s="53">
        <f>'Расчет субсидий'!Z380-1</f>
        <v>-0.339622641509434</v>
      </c>
      <c r="V378" s="53">
        <f>U378*'Расчет субсидий'!AA380</f>
        <v>-5.0943396226415096</v>
      </c>
      <c r="W378" s="54">
        <f t="shared" si="37"/>
        <v>-31.82827662674449</v>
      </c>
      <c r="X378" s="56">
        <f t="shared" si="38"/>
        <v>-6.0341502628579207</v>
      </c>
    </row>
    <row r="379" spans="1:25" s="67" customFormat="1" ht="15" customHeight="1">
      <c r="A379" s="65" t="s">
        <v>359</v>
      </c>
      <c r="B379" s="66">
        <f>SUM(B6:B378)-B6-B17-B27-B55</f>
        <v>10156.727272727256</v>
      </c>
      <c r="C379" s="66"/>
      <c r="D379" s="66"/>
      <c r="E379" s="66">
        <f>E6+E17+E27+E55</f>
        <v>-7978.6882090333675</v>
      </c>
      <c r="F379" s="66"/>
      <c r="G379" s="66"/>
      <c r="H379" s="66">
        <f>H6+H17+H27+H55</f>
        <v>0</v>
      </c>
      <c r="I379" s="66"/>
      <c r="J379" s="66"/>
      <c r="K379" s="66">
        <f>K6+K17+K27+K55</f>
        <v>4346.7223415609869</v>
      </c>
      <c r="L379" s="66"/>
      <c r="M379" s="66"/>
      <c r="N379" s="66">
        <f>N6+N17+N27+N55</f>
        <v>0</v>
      </c>
      <c r="O379" s="66"/>
      <c r="P379" s="66"/>
      <c r="Q379" s="66">
        <f>Q27+Q55</f>
        <v>0</v>
      </c>
      <c r="R379" s="66"/>
      <c r="S379" s="66"/>
      <c r="T379" s="66">
        <f>T27+T55</f>
        <v>0</v>
      </c>
      <c r="U379" s="66"/>
      <c r="V379" s="66"/>
      <c r="W379" s="66">
        <f>W6+W17+W27+W55</f>
        <v>13788.693140199633</v>
      </c>
      <c r="X379" s="66"/>
      <c r="Y379" s="43"/>
    </row>
  </sheetData>
  <mergeCells count="11">
    <mergeCell ref="X3:X4"/>
    <mergeCell ref="A1:X1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6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2019-04-17T07:42:35Z</cp:lastPrinted>
  <dcterms:created xsi:type="dcterms:W3CDTF">2010-02-05T14:48:49Z</dcterms:created>
  <dcterms:modified xsi:type="dcterms:W3CDTF">2019-04-17T09:18:27Z</dcterms:modified>
</cp:coreProperties>
</file>