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субсидий'!$A$1:$E$355</definedName>
    <definedName name="_xlnm.Print_Titles" localSheetId="1">'Плюсы и минусы'!$3:$4</definedName>
    <definedName name="_xlnm.Print_Titles" localSheetId="0">'Расчет субсидий'!$A:$A,'Расчет субсидий'!$3:$7</definedName>
    <definedName name="_xlnm.Print_Area" localSheetId="0">'Расчет субсидий'!$A$1:$U$384</definedName>
  </definedNames>
  <calcPr calcId="125725"/>
</workbook>
</file>

<file path=xl/calcChain.xml><?xml version="1.0" encoding="utf-8"?>
<calcChain xmlns="http://schemas.openxmlformats.org/spreadsheetml/2006/main">
  <c r="T331" i="7"/>
  <c r="S380" l="1"/>
  <c r="S379"/>
  <c r="S378"/>
  <c r="S377"/>
  <c r="S376"/>
  <c r="S375"/>
  <c r="S374"/>
  <c r="S373"/>
  <c r="S372"/>
  <c r="S371"/>
  <c r="S370"/>
  <c r="S369"/>
  <c r="S367"/>
  <c r="S366"/>
  <c r="S365"/>
  <c r="S364"/>
  <c r="S363"/>
  <c r="S362"/>
  <c r="S361"/>
  <c r="S360"/>
  <c r="S359"/>
  <c r="S358"/>
  <c r="S356"/>
  <c r="S355"/>
  <c r="S354"/>
  <c r="S353"/>
  <c r="S352"/>
  <c r="S351"/>
  <c r="S350"/>
  <c r="S349"/>
  <c r="S348"/>
  <c r="S347"/>
  <c r="S346"/>
  <c r="S344"/>
  <c r="S343"/>
  <c r="S342"/>
  <c r="S341"/>
  <c r="S340"/>
  <c r="S339"/>
  <c r="S338"/>
  <c r="S337"/>
  <c r="S336"/>
  <c r="S335"/>
  <c r="S334"/>
  <c r="S332"/>
  <c r="S331"/>
  <c r="S330"/>
  <c r="S329"/>
  <c r="S328"/>
  <c r="S327"/>
  <c r="S326"/>
  <c r="S325"/>
  <c r="S324"/>
  <c r="S323"/>
  <c r="S322"/>
  <c r="S321"/>
  <c r="S320"/>
  <c r="S319"/>
  <c r="S318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3"/>
  <c r="S272"/>
  <c r="S271"/>
  <c r="S270"/>
  <c r="S269"/>
  <c r="S268"/>
  <c r="S267"/>
  <c r="S265"/>
  <c r="S264"/>
  <c r="S263"/>
  <c r="S262"/>
  <c r="S261"/>
  <c r="S260"/>
  <c r="S259"/>
  <c r="S258"/>
  <c r="S257"/>
  <c r="S256"/>
  <c r="S255"/>
  <c r="S254"/>
  <c r="S253"/>
  <c r="S252"/>
  <c r="S251"/>
  <c r="S249"/>
  <c r="S248"/>
  <c r="S247"/>
  <c r="S246"/>
  <c r="S245"/>
  <c r="S244"/>
  <c r="S243"/>
  <c r="S242"/>
  <c r="S240"/>
  <c r="S239"/>
  <c r="S238"/>
  <c r="S237"/>
  <c r="S236"/>
  <c r="S235"/>
  <c r="S234"/>
  <c r="S233"/>
  <c r="S232"/>
  <c r="S230"/>
  <c r="S229"/>
  <c r="S228"/>
  <c r="S227"/>
  <c r="S226"/>
  <c r="S225"/>
  <c r="S224"/>
  <c r="S223"/>
  <c r="S222"/>
  <c r="S221"/>
  <c r="S220"/>
  <c r="S219"/>
  <c r="S218"/>
  <c r="S216"/>
  <c r="S215"/>
  <c r="S214"/>
  <c r="S213"/>
  <c r="S212"/>
  <c r="S211"/>
  <c r="S210"/>
  <c r="S209"/>
  <c r="S208"/>
  <c r="S207"/>
  <c r="S206"/>
  <c r="S205"/>
  <c r="S203"/>
  <c r="S202"/>
  <c r="S201"/>
  <c r="S200"/>
  <c r="S199"/>
  <c r="S198"/>
  <c r="S197"/>
  <c r="S196"/>
  <c r="S195"/>
  <c r="S194"/>
  <c r="S193"/>
  <c r="S192"/>
  <c r="S191"/>
  <c r="S189"/>
  <c r="S188"/>
  <c r="S187"/>
  <c r="S186"/>
  <c r="S185"/>
  <c r="S184"/>
  <c r="S182"/>
  <c r="S181"/>
  <c r="S180"/>
  <c r="S179"/>
  <c r="S178"/>
  <c r="S177"/>
  <c r="S176"/>
  <c r="S175"/>
  <c r="S174"/>
  <c r="S173"/>
  <c r="S172"/>
  <c r="S171"/>
  <c r="S170"/>
  <c r="S168"/>
  <c r="S167"/>
  <c r="S166"/>
  <c r="S165"/>
  <c r="S164"/>
  <c r="S163"/>
  <c r="S162"/>
  <c r="S161"/>
  <c r="S160"/>
  <c r="S159"/>
  <c r="S158"/>
  <c r="S157"/>
  <c r="S155"/>
  <c r="S154"/>
  <c r="S153"/>
  <c r="S152"/>
  <c r="S151"/>
  <c r="S150"/>
  <c r="S148"/>
  <c r="S147"/>
  <c r="S146"/>
  <c r="S145"/>
  <c r="S144"/>
  <c r="S143"/>
  <c r="S142"/>
  <c r="S141"/>
  <c r="S139"/>
  <c r="S138"/>
  <c r="S137"/>
  <c r="S136"/>
  <c r="S135"/>
  <c r="S134"/>
  <c r="S133"/>
  <c r="S131"/>
  <c r="S130"/>
  <c r="S129"/>
  <c r="S128"/>
  <c r="S127"/>
  <c r="S126"/>
  <c r="S125"/>
  <c r="S124"/>
  <c r="S123"/>
  <c r="S122"/>
  <c r="S121"/>
  <c r="S120"/>
  <c r="S119"/>
  <c r="S118"/>
  <c r="S117"/>
  <c r="S115"/>
  <c r="S114"/>
  <c r="S113"/>
  <c r="S112"/>
  <c r="S111"/>
  <c r="S110"/>
  <c r="S109"/>
  <c r="S108"/>
  <c r="S107"/>
  <c r="S106"/>
  <c r="S105"/>
  <c r="S104"/>
  <c r="S103"/>
  <c r="S101"/>
  <c r="S100"/>
  <c r="S99"/>
  <c r="S98"/>
  <c r="S97"/>
  <c r="S96"/>
  <c r="S95"/>
  <c r="S94"/>
  <c r="S93"/>
  <c r="S91"/>
  <c r="S90"/>
  <c r="S89"/>
  <c r="S88"/>
  <c r="S87"/>
  <c r="S86"/>
  <c r="S85"/>
  <c r="S84"/>
  <c r="S82"/>
  <c r="S81"/>
  <c r="S80"/>
  <c r="S79"/>
  <c r="S78"/>
  <c r="S76"/>
  <c r="S75"/>
  <c r="S74"/>
  <c r="S73"/>
  <c r="S72"/>
  <c r="S71"/>
  <c r="S70"/>
  <c r="S69"/>
  <c r="S68"/>
  <c r="S67"/>
  <c r="S66"/>
  <c r="S65"/>
  <c r="S63"/>
  <c r="S62"/>
  <c r="S61"/>
  <c r="S60"/>
  <c r="S59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8"/>
  <c r="S27"/>
  <c r="S26"/>
  <c r="S25"/>
  <c r="S24"/>
  <c r="S23"/>
  <c r="S22"/>
  <c r="S21"/>
  <c r="S20"/>
  <c r="S10"/>
  <c r="S11"/>
  <c r="S12"/>
  <c r="S13"/>
  <c r="S14"/>
  <c r="S15"/>
  <c r="S16"/>
  <c r="S17"/>
  <c r="S18"/>
  <c r="S9"/>
  <c r="N9"/>
  <c r="K9" l="1"/>
  <c r="J9"/>
  <c r="H380" l="1"/>
  <c r="H379"/>
  <c r="H378"/>
  <c r="H377"/>
  <c r="H376"/>
  <c r="H375"/>
  <c r="H374"/>
  <c r="H373"/>
  <c r="H372"/>
  <c r="H371"/>
  <c r="H370"/>
  <c r="H369"/>
  <c r="H367"/>
  <c r="H366"/>
  <c r="H365"/>
  <c r="H364"/>
  <c r="H363"/>
  <c r="H362"/>
  <c r="H361"/>
  <c r="H360"/>
  <c r="H359"/>
  <c r="H358"/>
  <c r="H356"/>
  <c r="H355"/>
  <c r="H354"/>
  <c r="H353"/>
  <c r="H352"/>
  <c r="H351"/>
  <c r="H350"/>
  <c r="H349"/>
  <c r="H348"/>
  <c r="H347"/>
  <c r="H346"/>
  <c r="H344"/>
  <c r="H343"/>
  <c r="H342"/>
  <c r="H341"/>
  <c r="H340"/>
  <c r="H339"/>
  <c r="H338"/>
  <c r="H337"/>
  <c r="H336"/>
  <c r="H335"/>
  <c r="H334"/>
  <c r="H332"/>
  <c r="H331"/>
  <c r="H330"/>
  <c r="H329"/>
  <c r="H328"/>
  <c r="H327"/>
  <c r="H326"/>
  <c r="H325"/>
  <c r="H324"/>
  <c r="H323"/>
  <c r="H322"/>
  <c r="H321"/>
  <c r="H320"/>
  <c r="H319"/>
  <c r="H318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3"/>
  <c r="H272"/>
  <c r="H271"/>
  <c r="H270"/>
  <c r="H269"/>
  <c r="H268"/>
  <c r="H267"/>
  <c r="H265"/>
  <c r="H264"/>
  <c r="H263"/>
  <c r="H262"/>
  <c r="H261"/>
  <c r="H260"/>
  <c r="H259"/>
  <c r="H258"/>
  <c r="H257"/>
  <c r="H256"/>
  <c r="H255"/>
  <c r="H254"/>
  <c r="H253"/>
  <c r="H252"/>
  <c r="H251"/>
  <c r="H249"/>
  <c r="H248"/>
  <c r="H247"/>
  <c r="H246"/>
  <c r="H245"/>
  <c r="H244"/>
  <c r="H243"/>
  <c r="H242"/>
  <c r="H240"/>
  <c r="H239"/>
  <c r="H238"/>
  <c r="H237"/>
  <c r="H236"/>
  <c r="H235"/>
  <c r="H234"/>
  <c r="H233"/>
  <c r="H232"/>
  <c r="H230"/>
  <c r="H229"/>
  <c r="H228"/>
  <c r="H227"/>
  <c r="H226"/>
  <c r="H225"/>
  <c r="H224"/>
  <c r="H223"/>
  <c r="H222"/>
  <c r="H221"/>
  <c r="H220"/>
  <c r="H219"/>
  <c r="H218"/>
  <c r="H216"/>
  <c r="H215"/>
  <c r="H214"/>
  <c r="H213"/>
  <c r="H212"/>
  <c r="H211"/>
  <c r="H210"/>
  <c r="H209"/>
  <c r="H208"/>
  <c r="H207"/>
  <c r="H206"/>
  <c r="H205"/>
  <c r="H203"/>
  <c r="H202"/>
  <c r="H201"/>
  <c r="H200"/>
  <c r="H199"/>
  <c r="H198"/>
  <c r="H197"/>
  <c r="H196"/>
  <c r="H195"/>
  <c r="H194"/>
  <c r="H193"/>
  <c r="H192"/>
  <c r="H191"/>
  <c r="H189"/>
  <c r="H188"/>
  <c r="H187"/>
  <c r="H186"/>
  <c r="H185"/>
  <c r="H184"/>
  <c r="H182"/>
  <c r="H181"/>
  <c r="H180"/>
  <c r="H179"/>
  <c r="H178"/>
  <c r="H177"/>
  <c r="H176"/>
  <c r="H175"/>
  <c r="H174"/>
  <c r="H173"/>
  <c r="H172"/>
  <c r="H171"/>
  <c r="H170"/>
  <c r="H168"/>
  <c r="H167"/>
  <c r="H166"/>
  <c r="H165"/>
  <c r="H164"/>
  <c r="H163"/>
  <c r="H162"/>
  <c r="H161"/>
  <c r="H160"/>
  <c r="H159"/>
  <c r="H158"/>
  <c r="H157"/>
  <c r="H155"/>
  <c r="H154"/>
  <c r="H153"/>
  <c r="H152"/>
  <c r="H151"/>
  <c r="H150"/>
  <c r="H148"/>
  <c r="H147"/>
  <c r="H146"/>
  <c r="H145"/>
  <c r="H144"/>
  <c r="H143"/>
  <c r="H142"/>
  <c r="H141"/>
  <c r="H139"/>
  <c r="H138"/>
  <c r="H137"/>
  <c r="H136"/>
  <c r="H135"/>
  <c r="H134"/>
  <c r="H133"/>
  <c r="H131"/>
  <c r="H130"/>
  <c r="H129"/>
  <c r="H128"/>
  <c r="H127"/>
  <c r="H126"/>
  <c r="H125"/>
  <c r="H124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1"/>
  <c r="H100"/>
  <c r="H99"/>
  <c r="H98"/>
  <c r="H97"/>
  <c r="H96"/>
  <c r="H95"/>
  <c r="H94"/>
  <c r="H93"/>
  <c r="H91"/>
  <c r="H90"/>
  <c r="H89"/>
  <c r="H88"/>
  <c r="H87"/>
  <c r="H86"/>
  <c r="H85"/>
  <c r="H84"/>
  <c r="H82"/>
  <c r="H81"/>
  <c r="H80"/>
  <c r="H79"/>
  <c r="H78"/>
  <c r="H76"/>
  <c r="H75"/>
  <c r="H74"/>
  <c r="H73"/>
  <c r="H72"/>
  <c r="H71"/>
  <c r="H70"/>
  <c r="H69"/>
  <c r="H68"/>
  <c r="H67"/>
  <c r="H66"/>
  <c r="H65"/>
  <c r="H63"/>
  <c r="H62"/>
  <c r="H61"/>
  <c r="H60"/>
  <c r="H59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8"/>
  <c r="H27"/>
  <c r="H26"/>
  <c r="H25"/>
  <c r="H24"/>
  <c r="H23"/>
  <c r="H22"/>
  <c r="H21"/>
  <c r="H20"/>
  <c r="H10"/>
  <c r="H11"/>
  <c r="H12"/>
  <c r="H13"/>
  <c r="H14"/>
  <c r="H15"/>
  <c r="H16"/>
  <c r="H17"/>
  <c r="H18"/>
  <c r="H9"/>
  <c r="T19"/>
  <c r="M57" l="1"/>
  <c r="M29"/>
  <c r="M19"/>
  <c r="M8"/>
  <c r="M381" l="1"/>
  <c r="J380"/>
  <c r="J379"/>
  <c r="J378"/>
  <c r="J377"/>
  <c r="J376"/>
  <c r="J375"/>
  <c r="J374"/>
  <c r="J373"/>
  <c r="J372"/>
  <c r="J371"/>
  <c r="J370"/>
  <c r="J369"/>
  <c r="J367"/>
  <c r="J366"/>
  <c r="J365"/>
  <c r="J364"/>
  <c r="J363"/>
  <c r="J362"/>
  <c r="J361"/>
  <c r="J360"/>
  <c r="J359"/>
  <c r="J358"/>
  <c r="J356"/>
  <c r="J355"/>
  <c r="J354"/>
  <c r="J353"/>
  <c r="J352"/>
  <c r="J351"/>
  <c r="J350"/>
  <c r="J349"/>
  <c r="J348"/>
  <c r="J347"/>
  <c r="J346"/>
  <c r="J344"/>
  <c r="J343"/>
  <c r="J342"/>
  <c r="J341"/>
  <c r="J340"/>
  <c r="J339"/>
  <c r="J338"/>
  <c r="J337"/>
  <c r="J336"/>
  <c r="J335"/>
  <c r="J334"/>
  <c r="J332"/>
  <c r="J331"/>
  <c r="J330"/>
  <c r="J329"/>
  <c r="J328"/>
  <c r="J327"/>
  <c r="J326"/>
  <c r="J325"/>
  <c r="J324"/>
  <c r="J323"/>
  <c r="J322"/>
  <c r="J321"/>
  <c r="J320"/>
  <c r="J319"/>
  <c r="J318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3"/>
  <c r="J272"/>
  <c r="J271"/>
  <c r="J270"/>
  <c r="J269"/>
  <c r="J268"/>
  <c r="J267"/>
  <c r="J265"/>
  <c r="J264"/>
  <c r="J263"/>
  <c r="J262"/>
  <c r="J261"/>
  <c r="J260"/>
  <c r="J259"/>
  <c r="J258"/>
  <c r="J257"/>
  <c r="J256"/>
  <c r="J255"/>
  <c r="J254"/>
  <c r="J253"/>
  <c r="J252"/>
  <c r="J251"/>
  <c r="J249"/>
  <c r="J248"/>
  <c r="J247"/>
  <c r="J246"/>
  <c r="J245"/>
  <c r="J244"/>
  <c r="J243"/>
  <c r="J242"/>
  <c r="J240"/>
  <c r="J239"/>
  <c r="J238"/>
  <c r="J237"/>
  <c r="J236"/>
  <c r="J235"/>
  <c r="J234"/>
  <c r="J233"/>
  <c r="J232"/>
  <c r="J230"/>
  <c r="J229"/>
  <c r="J228"/>
  <c r="J227"/>
  <c r="J226"/>
  <c r="J225"/>
  <c r="J224"/>
  <c r="J223"/>
  <c r="J222"/>
  <c r="J221"/>
  <c r="J220"/>
  <c r="J219"/>
  <c r="J218"/>
  <c r="J216"/>
  <c r="J215"/>
  <c r="J214"/>
  <c r="J213"/>
  <c r="J212"/>
  <c r="J211"/>
  <c r="J210"/>
  <c r="J209"/>
  <c r="J208"/>
  <c r="J207"/>
  <c r="J206"/>
  <c r="J205"/>
  <c r="J203"/>
  <c r="J202"/>
  <c r="J201"/>
  <c r="J200"/>
  <c r="J199"/>
  <c r="J198"/>
  <c r="J197"/>
  <c r="J196"/>
  <c r="J195"/>
  <c r="J194"/>
  <c r="J193"/>
  <c r="J192"/>
  <c r="J191"/>
  <c r="J189"/>
  <c r="J188"/>
  <c r="J187"/>
  <c r="J186"/>
  <c r="J185"/>
  <c r="J184"/>
  <c r="J182"/>
  <c r="J181"/>
  <c r="J180"/>
  <c r="J179"/>
  <c r="J178"/>
  <c r="J177"/>
  <c r="J176"/>
  <c r="J175"/>
  <c r="J174"/>
  <c r="J173"/>
  <c r="J172"/>
  <c r="J171"/>
  <c r="J170"/>
  <c r="J168"/>
  <c r="J167"/>
  <c r="J166"/>
  <c r="J165"/>
  <c r="J164"/>
  <c r="J163"/>
  <c r="J162"/>
  <c r="J161"/>
  <c r="J160"/>
  <c r="J159"/>
  <c r="J158"/>
  <c r="J157"/>
  <c r="J155"/>
  <c r="J154"/>
  <c r="J153"/>
  <c r="J152"/>
  <c r="J151"/>
  <c r="J150"/>
  <c r="J148"/>
  <c r="J147"/>
  <c r="J146"/>
  <c r="J145"/>
  <c r="J144"/>
  <c r="J143"/>
  <c r="J142"/>
  <c r="J141"/>
  <c r="J139"/>
  <c r="J138"/>
  <c r="J137"/>
  <c r="J136"/>
  <c r="J135"/>
  <c r="J134"/>
  <c r="J133"/>
  <c r="J131"/>
  <c r="J130"/>
  <c r="J129"/>
  <c r="J128"/>
  <c r="J127"/>
  <c r="J126"/>
  <c r="J125"/>
  <c r="J124"/>
  <c r="J123"/>
  <c r="J122"/>
  <c r="J121"/>
  <c r="J120"/>
  <c r="J119"/>
  <c r="J118"/>
  <c r="J117"/>
  <c r="J115"/>
  <c r="J114"/>
  <c r="J113"/>
  <c r="J112"/>
  <c r="J111"/>
  <c r="J110"/>
  <c r="J109"/>
  <c r="J108"/>
  <c r="J107"/>
  <c r="J106"/>
  <c r="J105"/>
  <c r="J104"/>
  <c r="J103"/>
  <c r="J101"/>
  <c r="J100"/>
  <c r="J99"/>
  <c r="J98"/>
  <c r="J97"/>
  <c r="J96"/>
  <c r="J95"/>
  <c r="J94"/>
  <c r="J93"/>
  <c r="J91"/>
  <c r="J90"/>
  <c r="J89"/>
  <c r="J88"/>
  <c r="J87"/>
  <c r="J86"/>
  <c r="J85"/>
  <c r="J84"/>
  <c r="J82"/>
  <c r="J81"/>
  <c r="J80"/>
  <c r="J79"/>
  <c r="J78"/>
  <c r="J76"/>
  <c r="J75"/>
  <c r="J74"/>
  <c r="J73"/>
  <c r="J72"/>
  <c r="J71"/>
  <c r="J70"/>
  <c r="J69"/>
  <c r="J68"/>
  <c r="J67"/>
  <c r="J66"/>
  <c r="J65"/>
  <c r="J63"/>
  <c r="J62"/>
  <c r="J61"/>
  <c r="J60"/>
  <c r="J59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8"/>
  <c r="J27"/>
  <c r="J26"/>
  <c r="J25"/>
  <c r="J24"/>
  <c r="J23"/>
  <c r="J22"/>
  <c r="J21"/>
  <c r="J20"/>
  <c r="J10"/>
  <c r="J11"/>
  <c r="J12"/>
  <c r="J13"/>
  <c r="J14"/>
  <c r="J15"/>
  <c r="J16"/>
  <c r="J17"/>
  <c r="J18"/>
  <c r="K377"/>
  <c r="N377" s="1"/>
  <c r="U377" s="1"/>
  <c r="K376"/>
  <c r="N376" s="1"/>
  <c r="U376" s="1"/>
  <c r="K369"/>
  <c r="N369" s="1"/>
  <c r="U369" s="1"/>
  <c r="K367"/>
  <c r="N367" s="1"/>
  <c r="U367" s="1"/>
  <c r="K360"/>
  <c r="N360" s="1"/>
  <c r="U360" s="1"/>
  <c r="K359"/>
  <c r="N359" s="1"/>
  <c r="U359" s="1"/>
  <c r="K351"/>
  <c r="N351" s="1"/>
  <c r="U351" s="1"/>
  <c r="K350"/>
  <c r="N350" s="1"/>
  <c r="U350" s="1"/>
  <c r="K342"/>
  <c r="N342" s="1"/>
  <c r="K341"/>
  <c r="N341" s="1"/>
  <c r="K334"/>
  <c r="N334" s="1"/>
  <c r="K332"/>
  <c r="N332" s="1"/>
  <c r="U332" s="1"/>
  <c r="K325"/>
  <c r="N325" s="1"/>
  <c r="U325" s="1"/>
  <c r="K324"/>
  <c r="N324" s="1"/>
  <c r="U324" s="1"/>
  <c r="K316"/>
  <c r="N316" s="1"/>
  <c r="U316" s="1"/>
  <c r="K315"/>
  <c r="N315" s="1"/>
  <c r="U315" s="1"/>
  <c r="K308"/>
  <c r="N308" s="1"/>
  <c r="U308" s="1"/>
  <c r="K307"/>
  <c r="N307" s="1"/>
  <c r="U307" s="1"/>
  <c r="K300"/>
  <c r="N300" s="1"/>
  <c r="U300" s="1"/>
  <c r="K299"/>
  <c r="N299" s="1"/>
  <c r="U299" s="1"/>
  <c r="K291"/>
  <c r="N291" s="1"/>
  <c r="K290"/>
  <c r="N290" s="1"/>
  <c r="U290" s="1"/>
  <c r="K283"/>
  <c r="N283" s="1"/>
  <c r="U283" s="1"/>
  <c r="K282"/>
  <c r="N282" s="1"/>
  <c r="U282" s="1"/>
  <c r="K275"/>
  <c r="N275" s="1"/>
  <c r="U275" s="1"/>
  <c r="K273"/>
  <c r="N273" s="1"/>
  <c r="K265"/>
  <c r="N265" s="1"/>
  <c r="U265" s="1"/>
  <c r="K264"/>
  <c r="N264" s="1"/>
  <c r="U264" s="1"/>
  <c r="K257"/>
  <c r="N257" s="1"/>
  <c r="U257" s="1"/>
  <c r="K256"/>
  <c r="N256" s="1"/>
  <c r="U256" s="1"/>
  <c r="K248"/>
  <c r="N248" s="1"/>
  <c r="K247"/>
  <c r="N247" s="1"/>
  <c r="U247" s="1"/>
  <c r="K239"/>
  <c r="N239" s="1"/>
  <c r="U239" s="1"/>
  <c r="K238"/>
  <c r="N238" s="1"/>
  <c r="U238" s="1"/>
  <c r="K230"/>
  <c r="N230" s="1"/>
  <c r="U230" s="1"/>
  <c r="K229"/>
  <c r="N229" s="1"/>
  <c r="U229" s="1"/>
  <c r="K222"/>
  <c r="N222" s="1"/>
  <c r="U222" s="1"/>
  <c r="K221"/>
  <c r="N221" s="1"/>
  <c r="U221" s="1"/>
  <c r="K213"/>
  <c r="N213" s="1"/>
  <c r="K212"/>
  <c r="N212" s="1"/>
  <c r="U212" s="1"/>
  <c r="K205"/>
  <c r="N205" s="1"/>
  <c r="K203"/>
  <c r="N203" s="1"/>
  <c r="U203" s="1"/>
  <c r="K196"/>
  <c r="N196" s="1"/>
  <c r="U196" s="1"/>
  <c r="K195"/>
  <c r="N195" s="1"/>
  <c r="U195" s="1"/>
  <c r="K187"/>
  <c r="N187" s="1"/>
  <c r="U187" s="1"/>
  <c r="K186"/>
  <c r="N186" s="1"/>
  <c r="U186" s="1"/>
  <c r="K178"/>
  <c r="N178" s="1"/>
  <c r="U178" s="1"/>
  <c r="K177"/>
  <c r="N177" s="1"/>
  <c r="U177" s="1"/>
  <c r="K170"/>
  <c r="N170" s="1"/>
  <c r="U170" s="1"/>
  <c r="K168"/>
  <c r="N168" s="1"/>
  <c r="U168" s="1"/>
  <c r="K161"/>
  <c r="N161" s="1"/>
  <c r="U161" s="1"/>
  <c r="K160"/>
  <c r="N160" s="1"/>
  <c r="U160" s="1"/>
  <c r="K152"/>
  <c r="N152" s="1"/>
  <c r="U152" s="1"/>
  <c r="K151"/>
  <c r="N151" s="1"/>
  <c r="U151" s="1"/>
  <c r="K143"/>
  <c r="N143" s="1"/>
  <c r="U143" s="1"/>
  <c r="K142"/>
  <c r="N142" s="1"/>
  <c r="U142" s="1"/>
  <c r="K134"/>
  <c r="N134" s="1"/>
  <c r="U134" s="1"/>
  <c r="K133"/>
  <c r="N133" s="1"/>
  <c r="U133" s="1"/>
  <c r="K125"/>
  <c r="N125" s="1"/>
  <c r="U125" s="1"/>
  <c r="K124"/>
  <c r="N124" s="1"/>
  <c r="U124" s="1"/>
  <c r="K117"/>
  <c r="N117" s="1"/>
  <c r="U117" s="1"/>
  <c r="K115"/>
  <c r="N115" s="1"/>
  <c r="U115" s="1"/>
  <c r="K108"/>
  <c r="N108" s="1"/>
  <c r="U108" s="1"/>
  <c r="K107"/>
  <c r="N107" s="1"/>
  <c r="U107" s="1"/>
  <c r="K99"/>
  <c r="N99" s="1"/>
  <c r="U99" s="1"/>
  <c r="K98"/>
  <c r="N98" s="1"/>
  <c r="U98" s="1"/>
  <c r="K90"/>
  <c r="N90" s="1"/>
  <c r="U90" s="1"/>
  <c r="K89"/>
  <c r="N89" s="1"/>
  <c r="U89" s="1"/>
  <c r="K81"/>
  <c r="N81" s="1"/>
  <c r="U81" s="1"/>
  <c r="K80"/>
  <c r="N80" s="1"/>
  <c r="U80" s="1"/>
  <c r="K72"/>
  <c r="N72" s="1"/>
  <c r="U72" s="1"/>
  <c r="K71"/>
  <c r="N71" s="1"/>
  <c r="U71" s="1"/>
  <c r="K63"/>
  <c r="N63" s="1"/>
  <c r="U63" s="1"/>
  <c r="K62"/>
  <c r="N62" s="1"/>
  <c r="U62" s="1"/>
  <c r="K54"/>
  <c r="N54" s="1"/>
  <c r="U54" s="1"/>
  <c r="K46"/>
  <c r="N46" s="1"/>
  <c r="U46" s="1"/>
  <c r="K38"/>
  <c r="N38" s="1"/>
  <c r="U38" s="1"/>
  <c r="K30"/>
  <c r="N30" s="1"/>
  <c r="U30" s="1"/>
  <c r="K28"/>
  <c r="N28" s="1"/>
  <c r="U28" s="1"/>
  <c r="K20"/>
  <c r="N20" s="1"/>
  <c r="D380"/>
  <c r="K380" s="1"/>
  <c r="N380" s="1"/>
  <c r="U380" s="1"/>
  <c r="D379"/>
  <c r="K379" s="1"/>
  <c r="N379" s="1"/>
  <c r="U379" s="1"/>
  <c r="D378"/>
  <c r="K378" s="1"/>
  <c r="N378" s="1"/>
  <c r="U378" s="1"/>
  <c r="D377"/>
  <c r="D376"/>
  <c r="D375"/>
  <c r="K375" s="1"/>
  <c r="N375" s="1"/>
  <c r="U375" s="1"/>
  <c r="D374"/>
  <c r="K374" s="1"/>
  <c r="N374" s="1"/>
  <c r="U374" s="1"/>
  <c r="D373"/>
  <c r="K373" s="1"/>
  <c r="N373" s="1"/>
  <c r="U373" s="1"/>
  <c r="D372"/>
  <c r="K372" s="1"/>
  <c r="N372" s="1"/>
  <c r="U372" s="1"/>
  <c r="D371"/>
  <c r="K371" s="1"/>
  <c r="N371" s="1"/>
  <c r="U371" s="1"/>
  <c r="D370"/>
  <c r="K370" s="1"/>
  <c r="N370" s="1"/>
  <c r="U370" s="1"/>
  <c r="D369"/>
  <c r="D367"/>
  <c r="D366"/>
  <c r="K366" s="1"/>
  <c r="N366" s="1"/>
  <c r="U366" s="1"/>
  <c r="D365"/>
  <c r="K365" s="1"/>
  <c r="N365" s="1"/>
  <c r="U365" s="1"/>
  <c r="D364"/>
  <c r="K364" s="1"/>
  <c r="N364" s="1"/>
  <c r="U364" s="1"/>
  <c r="D363"/>
  <c r="K363" s="1"/>
  <c r="N363" s="1"/>
  <c r="D362"/>
  <c r="K362" s="1"/>
  <c r="N362" s="1"/>
  <c r="U362" s="1"/>
  <c r="D361"/>
  <c r="K361" s="1"/>
  <c r="N361" s="1"/>
  <c r="U361" s="1"/>
  <c r="D360"/>
  <c r="D359"/>
  <c r="D358"/>
  <c r="K358" s="1"/>
  <c r="N358" s="1"/>
  <c r="U358" s="1"/>
  <c r="D356"/>
  <c r="K356" s="1"/>
  <c r="N356" s="1"/>
  <c r="U356" s="1"/>
  <c r="D355"/>
  <c r="K355" s="1"/>
  <c r="N355" s="1"/>
  <c r="U355" s="1"/>
  <c r="D354"/>
  <c r="K354" s="1"/>
  <c r="N354" s="1"/>
  <c r="U354" s="1"/>
  <c r="D353"/>
  <c r="K353" s="1"/>
  <c r="N353" s="1"/>
  <c r="U353" s="1"/>
  <c r="D352"/>
  <c r="K352" s="1"/>
  <c r="N352" s="1"/>
  <c r="U352" s="1"/>
  <c r="D351"/>
  <c r="D350"/>
  <c r="D349"/>
  <c r="K349" s="1"/>
  <c r="N349" s="1"/>
  <c r="U349" s="1"/>
  <c r="D348"/>
  <c r="K348" s="1"/>
  <c r="N348" s="1"/>
  <c r="U348" s="1"/>
  <c r="D347"/>
  <c r="K347" s="1"/>
  <c r="N347" s="1"/>
  <c r="U347" s="1"/>
  <c r="D346"/>
  <c r="K346" s="1"/>
  <c r="N346" s="1"/>
  <c r="U346" s="1"/>
  <c r="D344"/>
  <c r="K344" s="1"/>
  <c r="N344" s="1"/>
  <c r="D343"/>
  <c r="K343" s="1"/>
  <c r="N343" s="1"/>
  <c r="D342"/>
  <c r="D341"/>
  <c r="D340"/>
  <c r="K340" s="1"/>
  <c r="N340" s="1"/>
  <c r="D339"/>
  <c r="K339" s="1"/>
  <c r="N339" s="1"/>
  <c r="D338"/>
  <c r="K338" s="1"/>
  <c r="N338" s="1"/>
  <c r="D337"/>
  <c r="K337" s="1"/>
  <c r="N337" s="1"/>
  <c r="D336"/>
  <c r="K336" s="1"/>
  <c r="N336" s="1"/>
  <c r="D335"/>
  <c r="K335" s="1"/>
  <c r="N335" s="1"/>
  <c r="D334"/>
  <c r="D332"/>
  <c r="D331"/>
  <c r="K331" s="1"/>
  <c r="N331" s="1"/>
  <c r="D330"/>
  <c r="K330" s="1"/>
  <c r="N330" s="1"/>
  <c r="U330" s="1"/>
  <c r="D329"/>
  <c r="K329" s="1"/>
  <c r="N329" s="1"/>
  <c r="U329" s="1"/>
  <c r="D328"/>
  <c r="K328" s="1"/>
  <c r="N328" s="1"/>
  <c r="U328" s="1"/>
  <c r="D327"/>
  <c r="K327" s="1"/>
  <c r="N327" s="1"/>
  <c r="U327" s="1"/>
  <c r="D326"/>
  <c r="K326" s="1"/>
  <c r="N326" s="1"/>
  <c r="D325"/>
  <c r="D324"/>
  <c r="D323"/>
  <c r="K323" s="1"/>
  <c r="N323" s="1"/>
  <c r="U323" s="1"/>
  <c r="D322"/>
  <c r="K322" s="1"/>
  <c r="N322" s="1"/>
  <c r="U322" s="1"/>
  <c r="D321"/>
  <c r="K321" s="1"/>
  <c r="N321" s="1"/>
  <c r="U321" s="1"/>
  <c r="D320"/>
  <c r="K320" s="1"/>
  <c r="N320" s="1"/>
  <c r="D319"/>
  <c r="K319" s="1"/>
  <c r="N319" s="1"/>
  <c r="U319" s="1"/>
  <c r="D318"/>
  <c r="K318" s="1"/>
  <c r="N318" s="1"/>
  <c r="D316"/>
  <c r="D315"/>
  <c r="D314"/>
  <c r="K314" s="1"/>
  <c r="N314" s="1"/>
  <c r="U314" s="1"/>
  <c r="D313"/>
  <c r="K313" s="1"/>
  <c r="N313" s="1"/>
  <c r="U313" s="1"/>
  <c r="D312"/>
  <c r="K312" s="1"/>
  <c r="N312" s="1"/>
  <c r="U312" s="1"/>
  <c r="D311"/>
  <c r="K311" s="1"/>
  <c r="N311" s="1"/>
  <c r="U311" s="1"/>
  <c r="D310"/>
  <c r="K310" s="1"/>
  <c r="N310" s="1"/>
  <c r="U310" s="1"/>
  <c r="D309"/>
  <c r="K309" s="1"/>
  <c r="N309" s="1"/>
  <c r="U309" s="1"/>
  <c r="D308"/>
  <c r="D307"/>
  <c r="D306"/>
  <c r="K306" s="1"/>
  <c r="N306" s="1"/>
  <c r="U306" s="1"/>
  <c r="D305"/>
  <c r="K305" s="1"/>
  <c r="N305" s="1"/>
  <c r="U305" s="1"/>
  <c r="D304"/>
  <c r="K304" s="1"/>
  <c r="N304" s="1"/>
  <c r="U304" s="1"/>
  <c r="D303"/>
  <c r="K303" s="1"/>
  <c r="N303" s="1"/>
  <c r="U303" s="1"/>
  <c r="D302"/>
  <c r="K302" s="1"/>
  <c r="N302" s="1"/>
  <c r="U302" s="1"/>
  <c r="D301"/>
  <c r="K301" s="1"/>
  <c r="N301" s="1"/>
  <c r="U301" s="1"/>
  <c r="D300"/>
  <c r="D299"/>
  <c r="D298"/>
  <c r="K298" s="1"/>
  <c r="N298" s="1"/>
  <c r="U298" s="1"/>
  <c r="D297"/>
  <c r="K297" s="1"/>
  <c r="N297" s="1"/>
  <c r="U297" s="1"/>
  <c r="D296"/>
  <c r="K296" s="1"/>
  <c r="N296" s="1"/>
  <c r="U296" s="1"/>
  <c r="D295"/>
  <c r="K295" s="1"/>
  <c r="N295" s="1"/>
  <c r="U295" s="1"/>
  <c r="D294"/>
  <c r="K294" s="1"/>
  <c r="N294" s="1"/>
  <c r="U294" s="1"/>
  <c r="D293"/>
  <c r="K293" s="1"/>
  <c r="N293" s="1"/>
  <c r="U293" s="1"/>
  <c r="D291"/>
  <c r="D290"/>
  <c r="D289"/>
  <c r="K289" s="1"/>
  <c r="N289" s="1"/>
  <c r="U289" s="1"/>
  <c r="D288"/>
  <c r="K288" s="1"/>
  <c r="N288" s="1"/>
  <c r="U288" s="1"/>
  <c r="D287"/>
  <c r="K287" s="1"/>
  <c r="N287" s="1"/>
  <c r="U287" s="1"/>
  <c r="D286"/>
  <c r="K286" s="1"/>
  <c r="N286" s="1"/>
  <c r="U286" s="1"/>
  <c r="D285"/>
  <c r="K285" s="1"/>
  <c r="N285" s="1"/>
  <c r="D284"/>
  <c r="K284" s="1"/>
  <c r="N284" s="1"/>
  <c r="U284" s="1"/>
  <c r="D283"/>
  <c r="D282"/>
  <c r="D281"/>
  <c r="K281" s="1"/>
  <c r="N281" s="1"/>
  <c r="D280"/>
  <c r="K280" s="1"/>
  <c r="N280" s="1"/>
  <c r="U280" s="1"/>
  <c r="D279"/>
  <c r="K279" s="1"/>
  <c r="N279" s="1"/>
  <c r="U279" s="1"/>
  <c r="D278"/>
  <c r="K278" s="1"/>
  <c r="N278" s="1"/>
  <c r="U278" s="1"/>
  <c r="D277"/>
  <c r="K277" s="1"/>
  <c r="N277" s="1"/>
  <c r="U277" s="1"/>
  <c r="D276"/>
  <c r="K276" s="1"/>
  <c r="N276" s="1"/>
  <c r="U276" s="1"/>
  <c r="D275"/>
  <c r="D273"/>
  <c r="D272"/>
  <c r="K272" s="1"/>
  <c r="N272" s="1"/>
  <c r="D271"/>
  <c r="K271" s="1"/>
  <c r="N271" s="1"/>
  <c r="D270"/>
  <c r="K270" s="1"/>
  <c r="N270" s="1"/>
  <c r="D269"/>
  <c r="K269" s="1"/>
  <c r="N269" s="1"/>
  <c r="D268"/>
  <c r="K268" s="1"/>
  <c r="N268" s="1"/>
  <c r="U268" s="1"/>
  <c r="D267"/>
  <c r="K267" s="1"/>
  <c r="N267" s="1"/>
  <c r="D265"/>
  <c r="D264"/>
  <c r="D263"/>
  <c r="K263" s="1"/>
  <c r="N263" s="1"/>
  <c r="U263" s="1"/>
  <c r="D262"/>
  <c r="K262" s="1"/>
  <c r="N262" s="1"/>
  <c r="U262" s="1"/>
  <c r="D261"/>
  <c r="K261" s="1"/>
  <c r="N261" s="1"/>
  <c r="U261" s="1"/>
  <c r="D260"/>
  <c r="K260" s="1"/>
  <c r="N260" s="1"/>
  <c r="U260" s="1"/>
  <c r="D259"/>
  <c r="K259" s="1"/>
  <c r="N259" s="1"/>
  <c r="U259" s="1"/>
  <c r="D258"/>
  <c r="K258" s="1"/>
  <c r="N258" s="1"/>
  <c r="U258" s="1"/>
  <c r="D257"/>
  <c r="D256"/>
  <c r="D255"/>
  <c r="K255" s="1"/>
  <c r="N255" s="1"/>
  <c r="U255" s="1"/>
  <c r="D254"/>
  <c r="K254" s="1"/>
  <c r="N254" s="1"/>
  <c r="U254" s="1"/>
  <c r="D253"/>
  <c r="K253" s="1"/>
  <c r="N253" s="1"/>
  <c r="U253" s="1"/>
  <c r="D252"/>
  <c r="K252" s="1"/>
  <c r="N252" s="1"/>
  <c r="U252" s="1"/>
  <c r="D251"/>
  <c r="K251" s="1"/>
  <c r="N251" s="1"/>
  <c r="U251" s="1"/>
  <c r="D249"/>
  <c r="K249" s="1"/>
  <c r="N249" s="1"/>
  <c r="D248"/>
  <c r="D247"/>
  <c r="D246"/>
  <c r="K246" s="1"/>
  <c r="N246" s="1"/>
  <c r="D245"/>
  <c r="K245" s="1"/>
  <c r="N245" s="1"/>
  <c r="U245" s="1"/>
  <c r="D244"/>
  <c r="K244" s="1"/>
  <c r="N244" s="1"/>
  <c r="D243"/>
  <c r="K243" s="1"/>
  <c r="N243" s="1"/>
  <c r="D242"/>
  <c r="K242" s="1"/>
  <c r="N242" s="1"/>
  <c r="D240"/>
  <c r="K240" s="1"/>
  <c r="N240" s="1"/>
  <c r="U240" s="1"/>
  <c r="D239"/>
  <c r="D238"/>
  <c r="D237"/>
  <c r="K237" s="1"/>
  <c r="N237" s="1"/>
  <c r="U237" s="1"/>
  <c r="D236"/>
  <c r="K236" s="1"/>
  <c r="N236" s="1"/>
  <c r="U236" s="1"/>
  <c r="D235"/>
  <c r="K235" s="1"/>
  <c r="N235" s="1"/>
  <c r="U235" s="1"/>
  <c r="D234"/>
  <c r="K234" s="1"/>
  <c r="N234" s="1"/>
  <c r="U234" s="1"/>
  <c r="D233"/>
  <c r="K233" s="1"/>
  <c r="N233" s="1"/>
  <c r="U233" s="1"/>
  <c r="D232"/>
  <c r="K232" s="1"/>
  <c r="N232" s="1"/>
  <c r="U232" s="1"/>
  <c r="D230"/>
  <c r="D229"/>
  <c r="D228"/>
  <c r="K228" s="1"/>
  <c r="N228" s="1"/>
  <c r="U228" s="1"/>
  <c r="D227"/>
  <c r="K227" s="1"/>
  <c r="N227" s="1"/>
  <c r="U227" s="1"/>
  <c r="D226"/>
  <c r="K226" s="1"/>
  <c r="N226" s="1"/>
  <c r="U226" s="1"/>
  <c r="D225"/>
  <c r="K225" s="1"/>
  <c r="N225" s="1"/>
  <c r="U225" s="1"/>
  <c r="D224"/>
  <c r="K224" s="1"/>
  <c r="N224" s="1"/>
  <c r="U224" s="1"/>
  <c r="D223"/>
  <c r="K223" s="1"/>
  <c r="N223" s="1"/>
  <c r="U223" s="1"/>
  <c r="D222"/>
  <c r="D221"/>
  <c r="D220"/>
  <c r="K220" s="1"/>
  <c r="N220" s="1"/>
  <c r="U220" s="1"/>
  <c r="D219"/>
  <c r="K219" s="1"/>
  <c r="N219" s="1"/>
  <c r="U219" s="1"/>
  <c r="D218"/>
  <c r="K218" s="1"/>
  <c r="N218" s="1"/>
  <c r="U218" s="1"/>
  <c r="D216"/>
  <c r="K216" s="1"/>
  <c r="N216" s="1"/>
  <c r="U216" s="1"/>
  <c r="D215"/>
  <c r="K215" s="1"/>
  <c r="N215" s="1"/>
  <c r="U215" s="1"/>
  <c r="D214"/>
  <c r="K214" s="1"/>
  <c r="N214" s="1"/>
  <c r="U214" s="1"/>
  <c r="D213"/>
  <c r="D212"/>
  <c r="D211"/>
  <c r="K211" s="1"/>
  <c r="N211" s="1"/>
  <c r="D210"/>
  <c r="K210" s="1"/>
  <c r="N210" s="1"/>
  <c r="D209"/>
  <c r="K209" s="1"/>
  <c r="N209" s="1"/>
  <c r="D208"/>
  <c r="K208" s="1"/>
  <c r="N208" s="1"/>
  <c r="U208" s="1"/>
  <c r="D207"/>
  <c r="K207" s="1"/>
  <c r="N207" s="1"/>
  <c r="D206"/>
  <c r="K206" s="1"/>
  <c r="N206" s="1"/>
  <c r="D205"/>
  <c r="D203"/>
  <c r="D202"/>
  <c r="K202" s="1"/>
  <c r="N202" s="1"/>
  <c r="U202" s="1"/>
  <c r="D201"/>
  <c r="K201" s="1"/>
  <c r="N201" s="1"/>
  <c r="U201" s="1"/>
  <c r="D200"/>
  <c r="K200" s="1"/>
  <c r="N200" s="1"/>
  <c r="U200" s="1"/>
  <c r="D199"/>
  <c r="K199" s="1"/>
  <c r="N199" s="1"/>
  <c r="U199" s="1"/>
  <c r="D198"/>
  <c r="K198" s="1"/>
  <c r="N198" s="1"/>
  <c r="U198" s="1"/>
  <c r="D197"/>
  <c r="K197" s="1"/>
  <c r="N197" s="1"/>
  <c r="U197" s="1"/>
  <c r="D196"/>
  <c r="D195"/>
  <c r="D194"/>
  <c r="K194" s="1"/>
  <c r="N194" s="1"/>
  <c r="U194" s="1"/>
  <c r="D193"/>
  <c r="K193" s="1"/>
  <c r="N193" s="1"/>
  <c r="U193" s="1"/>
  <c r="D192"/>
  <c r="K192" s="1"/>
  <c r="N192" s="1"/>
  <c r="U192" s="1"/>
  <c r="D191"/>
  <c r="K191" s="1"/>
  <c r="N191" s="1"/>
  <c r="U191" s="1"/>
  <c r="D189"/>
  <c r="K189" s="1"/>
  <c r="N189" s="1"/>
  <c r="U189" s="1"/>
  <c r="D188"/>
  <c r="K188" s="1"/>
  <c r="N188" s="1"/>
  <c r="U188" s="1"/>
  <c r="D187"/>
  <c r="D186"/>
  <c r="D185"/>
  <c r="K185" s="1"/>
  <c r="N185" s="1"/>
  <c r="U185" s="1"/>
  <c r="D184"/>
  <c r="K184" s="1"/>
  <c r="N184" s="1"/>
  <c r="U184" s="1"/>
  <c r="D182"/>
  <c r="K182" s="1"/>
  <c r="N182" s="1"/>
  <c r="U182" s="1"/>
  <c r="D181"/>
  <c r="K181" s="1"/>
  <c r="N181" s="1"/>
  <c r="U181" s="1"/>
  <c r="D180"/>
  <c r="K180" s="1"/>
  <c r="N180" s="1"/>
  <c r="U180" s="1"/>
  <c r="D179"/>
  <c r="K179" s="1"/>
  <c r="N179" s="1"/>
  <c r="U179" s="1"/>
  <c r="D178"/>
  <c r="D177"/>
  <c r="D176"/>
  <c r="K176" s="1"/>
  <c r="N176" s="1"/>
  <c r="U176" s="1"/>
  <c r="D175"/>
  <c r="K175" s="1"/>
  <c r="N175" s="1"/>
  <c r="U175" s="1"/>
  <c r="D174"/>
  <c r="K174" s="1"/>
  <c r="N174" s="1"/>
  <c r="U174" s="1"/>
  <c r="D173"/>
  <c r="K173" s="1"/>
  <c r="N173" s="1"/>
  <c r="U173" s="1"/>
  <c r="D172"/>
  <c r="K172" s="1"/>
  <c r="N172" s="1"/>
  <c r="U172" s="1"/>
  <c r="D171"/>
  <c r="K171" s="1"/>
  <c r="N171" s="1"/>
  <c r="U171" s="1"/>
  <c r="D170"/>
  <c r="D168"/>
  <c r="D167"/>
  <c r="K167" s="1"/>
  <c r="N167" s="1"/>
  <c r="U167" s="1"/>
  <c r="D166"/>
  <c r="K166" s="1"/>
  <c r="N166" s="1"/>
  <c r="U166" s="1"/>
  <c r="D165"/>
  <c r="K165" s="1"/>
  <c r="N165" s="1"/>
  <c r="U165" s="1"/>
  <c r="D164"/>
  <c r="K164" s="1"/>
  <c r="N164" s="1"/>
  <c r="U164" s="1"/>
  <c r="D163"/>
  <c r="K163" s="1"/>
  <c r="N163" s="1"/>
  <c r="U163" s="1"/>
  <c r="D162"/>
  <c r="K162" s="1"/>
  <c r="N162" s="1"/>
  <c r="U162" s="1"/>
  <c r="D161"/>
  <c r="D160"/>
  <c r="D159"/>
  <c r="K159" s="1"/>
  <c r="N159" s="1"/>
  <c r="U159" s="1"/>
  <c r="D158"/>
  <c r="K158" s="1"/>
  <c r="N158" s="1"/>
  <c r="U158" s="1"/>
  <c r="D157"/>
  <c r="K157" s="1"/>
  <c r="N157" s="1"/>
  <c r="U157" s="1"/>
  <c r="D155"/>
  <c r="K155" s="1"/>
  <c r="N155" s="1"/>
  <c r="U155" s="1"/>
  <c r="D154"/>
  <c r="K154" s="1"/>
  <c r="N154" s="1"/>
  <c r="U154" s="1"/>
  <c r="D153"/>
  <c r="K153" s="1"/>
  <c r="N153" s="1"/>
  <c r="U153" s="1"/>
  <c r="D152"/>
  <c r="D151"/>
  <c r="D150"/>
  <c r="K150" s="1"/>
  <c r="N150" s="1"/>
  <c r="U150" s="1"/>
  <c r="D148"/>
  <c r="K148" s="1"/>
  <c r="N148" s="1"/>
  <c r="U148" s="1"/>
  <c r="D147"/>
  <c r="K147" s="1"/>
  <c r="N147" s="1"/>
  <c r="U147" s="1"/>
  <c r="D146"/>
  <c r="K146" s="1"/>
  <c r="N146" s="1"/>
  <c r="U146" s="1"/>
  <c r="D145"/>
  <c r="K145" s="1"/>
  <c r="N145" s="1"/>
  <c r="U145" s="1"/>
  <c r="D144"/>
  <c r="K144" s="1"/>
  <c r="N144" s="1"/>
  <c r="U144" s="1"/>
  <c r="D143"/>
  <c r="D142"/>
  <c r="D141"/>
  <c r="K141" s="1"/>
  <c r="N141" s="1"/>
  <c r="U141" s="1"/>
  <c r="D139"/>
  <c r="K139" s="1"/>
  <c r="N139" s="1"/>
  <c r="U139" s="1"/>
  <c r="D138"/>
  <c r="K138" s="1"/>
  <c r="N138" s="1"/>
  <c r="U138" s="1"/>
  <c r="D137"/>
  <c r="K137" s="1"/>
  <c r="N137" s="1"/>
  <c r="U137" s="1"/>
  <c r="D136"/>
  <c r="K136" s="1"/>
  <c r="N136" s="1"/>
  <c r="U136" s="1"/>
  <c r="D135"/>
  <c r="K135" s="1"/>
  <c r="N135" s="1"/>
  <c r="U135" s="1"/>
  <c r="D134"/>
  <c r="D133"/>
  <c r="D131"/>
  <c r="K131" s="1"/>
  <c r="N131" s="1"/>
  <c r="D130"/>
  <c r="K130" s="1"/>
  <c r="N130" s="1"/>
  <c r="U130" s="1"/>
  <c r="D129"/>
  <c r="K129" s="1"/>
  <c r="N129" s="1"/>
  <c r="U129" s="1"/>
  <c r="D128"/>
  <c r="K128" s="1"/>
  <c r="N128" s="1"/>
  <c r="U128" s="1"/>
  <c r="D127"/>
  <c r="K127" s="1"/>
  <c r="N127" s="1"/>
  <c r="U127" s="1"/>
  <c r="D126"/>
  <c r="K126" s="1"/>
  <c r="N126" s="1"/>
  <c r="U126" s="1"/>
  <c r="D125"/>
  <c r="D124"/>
  <c r="D123"/>
  <c r="K123" s="1"/>
  <c r="N123" s="1"/>
  <c r="U123" s="1"/>
  <c r="D122"/>
  <c r="K122" s="1"/>
  <c r="N122" s="1"/>
  <c r="U122" s="1"/>
  <c r="D121"/>
  <c r="K121" s="1"/>
  <c r="N121" s="1"/>
  <c r="U121" s="1"/>
  <c r="D120"/>
  <c r="K120" s="1"/>
  <c r="N120" s="1"/>
  <c r="U120" s="1"/>
  <c r="D119"/>
  <c r="K119" s="1"/>
  <c r="N119" s="1"/>
  <c r="U119" s="1"/>
  <c r="D118"/>
  <c r="K118" s="1"/>
  <c r="N118" s="1"/>
  <c r="D117"/>
  <c r="D115"/>
  <c r="D114"/>
  <c r="K114" s="1"/>
  <c r="N114" s="1"/>
  <c r="U114" s="1"/>
  <c r="D113"/>
  <c r="K113" s="1"/>
  <c r="N113" s="1"/>
  <c r="U113" s="1"/>
  <c r="D112"/>
  <c r="K112" s="1"/>
  <c r="N112" s="1"/>
  <c r="U112" s="1"/>
  <c r="D111"/>
  <c r="K111" s="1"/>
  <c r="N111" s="1"/>
  <c r="U111" s="1"/>
  <c r="D110"/>
  <c r="K110" s="1"/>
  <c r="N110" s="1"/>
  <c r="U110" s="1"/>
  <c r="D109"/>
  <c r="K109" s="1"/>
  <c r="N109" s="1"/>
  <c r="U109" s="1"/>
  <c r="D108"/>
  <c r="D107"/>
  <c r="D106"/>
  <c r="K106" s="1"/>
  <c r="N106" s="1"/>
  <c r="U106" s="1"/>
  <c r="D105"/>
  <c r="K105" s="1"/>
  <c r="N105" s="1"/>
  <c r="U105" s="1"/>
  <c r="D104"/>
  <c r="K104" s="1"/>
  <c r="N104" s="1"/>
  <c r="U104" s="1"/>
  <c r="D103"/>
  <c r="K103" s="1"/>
  <c r="N103" s="1"/>
  <c r="U103" s="1"/>
  <c r="D101"/>
  <c r="K101" s="1"/>
  <c r="N101" s="1"/>
  <c r="U101" s="1"/>
  <c r="D100"/>
  <c r="K100" s="1"/>
  <c r="N100" s="1"/>
  <c r="U100" s="1"/>
  <c r="D99"/>
  <c r="D98"/>
  <c r="D97"/>
  <c r="K97" s="1"/>
  <c r="N97" s="1"/>
  <c r="U97" s="1"/>
  <c r="D96"/>
  <c r="K96" s="1"/>
  <c r="N96" s="1"/>
  <c r="U96" s="1"/>
  <c r="D95"/>
  <c r="K95" s="1"/>
  <c r="N95" s="1"/>
  <c r="U95" s="1"/>
  <c r="D94"/>
  <c r="K94" s="1"/>
  <c r="N94" s="1"/>
  <c r="U94" s="1"/>
  <c r="D93"/>
  <c r="K93" s="1"/>
  <c r="N93" s="1"/>
  <c r="U93" s="1"/>
  <c r="D91"/>
  <c r="K91" s="1"/>
  <c r="N91" s="1"/>
  <c r="U91" s="1"/>
  <c r="D90"/>
  <c r="D89"/>
  <c r="D88"/>
  <c r="K88" s="1"/>
  <c r="N88" s="1"/>
  <c r="U88" s="1"/>
  <c r="D87"/>
  <c r="K87" s="1"/>
  <c r="N87" s="1"/>
  <c r="U87" s="1"/>
  <c r="D86"/>
  <c r="K86" s="1"/>
  <c r="N86" s="1"/>
  <c r="U86" s="1"/>
  <c r="D85"/>
  <c r="K85" s="1"/>
  <c r="N85" s="1"/>
  <c r="U85" s="1"/>
  <c r="D84"/>
  <c r="K84" s="1"/>
  <c r="N84" s="1"/>
  <c r="U84" s="1"/>
  <c r="D82"/>
  <c r="K82" s="1"/>
  <c r="N82" s="1"/>
  <c r="U82" s="1"/>
  <c r="D81"/>
  <c r="D80"/>
  <c r="D79"/>
  <c r="K79" s="1"/>
  <c r="N79" s="1"/>
  <c r="U79" s="1"/>
  <c r="D78"/>
  <c r="K78" s="1"/>
  <c r="N78" s="1"/>
  <c r="U78" s="1"/>
  <c r="D76"/>
  <c r="K76" s="1"/>
  <c r="N76" s="1"/>
  <c r="U76" s="1"/>
  <c r="D75"/>
  <c r="K75" s="1"/>
  <c r="N75" s="1"/>
  <c r="U75" s="1"/>
  <c r="D74"/>
  <c r="K74" s="1"/>
  <c r="N74" s="1"/>
  <c r="U74" s="1"/>
  <c r="D73"/>
  <c r="K73" s="1"/>
  <c r="N73" s="1"/>
  <c r="U73" s="1"/>
  <c r="D72"/>
  <c r="D71"/>
  <c r="D70"/>
  <c r="K70" s="1"/>
  <c r="N70" s="1"/>
  <c r="U70" s="1"/>
  <c r="D69"/>
  <c r="K69" s="1"/>
  <c r="N69" s="1"/>
  <c r="U69" s="1"/>
  <c r="D68"/>
  <c r="K68" s="1"/>
  <c r="N68" s="1"/>
  <c r="U68" s="1"/>
  <c r="D67"/>
  <c r="K67" s="1"/>
  <c r="N67" s="1"/>
  <c r="U67" s="1"/>
  <c r="D66"/>
  <c r="K66" s="1"/>
  <c r="N66" s="1"/>
  <c r="U66" s="1"/>
  <c r="D65"/>
  <c r="K65" s="1"/>
  <c r="N65" s="1"/>
  <c r="U65" s="1"/>
  <c r="D63"/>
  <c r="D62"/>
  <c r="D61"/>
  <c r="K61" s="1"/>
  <c r="N61" s="1"/>
  <c r="U61" s="1"/>
  <c r="D60"/>
  <c r="K60" s="1"/>
  <c r="N60" s="1"/>
  <c r="U60" s="1"/>
  <c r="D59"/>
  <c r="K59" s="1"/>
  <c r="N59" s="1"/>
  <c r="D56"/>
  <c r="K56" s="1"/>
  <c r="N56" s="1"/>
  <c r="U56" s="1"/>
  <c r="D55"/>
  <c r="K55" s="1"/>
  <c r="N55" s="1"/>
  <c r="U55" s="1"/>
  <c r="D54"/>
  <c r="D53"/>
  <c r="K53" s="1"/>
  <c r="N53" s="1"/>
  <c r="D52"/>
  <c r="K52" s="1"/>
  <c r="N52" s="1"/>
  <c r="D51"/>
  <c r="K51" s="1"/>
  <c r="N51" s="1"/>
  <c r="U51" s="1"/>
  <c r="D50"/>
  <c r="K50" s="1"/>
  <c r="N50" s="1"/>
  <c r="U50" s="1"/>
  <c r="D49"/>
  <c r="K49" s="1"/>
  <c r="N49" s="1"/>
  <c r="D48"/>
  <c r="K48" s="1"/>
  <c r="N48" s="1"/>
  <c r="U48" s="1"/>
  <c r="D47"/>
  <c r="K47" s="1"/>
  <c r="N47" s="1"/>
  <c r="D46"/>
  <c r="D45"/>
  <c r="K45" s="1"/>
  <c r="N45" s="1"/>
  <c r="U45" s="1"/>
  <c r="D44"/>
  <c r="K44" s="1"/>
  <c r="N44" s="1"/>
  <c r="D43"/>
  <c r="K43" s="1"/>
  <c r="N43" s="1"/>
  <c r="U43" s="1"/>
  <c r="D42"/>
  <c r="K42" s="1"/>
  <c r="N42" s="1"/>
  <c r="U42" s="1"/>
  <c r="D41"/>
  <c r="K41" s="1"/>
  <c r="N41" s="1"/>
  <c r="U41" s="1"/>
  <c r="D40"/>
  <c r="K40" s="1"/>
  <c r="N40" s="1"/>
  <c r="U40" s="1"/>
  <c r="D39"/>
  <c r="D38"/>
  <c r="D37"/>
  <c r="K37" s="1"/>
  <c r="N37" s="1"/>
  <c r="U37" s="1"/>
  <c r="D36"/>
  <c r="K36" s="1"/>
  <c r="N36" s="1"/>
  <c r="U36" s="1"/>
  <c r="D35"/>
  <c r="K35" s="1"/>
  <c r="N35" s="1"/>
  <c r="U35" s="1"/>
  <c r="D34"/>
  <c r="K34" s="1"/>
  <c r="N34" s="1"/>
  <c r="U34" s="1"/>
  <c r="D33"/>
  <c r="K33" s="1"/>
  <c r="N33" s="1"/>
  <c r="U33" s="1"/>
  <c r="D32"/>
  <c r="K32" s="1"/>
  <c r="N32" s="1"/>
  <c r="U32" s="1"/>
  <c r="D31"/>
  <c r="K31" s="1"/>
  <c r="N31" s="1"/>
  <c r="D30"/>
  <c r="D28"/>
  <c r="D27"/>
  <c r="K27" s="1"/>
  <c r="N27" s="1"/>
  <c r="U27" s="1"/>
  <c r="D26"/>
  <c r="K26" s="1"/>
  <c r="N26" s="1"/>
  <c r="U26" s="1"/>
  <c r="D25"/>
  <c r="K25" s="1"/>
  <c r="N25" s="1"/>
  <c r="U25" s="1"/>
  <c r="D24"/>
  <c r="K24" s="1"/>
  <c r="N24" s="1"/>
  <c r="U24" s="1"/>
  <c r="D23"/>
  <c r="K23" s="1"/>
  <c r="N23" s="1"/>
  <c r="U23" s="1"/>
  <c r="D22"/>
  <c r="K22" s="1"/>
  <c r="N22" s="1"/>
  <c r="U22" s="1"/>
  <c r="D21"/>
  <c r="K21" s="1"/>
  <c r="N21" s="1"/>
  <c r="U21" s="1"/>
  <c r="D20"/>
  <c r="D10"/>
  <c r="D11"/>
  <c r="K11" s="1"/>
  <c r="N11" s="1"/>
  <c r="D12"/>
  <c r="K12" s="1"/>
  <c r="N12" s="1"/>
  <c r="U12" s="1"/>
  <c r="D13"/>
  <c r="K13" s="1"/>
  <c r="N13" s="1"/>
  <c r="U13" s="1"/>
  <c r="D14"/>
  <c r="K14" s="1"/>
  <c r="N14" s="1"/>
  <c r="U14" s="1"/>
  <c r="D15"/>
  <c r="K15" s="1"/>
  <c r="N15" s="1"/>
  <c r="U15" s="1"/>
  <c r="D16"/>
  <c r="K16" s="1"/>
  <c r="N16" s="1"/>
  <c r="U16" s="1"/>
  <c r="D17"/>
  <c r="K17" s="1"/>
  <c r="N17" s="1"/>
  <c r="U17" s="1"/>
  <c r="D18"/>
  <c r="K18" s="1"/>
  <c r="N18" s="1"/>
  <c r="D9"/>
  <c r="K39" l="1"/>
  <c r="N39" s="1"/>
  <c r="U39" s="1"/>
  <c r="K10"/>
  <c r="N10" s="1"/>
  <c r="U10" s="1"/>
  <c r="T131"/>
  <c r="U131" s="1"/>
  <c r="T207"/>
  <c r="U207" s="1"/>
  <c r="T242"/>
  <c r="U242" s="1"/>
  <c r="T285"/>
  <c r="U285" s="1"/>
  <c r="T336"/>
  <c r="U336" s="1"/>
  <c r="T344"/>
  <c r="U344" s="1"/>
  <c r="T270"/>
  <c r="U270" s="1"/>
  <c r="T338"/>
  <c r="U338" s="1"/>
  <c r="T206"/>
  <c r="U206" s="1"/>
  <c r="T249"/>
  <c r="U249" s="1"/>
  <c r="T267"/>
  <c r="U267" s="1"/>
  <c r="T205"/>
  <c r="U205" s="1"/>
  <c r="T213"/>
  <c r="U213" s="1"/>
  <c r="T248"/>
  <c r="U248" s="1"/>
  <c r="T291"/>
  <c r="U291" s="1"/>
  <c r="T334"/>
  <c r="U334" s="1"/>
  <c r="T342"/>
  <c r="U342" s="1"/>
  <c r="T211"/>
  <c r="U211" s="1"/>
  <c r="T246"/>
  <c r="U246" s="1"/>
  <c r="T272"/>
  <c r="U272" s="1"/>
  <c r="T281"/>
  <c r="U281" s="1"/>
  <c r="U331"/>
  <c r="T340"/>
  <c r="U340" s="1"/>
  <c r="N57"/>
  <c r="U59"/>
  <c r="T209"/>
  <c r="U209" s="1"/>
  <c r="T244"/>
  <c r="U244" s="1"/>
  <c r="T118"/>
  <c r="T210"/>
  <c r="U210" s="1"/>
  <c r="T271"/>
  <c r="U271" s="1"/>
  <c r="T318"/>
  <c r="U318" s="1"/>
  <c r="T326"/>
  <c r="U326" s="1"/>
  <c r="T335"/>
  <c r="U335" s="1"/>
  <c r="T339"/>
  <c r="U339" s="1"/>
  <c r="T343"/>
  <c r="U343" s="1"/>
  <c r="T273"/>
  <c r="U273" s="1"/>
  <c r="T341"/>
  <c r="U341" s="1"/>
  <c r="T243"/>
  <c r="U243" s="1"/>
  <c r="T269"/>
  <c r="U269" s="1"/>
  <c r="T320"/>
  <c r="U320" s="1"/>
  <c r="T337"/>
  <c r="U337" s="1"/>
  <c r="T363"/>
  <c r="U363" s="1"/>
  <c r="T49"/>
  <c r="U49" s="1"/>
  <c r="T53"/>
  <c r="U53" s="1"/>
  <c r="U31"/>
  <c r="T47"/>
  <c r="U47" s="1"/>
  <c r="T44"/>
  <c r="U44" s="1"/>
  <c r="T52"/>
  <c r="U52" s="1"/>
  <c r="U20"/>
  <c r="U19" s="1"/>
  <c r="N19"/>
  <c r="T18"/>
  <c r="U18" s="1"/>
  <c r="T11"/>
  <c r="U9"/>
  <c r="N8"/>
  <c r="O381"/>
  <c r="P381"/>
  <c r="Q381"/>
  <c r="R381"/>
  <c r="N29" l="1"/>
  <c r="N381" s="1"/>
  <c r="U29"/>
  <c r="T57"/>
  <c r="U118"/>
  <c r="U57" s="1"/>
  <c r="T29"/>
  <c r="T8"/>
  <c r="U11"/>
  <c r="U8" s="1"/>
  <c r="L379"/>
  <c r="L380"/>
  <c r="L59"/>
  <c r="L61"/>
  <c r="L63"/>
  <c r="L66"/>
  <c r="L68"/>
  <c r="L70"/>
  <c r="L72"/>
  <c r="L74"/>
  <c r="L76"/>
  <c r="L79"/>
  <c r="L81"/>
  <c r="L84"/>
  <c r="L86"/>
  <c r="L88"/>
  <c r="L90"/>
  <c r="L93"/>
  <c r="L95"/>
  <c r="L97"/>
  <c r="L99"/>
  <c r="L101"/>
  <c r="L104"/>
  <c r="L106"/>
  <c r="L108"/>
  <c r="L110"/>
  <c r="L112"/>
  <c r="L114"/>
  <c r="L117"/>
  <c r="L119"/>
  <c r="L121"/>
  <c r="L123"/>
  <c r="L125"/>
  <c r="L127"/>
  <c r="L129"/>
  <c r="L131"/>
  <c r="L134"/>
  <c r="L136"/>
  <c r="L138"/>
  <c r="L141"/>
  <c r="L143"/>
  <c r="L145"/>
  <c r="L147"/>
  <c r="L150"/>
  <c r="L152"/>
  <c r="L154"/>
  <c r="L157"/>
  <c r="L159"/>
  <c r="L161"/>
  <c r="L163"/>
  <c r="L165"/>
  <c r="L167"/>
  <c r="L170"/>
  <c r="L172"/>
  <c r="L174"/>
  <c r="L176"/>
  <c r="L178"/>
  <c r="L180"/>
  <c r="L182"/>
  <c r="L185"/>
  <c r="L187"/>
  <c r="L189"/>
  <c r="L192"/>
  <c r="L194"/>
  <c r="L196"/>
  <c r="L198"/>
  <c r="L200"/>
  <c r="L202"/>
  <c r="L205"/>
  <c r="L207"/>
  <c r="L209"/>
  <c r="L211"/>
  <c r="L213"/>
  <c r="L215"/>
  <c r="L218"/>
  <c r="L220"/>
  <c r="L222"/>
  <c r="L224"/>
  <c r="L226"/>
  <c r="L228"/>
  <c r="L230"/>
  <c r="L233"/>
  <c r="L235"/>
  <c r="L237"/>
  <c r="L239"/>
  <c r="L242"/>
  <c r="L244"/>
  <c r="L246"/>
  <c r="L248"/>
  <c r="L251"/>
  <c r="L253"/>
  <c r="L255"/>
  <c r="L257"/>
  <c r="L259"/>
  <c r="L261"/>
  <c r="L263"/>
  <c r="L265"/>
  <c r="L268"/>
  <c r="L270"/>
  <c r="L272"/>
  <c r="L275"/>
  <c r="L277"/>
  <c r="L279"/>
  <c r="L281"/>
  <c r="L283"/>
  <c r="L285"/>
  <c r="L287"/>
  <c r="L289"/>
  <c r="L291"/>
  <c r="L294"/>
  <c r="L296"/>
  <c r="L298"/>
  <c r="L300"/>
  <c r="L302"/>
  <c r="L304"/>
  <c r="L306"/>
  <c r="L308"/>
  <c r="L310"/>
  <c r="L312"/>
  <c r="L314"/>
  <c r="L316"/>
  <c r="L319"/>
  <c r="L321"/>
  <c r="L323"/>
  <c r="L325"/>
  <c r="L327"/>
  <c r="L329"/>
  <c r="L331"/>
  <c r="L334"/>
  <c r="L336"/>
  <c r="L338"/>
  <c r="L340"/>
  <c r="L342"/>
  <c r="L344"/>
  <c r="L347"/>
  <c r="L349"/>
  <c r="L351"/>
  <c r="L353"/>
  <c r="L355"/>
  <c r="L358"/>
  <c r="L360"/>
  <c r="L362"/>
  <c r="L364"/>
  <c r="L366"/>
  <c r="L369"/>
  <c r="L371"/>
  <c r="L373"/>
  <c r="L375"/>
  <c r="L377"/>
  <c r="L60"/>
  <c r="L62"/>
  <c r="L65"/>
  <c r="L67"/>
  <c r="L69"/>
  <c r="L71"/>
  <c r="L73"/>
  <c r="L75"/>
  <c r="L78"/>
  <c r="L80"/>
  <c r="L82"/>
  <c r="L85"/>
  <c r="L87"/>
  <c r="L89"/>
  <c r="L91"/>
  <c r="L94"/>
  <c r="L96"/>
  <c r="L98"/>
  <c r="L100"/>
  <c r="L103"/>
  <c r="L105"/>
  <c r="L107"/>
  <c r="L109"/>
  <c r="L111"/>
  <c r="L113"/>
  <c r="L115"/>
  <c r="L118"/>
  <c r="L120"/>
  <c r="L122"/>
  <c r="L124"/>
  <c r="L126"/>
  <c r="L128"/>
  <c r="L130"/>
  <c r="L133"/>
  <c r="L135"/>
  <c r="L137"/>
  <c r="L139"/>
  <c r="L142"/>
  <c r="L144"/>
  <c r="L146"/>
  <c r="L148"/>
  <c r="L151"/>
  <c r="L153"/>
  <c r="L155"/>
  <c r="L158"/>
  <c r="L160"/>
  <c r="L162"/>
  <c r="L164"/>
  <c r="L166"/>
  <c r="L168"/>
  <c r="L171"/>
  <c r="L173"/>
  <c r="L175"/>
  <c r="L177"/>
  <c r="L179"/>
  <c r="L181"/>
  <c r="L184"/>
  <c r="L186"/>
  <c r="L188"/>
  <c r="L191"/>
  <c r="L193"/>
  <c r="L195"/>
  <c r="L197"/>
  <c r="L199"/>
  <c r="L201"/>
  <c r="L203"/>
  <c r="L206"/>
  <c r="L208"/>
  <c r="L210"/>
  <c r="L212"/>
  <c r="L214"/>
  <c r="L216"/>
  <c r="L219"/>
  <c r="L221"/>
  <c r="L223"/>
  <c r="L225"/>
  <c r="L227"/>
  <c r="L229"/>
  <c r="L232"/>
  <c r="L234"/>
  <c r="L236"/>
  <c r="L238"/>
  <c r="L240"/>
  <c r="L243"/>
  <c r="L245"/>
  <c r="L247"/>
  <c r="L249"/>
  <c r="L252"/>
  <c r="L254"/>
  <c r="L256"/>
  <c r="L258"/>
  <c r="L260"/>
  <c r="L262"/>
  <c r="L264"/>
  <c r="L267"/>
  <c r="L269"/>
  <c r="L271"/>
  <c r="L273"/>
  <c r="L276"/>
  <c r="L278"/>
  <c r="L280"/>
  <c r="L282"/>
  <c r="L284"/>
  <c r="L286"/>
  <c r="L288"/>
  <c r="L290"/>
  <c r="L293"/>
  <c r="L295"/>
  <c r="L297"/>
  <c r="L299"/>
  <c r="L301"/>
  <c r="L303"/>
  <c r="L305"/>
  <c r="L307"/>
  <c r="L309"/>
  <c r="L311"/>
  <c r="L313"/>
  <c r="L315"/>
  <c r="L318"/>
  <c r="L320"/>
  <c r="L322"/>
  <c r="L324"/>
  <c r="L326"/>
  <c r="L328"/>
  <c r="L330"/>
  <c r="L332"/>
  <c r="L335"/>
  <c r="L337"/>
  <c r="L339"/>
  <c r="L341"/>
  <c r="L343"/>
  <c r="L346"/>
  <c r="L348"/>
  <c r="L350"/>
  <c r="L352"/>
  <c r="L354"/>
  <c r="L356"/>
  <c r="L359"/>
  <c r="L361"/>
  <c r="L363"/>
  <c r="L365"/>
  <c r="L367"/>
  <c r="L370"/>
  <c r="L372"/>
  <c r="L374"/>
  <c r="L376"/>
  <c r="L378"/>
  <c r="L31"/>
  <c r="L33"/>
  <c r="L35"/>
  <c r="L37"/>
  <c r="L39"/>
  <c r="L41"/>
  <c r="L43"/>
  <c r="L45"/>
  <c r="L47"/>
  <c r="L49"/>
  <c r="L51"/>
  <c r="L53"/>
  <c r="L55"/>
  <c r="L30"/>
  <c r="L32"/>
  <c r="L34"/>
  <c r="L36"/>
  <c r="L38"/>
  <c r="L40"/>
  <c r="L42"/>
  <c r="L44"/>
  <c r="L46"/>
  <c r="L48"/>
  <c r="L50"/>
  <c r="L52"/>
  <c r="L54"/>
  <c r="L56"/>
  <c r="L21"/>
  <c r="L23"/>
  <c r="L25"/>
  <c r="L27"/>
  <c r="L20"/>
  <c r="L22"/>
  <c r="L24"/>
  <c r="L26"/>
  <c r="L28"/>
  <c r="L18"/>
  <c r="L14"/>
  <c r="L9"/>
  <c r="L15"/>
  <c r="L13"/>
  <c r="L11"/>
  <c r="L12"/>
  <c r="L17"/>
  <c r="L10"/>
  <c r="L16"/>
  <c r="F24"/>
  <c r="F28"/>
  <c r="F21"/>
  <c r="F22"/>
  <c r="F23"/>
  <c r="F25"/>
  <c r="F26"/>
  <c r="F27"/>
  <c r="F20"/>
  <c r="C19"/>
  <c r="B19"/>
  <c r="C26" i="8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B8" i="7"/>
  <c r="C8"/>
  <c r="B29"/>
  <c r="C29"/>
  <c r="B57"/>
  <c r="C57"/>
  <c r="U381" l="1"/>
  <c r="T381"/>
  <c r="F60" i="8"/>
  <c r="G60" s="1"/>
  <c r="F88"/>
  <c r="G88" s="1"/>
  <c r="F98"/>
  <c r="G98" s="1"/>
  <c r="F94"/>
  <c r="G94" s="1"/>
  <c r="F109"/>
  <c r="G109" s="1"/>
  <c r="F115"/>
  <c r="G115" s="1"/>
  <c r="F126"/>
  <c r="G126" s="1"/>
  <c r="F122"/>
  <c r="G122" s="1"/>
  <c r="F137"/>
  <c r="G137" s="1"/>
  <c r="F141"/>
  <c r="G141" s="1"/>
  <c r="F173"/>
  <c r="G173" s="1"/>
  <c r="F67"/>
  <c r="G67" s="1"/>
  <c r="F89"/>
  <c r="G89" s="1"/>
  <c r="F95"/>
  <c r="G95" s="1"/>
  <c r="F110"/>
  <c r="G110" s="1"/>
  <c r="F102"/>
  <c r="G102" s="1"/>
  <c r="F123"/>
  <c r="G123" s="1"/>
  <c r="F131"/>
  <c r="G131" s="1"/>
  <c r="F146"/>
  <c r="G146" s="1"/>
  <c r="F142"/>
  <c r="G142" s="1"/>
  <c r="F149"/>
  <c r="G149" s="1"/>
  <c r="F160"/>
  <c r="G160" s="1"/>
  <c r="F178"/>
  <c r="G178" s="1"/>
  <c r="F170"/>
  <c r="G170" s="1"/>
  <c r="F189"/>
  <c r="G189" s="1"/>
  <c r="F190"/>
  <c r="G190" s="1"/>
  <c r="F208"/>
  <c r="G208" s="1"/>
  <c r="F222"/>
  <c r="G222" s="1"/>
  <c r="F233"/>
  <c r="G233" s="1"/>
  <c r="F263"/>
  <c r="G263" s="1"/>
  <c r="F255"/>
  <c r="G255" s="1"/>
  <c r="F270"/>
  <c r="G270" s="1"/>
  <c r="F287"/>
  <c r="G287" s="1"/>
  <c r="F279"/>
  <c r="G279" s="1"/>
  <c r="F313"/>
  <c r="G313" s="1"/>
  <c r="F301"/>
  <c r="G301" s="1"/>
  <c r="F293"/>
  <c r="G293" s="1"/>
  <c r="F325"/>
  <c r="G325" s="1"/>
  <c r="F340"/>
  <c r="G340" s="1"/>
  <c r="F336"/>
  <c r="G336" s="1"/>
  <c r="F350"/>
  <c r="G350" s="1"/>
  <c r="F346"/>
  <c r="G346" s="1"/>
  <c r="F364"/>
  <c r="G364" s="1"/>
  <c r="F360"/>
  <c r="G360" s="1"/>
  <c r="F367"/>
  <c r="G367" s="1"/>
  <c r="F374"/>
  <c r="G374" s="1"/>
  <c r="F354"/>
  <c r="G354" s="1"/>
  <c r="F58"/>
  <c r="G58" s="1"/>
  <c r="F72"/>
  <c r="G72" s="1"/>
  <c r="F68"/>
  <c r="G68" s="1"/>
  <c r="F64"/>
  <c r="G64" s="1"/>
  <c r="F80"/>
  <c r="G80" s="1"/>
  <c r="F82"/>
  <c r="G82" s="1"/>
  <c r="F86"/>
  <c r="G86" s="1"/>
  <c r="F91"/>
  <c r="G91" s="1"/>
  <c r="F96"/>
  <c r="G96" s="1"/>
  <c r="F92"/>
  <c r="G92" s="1"/>
  <c r="F111"/>
  <c r="G111" s="1"/>
  <c r="F107"/>
  <c r="G107" s="1"/>
  <c r="F103"/>
  <c r="G103" s="1"/>
  <c r="F128"/>
  <c r="G128" s="1"/>
  <c r="F124"/>
  <c r="G124" s="1"/>
  <c r="F120"/>
  <c r="G120" s="1"/>
  <c r="F116"/>
  <c r="G116" s="1"/>
  <c r="F135"/>
  <c r="G135" s="1"/>
  <c r="F139"/>
  <c r="G139" s="1"/>
  <c r="F143"/>
  <c r="G143" s="1"/>
  <c r="F148"/>
  <c r="G148" s="1"/>
  <c r="F150"/>
  <c r="G150" s="1"/>
  <c r="F165"/>
  <c r="G165" s="1"/>
  <c r="F161"/>
  <c r="G161" s="1"/>
  <c r="F157"/>
  <c r="G157" s="1"/>
  <c r="F179"/>
  <c r="G179" s="1"/>
  <c r="F175"/>
  <c r="G175" s="1"/>
  <c r="F171"/>
  <c r="G171" s="1"/>
  <c r="F187"/>
  <c r="G187" s="1"/>
  <c r="F183"/>
  <c r="G183" s="1"/>
  <c r="F199"/>
  <c r="G199" s="1"/>
  <c r="F195"/>
  <c r="G195" s="1"/>
  <c r="F191"/>
  <c r="G191" s="1"/>
  <c r="F213"/>
  <c r="G213" s="1"/>
  <c r="F209"/>
  <c r="G209" s="1"/>
  <c r="F205"/>
  <c r="G205" s="1"/>
  <c r="F227"/>
  <c r="G227" s="1"/>
  <c r="F223"/>
  <c r="G223" s="1"/>
  <c r="F219"/>
  <c r="G219" s="1"/>
  <c r="F238"/>
  <c r="G238" s="1"/>
  <c r="F234"/>
  <c r="G234" s="1"/>
  <c r="F240"/>
  <c r="G240" s="1"/>
  <c r="F244"/>
  <c r="G244" s="1"/>
  <c r="F249"/>
  <c r="G249" s="1"/>
  <c r="F260"/>
  <c r="G260" s="1"/>
  <c r="F256"/>
  <c r="G256" s="1"/>
  <c r="F252"/>
  <c r="G252" s="1"/>
  <c r="F271"/>
  <c r="G271" s="1"/>
  <c r="F267"/>
  <c r="G267" s="1"/>
  <c r="F288"/>
  <c r="G288" s="1"/>
  <c r="F284"/>
  <c r="G284" s="1"/>
  <c r="F280"/>
  <c r="G280" s="1"/>
  <c r="F276"/>
  <c r="G276" s="1"/>
  <c r="F314"/>
  <c r="G314" s="1"/>
  <c r="F310"/>
  <c r="G310" s="1"/>
  <c r="F306"/>
  <c r="G306" s="1"/>
  <c r="F302"/>
  <c r="G302" s="1"/>
  <c r="F298"/>
  <c r="G298" s="1"/>
  <c r="F294"/>
  <c r="G294" s="1"/>
  <c r="F330"/>
  <c r="G330" s="1"/>
  <c r="F326"/>
  <c r="G326" s="1"/>
  <c r="F322"/>
  <c r="G322" s="1"/>
  <c r="F318"/>
  <c r="G318" s="1"/>
  <c r="F341"/>
  <c r="G341" s="1"/>
  <c r="F337"/>
  <c r="G337" s="1"/>
  <c r="F333"/>
  <c r="G333" s="1"/>
  <c r="F351"/>
  <c r="G351" s="1"/>
  <c r="F347"/>
  <c r="G347" s="1"/>
  <c r="F365"/>
  <c r="G365" s="1"/>
  <c r="F361"/>
  <c r="G361" s="1"/>
  <c r="F357"/>
  <c r="G357" s="1"/>
  <c r="F375"/>
  <c r="G375" s="1"/>
  <c r="F371"/>
  <c r="G371" s="1"/>
  <c r="F57"/>
  <c r="G57" s="1"/>
  <c r="D19" i="7"/>
  <c r="F63" i="8"/>
  <c r="G63" s="1"/>
  <c r="F70"/>
  <c r="G70" s="1"/>
  <c r="F66"/>
  <c r="G66" s="1"/>
  <c r="F78"/>
  <c r="G78" s="1"/>
  <c r="F84"/>
  <c r="G84" s="1"/>
  <c r="F113"/>
  <c r="G113" s="1"/>
  <c r="F105"/>
  <c r="G105" s="1"/>
  <c r="F118"/>
  <c r="G118" s="1"/>
  <c r="F133"/>
  <c r="G133" s="1"/>
  <c r="F145"/>
  <c r="G145" s="1"/>
  <c r="F152"/>
  <c r="G152" s="1"/>
  <c r="F155"/>
  <c r="G155" s="1"/>
  <c r="F163"/>
  <c r="G163" s="1"/>
  <c r="F159"/>
  <c r="G159" s="1"/>
  <c r="F168"/>
  <c r="G168" s="1"/>
  <c r="F177"/>
  <c r="G177" s="1"/>
  <c r="F169"/>
  <c r="G169" s="1"/>
  <c r="F185"/>
  <c r="G185" s="1"/>
  <c r="F201"/>
  <c r="G201" s="1"/>
  <c r="F197"/>
  <c r="G197" s="1"/>
  <c r="F193"/>
  <c r="G193" s="1"/>
  <c r="F203"/>
  <c r="G203" s="1"/>
  <c r="F211"/>
  <c r="G211" s="1"/>
  <c r="F207"/>
  <c r="G207" s="1"/>
  <c r="F216"/>
  <c r="G216" s="1"/>
  <c r="F225"/>
  <c r="G225" s="1"/>
  <c r="F221"/>
  <c r="G221" s="1"/>
  <c r="F217"/>
  <c r="G217" s="1"/>
  <c r="F236"/>
  <c r="G236" s="1"/>
  <c r="F232"/>
  <c r="G232" s="1"/>
  <c r="F246"/>
  <c r="G246" s="1"/>
  <c r="F242"/>
  <c r="G242" s="1"/>
  <c r="F262"/>
  <c r="G262" s="1"/>
  <c r="F258"/>
  <c r="G258" s="1"/>
  <c r="F254"/>
  <c r="G254" s="1"/>
  <c r="F250"/>
  <c r="G250" s="1"/>
  <c r="F269"/>
  <c r="G269" s="1"/>
  <c r="F273"/>
  <c r="G273" s="1"/>
  <c r="F286"/>
  <c r="G286" s="1"/>
  <c r="F282"/>
  <c r="G282" s="1"/>
  <c r="F278"/>
  <c r="G278" s="1"/>
  <c r="F274"/>
  <c r="G274" s="1"/>
  <c r="F312"/>
  <c r="G312" s="1"/>
  <c r="F308"/>
  <c r="G308" s="1"/>
  <c r="F304"/>
  <c r="G304" s="1"/>
  <c r="F300"/>
  <c r="G300" s="1"/>
  <c r="F296"/>
  <c r="G296" s="1"/>
  <c r="F292"/>
  <c r="G292" s="1"/>
  <c r="F328"/>
  <c r="G328" s="1"/>
  <c r="F324"/>
  <c r="G324" s="1"/>
  <c r="F320"/>
  <c r="G320" s="1"/>
  <c r="F332"/>
  <c r="G332" s="1"/>
  <c r="F339"/>
  <c r="G339" s="1"/>
  <c r="F335"/>
  <c r="G335" s="1"/>
  <c r="F353"/>
  <c r="G353" s="1"/>
  <c r="F349"/>
  <c r="G349" s="1"/>
  <c r="F345"/>
  <c r="G345" s="1"/>
  <c r="F363"/>
  <c r="G363" s="1"/>
  <c r="F359"/>
  <c r="G359" s="1"/>
  <c r="F377"/>
  <c r="G377" s="1"/>
  <c r="F373"/>
  <c r="G373" s="1"/>
  <c r="F369"/>
  <c r="G369" s="1"/>
  <c r="F368"/>
  <c r="G368" s="1"/>
  <c r="F61"/>
  <c r="G61" s="1"/>
  <c r="F71"/>
  <c r="G71" s="1"/>
  <c r="F74"/>
  <c r="G74" s="1"/>
  <c r="F79"/>
  <c r="G79" s="1"/>
  <c r="F85"/>
  <c r="G85" s="1"/>
  <c r="F99"/>
  <c r="G99" s="1"/>
  <c r="F101"/>
  <c r="G101" s="1"/>
  <c r="F106"/>
  <c r="G106" s="1"/>
  <c r="F127"/>
  <c r="G127" s="1"/>
  <c r="F119"/>
  <c r="G119" s="1"/>
  <c r="F134"/>
  <c r="G134" s="1"/>
  <c r="F153"/>
  <c r="G153" s="1"/>
  <c r="F164"/>
  <c r="G164" s="1"/>
  <c r="F156"/>
  <c r="G156" s="1"/>
  <c r="F174"/>
  <c r="G174" s="1"/>
  <c r="F186"/>
  <c r="G186" s="1"/>
  <c r="F198"/>
  <c r="G198" s="1"/>
  <c r="F194"/>
  <c r="G194" s="1"/>
  <c r="F212"/>
  <c r="G212" s="1"/>
  <c r="F204"/>
  <c r="G204" s="1"/>
  <c r="F226"/>
  <c r="G226" s="1"/>
  <c r="F218"/>
  <c r="G218" s="1"/>
  <c r="F237"/>
  <c r="G237" s="1"/>
  <c r="F247"/>
  <c r="G247" s="1"/>
  <c r="F243"/>
  <c r="G243" s="1"/>
  <c r="F259"/>
  <c r="G259" s="1"/>
  <c r="F251"/>
  <c r="G251" s="1"/>
  <c r="F266"/>
  <c r="G266" s="1"/>
  <c r="F283"/>
  <c r="G283" s="1"/>
  <c r="F275"/>
  <c r="G275" s="1"/>
  <c r="F309"/>
  <c r="G309" s="1"/>
  <c r="F305"/>
  <c r="G305" s="1"/>
  <c r="F297"/>
  <c r="G297" s="1"/>
  <c r="F329"/>
  <c r="G329" s="1"/>
  <c r="F321"/>
  <c r="G321" s="1"/>
  <c r="F317"/>
  <c r="G317" s="1"/>
  <c r="F344"/>
  <c r="G344" s="1"/>
  <c r="F370"/>
  <c r="G370" s="1"/>
  <c r="F59"/>
  <c r="G59" s="1"/>
  <c r="F73"/>
  <c r="G73" s="1"/>
  <c r="F69"/>
  <c r="G69" s="1"/>
  <c r="F65"/>
  <c r="G65" s="1"/>
  <c r="F76"/>
  <c r="G76" s="1"/>
  <c r="F77"/>
  <c r="G77" s="1"/>
  <c r="F87"/>
  <c r="G87" s="1"/>
  <c r="F83"/>
  <c r="G83" s="1"/>
  <c r="F97"/>
  <c r="G97" s="1"/>
  <c r="F93"/>
  <c r="G93" s="1"/>
  <c r="F112"/>
  <c r="G112" s="1"/>
  <c r="F108"/>
  <c r="G108" s="1"/>
  <c r="F104"/>
  <c r="G104" s="1"/>
  <c r="F129"/>
  <c r="G129" s="1"/>
  <c r="F125"/>
  <c r="G125" s="1"/>
  <c r="F121"/>
  <c r="G121" s="1"/>
  <c r="F117"/>
  <c r="G117" s="1"/>
  <c r="F136"/>
  <c r="G136" s="1"/>
  <c r="F132"/>
  <c r="G132" s="1"/>
  <c r="F144"/>
  <c r="G144" s="1"/>
  <c r="F140"/>
  <c r="G140" s="1"/>
  <c r="F151"/>
  <c r="G151" s="1"/>
  <c r="F166"/>
  <c r="G166" s="1"/>
  <c r="F162"/>
  <c r="G162" s="1"/>
  <c r="F158"/>
  <c r="G158" s="1"/>
  <c r="F180"/>
  <c r="G180" s="1"/>
  <c r="F176"/>
  <c r="G176" s="1"/>
  <c r="F172"/>
  <c r="G172" s="1"/>
  <c r="F182"/>
  <c r="G182" s="1"/>
  <c r="F184"/>
  <c r="G184" s="1"/>
  <c r="F200"/>
  <c r="G200" s="1"/>
  <c r="F196"/>
  <c r="G196" s="1"/>
  <c r="F192"/>
  <c r="G192" s="1"/>
  <c r="F214"/>
  <c r="G214" s="1"/>
  <c r="F210"/>
  <c r="G210" s="1"/>
  <c r="F206"/>
  <c r="G206" s="1"/>
  <c r="F228"/>
  <c r="G228" s="1"/>
  <c r="F224"/>
  <c r="G224" s="1"/>
  <c r="F220"/>
  <c r="G220" s="1"/>
  <c r="F230"/>
  <c r="G230" s="1"/>
  <c r="F235"/>
  <c r="G235" s="1"/>
  <c r="F231"/>
  <c r="G231" s="1"/>
  <c r="F245"/>
  <c r="G245" s="1"/>
  <c r="F241"/>
  <c r="G241" s="1"/>
  <c r="F261"/>
  <c r="G261" s="1"/>
  <c r="F257"/>
  <c r="G257" s="1"/>
  <c r="F253"/>
  <c r="G253" s="1"/>
  <c r="F265"/>
  <c r="G265" s="1"/>
  <c r="F268"/>
  <c r="G268" s="1"/>
  <c r="F289"/>
  <c r="G289" s="1"/>
  <c r="F285"/>
  <c r="G285" s="1"/>
  <c r="F281"/>
  <c r="G281" s="1"/>
  <c r="F277"/>
  <c r="G277" s="1"/>
  <c r="F291"/>
  <c r="G291" s="1"/>
  <c r="F311"/>
  <c r="G311" s="1"/>
  <c r="F307"/>
  <c r="G307" s="1"/>
  <c r="F303"/>
  <c r="G303" s="1"/>
  <c r="F299"/>
  <c r="G299" s="1"/>
  <c r="F295"/>
  <c r="G295" s="1"/>
  <c r="F316"/>
  <c r="G316" s="1"/>
  <c r="F327"/>
  <c r="G327" s="1"/>
  <c r="F323"/>
  <c r="G323" s="1"/>
  <c r="F319"/>
  <c r="G319" s="1"/>
  <c r="F342"/>
  <c r="G342" s="1"/>
  <c r="F338"/>
  <c r="G338" s="1"/>
  <c r="F334"/>
  <c r="G334" s="1"/>
  <c r="F352"/>
  <c r="G352" s="1"/>
  <c r="F348"/>
  <c r="G348" s="1"/>
  <c r="F356"/>
  <c r="G356" s="1"/>
  <c r="F362"/>
  <c r="G362" s="1"/>
  <c r="F358"/>
  <c r="G358" s="1"/>
  <c r="F376"/>
  <c r="G376" s="1"/>
  <c r="F372"/>
  <c r="G372" s="1"/>
  <c r="F378"/>
  <c r="G378" s="1"/>
  <c r="C57"/>
  <c r="D57" s="1"/>
  <c r="C370"/>
  <c r="D370" s="1"/>
  <c r="I370" s="1"/>
  <c r="C361"/>
  <c r="D361" s="1"/>
  <c r="C352"/>
  <c r="D352" s="1"/>
  <c r="C339"/>
  <c r="D339" s="1"/>
  <c r="C330"/>
  <c r="D330" s="1"/>
  <c r="C326"/>
  <c r="D326" s="1"/>
  <c r="C313"/>
  <c r="D313" s="1"/>
  <c r="C305"/>
  <c r="D305" s="1"/>
  <c r="C301"/>
  <c r="D301" s="1"/>
  <c r="C288"/>
  <c r="D288" s="1"/>
  <c r="C280"/>
  <c r="D280" s="1"/>
  <c r="C271"/>
  <c r="D271" s="1"/>
  <c r="C262"/>
  <c r="D262" s="1"/>
  <c r="I262" s="1"/>
  <c r="C254"/>
  <c r="D254" s="1"/>
  <c r="C250"/>
  <c r="D250" s="1"/>
  <c r="C241"/>
  <c r="D241" s="1"/>
  <c r="C232"/>
  <c r="D232" s="1"/>
  <c r="C223"/>
  <c r="D223" s="1"/>
  <c r="C214"/>
  <c r="D214" s="1"/>
  <c r="C206"/>
  <c r="D206" s="1"/>
  <c r="C193"/>
  <c r="D193" s="1"/>
  <c r="C184"/>
  <c r="D184" s="1"/>
  <c r="C175"/>
  <c r="D175" s="1"/>
  <c r="C166"/>
  <c r="D166" s="1"/>
  <c r="C158"/>
  <c r="D158" s="1"/>
  <c r="C149"/>
  <c r="D149" s="1"/>
  <c r="C140"/>
  <c r="D140" s="1"/>
  <c r="C131"/>
  <c r="D131" s="1"/>
  <c r="C122"/>
  <c r="D122" s="1"/>
  <c r="C109"/>
  <c r="D109" s="1"/>
  <c r="C101"/>
  <c r="D101" s="1"/>
  <c r="C92"/>
  <c r="D92" s="1"/>
  <c r="C83"/>
  <c r="D83" s="1"/>
  <c r="C73"/>
  <c r="D73" s="1"/>
  <c r="C69"/>
  <c r="D69" s="1"/>
  <c r="C65"/>
  <c r="D65" s="1"/>
  <c r="C375"/>
  <c r="D375" s="1"/>
  <c r="C367"/>
  <c r="D367" s="1"/>
  <c r="C358"/>
  <c r="D358" s="1"/>
  <c r="C349"/>
  <c r="D349" s="1"/>
  <c r="C340"/>
  <c r="D340" s="1"/>
  <c r="C336"/>
  <c r="D336" s="1"/>
  <c r="I336" s="1"/>
  <c r="C323"/>
  <c r="D323" s="1"/>
  <c r="C314"/>
  <c r="D314" s="1"/>
  <c r="C306"/>
  <c r="D306" s="1"/>
  <c r="C298"/>
  <c r="D298" s="1"/>
  <c r="C294"/>
  <c r="D294" s="1"/>
  <c r="C285"/>
  <c r="D285" s="1"/>
  <c r="C277"/>
  <c r="D277" s="1"/>
  <c r="C268"/>
  <c r="D268" s="1"/>
  <c r="C259"/>
  <c r="D259" s="1"/>
  <c r="C251"/>
  <c r="D251" s="1"/>
  <c r="C246"/>
  <c r="D246" s="1"/>
  <c r="C237"/>
  <c r="D237" s="1"/>
  <c r="C228"/>
  <c r="D228" s="1"/>
  <c r="C220"/>
  <c r="D220" s="1"/>
  <c r="C207"/>
  <c r="D207" s="1"/>
  <c r="C198"/>
  <c r="D198" s="1"/>
  <c r="C190"/>
  <c r="D190" s="1"/>
  <c r="C180"/>
  <c r="D180" s="1"/>
  <c r="C172"/>
  <c r="D172" s="1"/>
  <c r="I172" s="1"/>
  <c r="C168"/>
  <c r="D168" s="1"/>
  <c r="C159"/>
  <c r="D159" s="1"/>
  <c r="C150"/>
  <c r="D150" s="1"/>
  <c r="C145"/>
  <c r="D145" s="1"/>
  <c r="C141"/>
  <c r="D141" s="1"/>
  <c r="C136"/>
  <c r="D136" s="1"/>
  <c r="C132"/>
  <c r="D132" s="1"/>
  <c r="C123"/>
  <c r="D123" s="1"/>
  <c r="C119"/>
  <c r="D119" s="1"/>
  <c r="C115"/>
  <c r="D115" s="1"/>
  <c r="C110"/>
  <c r="D110" s="1"/>
  <c r="C106"/>
  <c r="D106" s="1"/>
  <c r="C102"/>
  <c r="D102" s="1"/>
  <c r="I102" s="1"/>
  <c r="C97"/>
  <c r="D97" s="1"/>
  <c r="C93"/>
  <c r="D93" s="1"/>
  <c r="C88"/>
  <c r="D88" s="1"/>
  <c r="C84"/>
  <c r="D84" s="1"/>
  <c r="C79"/>
  <c r="D79" s="1"/>
  <c r="C74"/>
  <c r="D74" s="1"/>
  <c r="C70"/>
  <c r="D70" s="1"/>
  <c r="C66"/>
  <c r="D66" s="1"/>
  <c r="C61"/>
  <c r="D61" s="1"/>
  <c r="C378"/>
  <c r="D378" s="1"/>
  <c r="C376"/>
  <c r="D376" s="1"/>
  <c r="C372"/>
  <c r="D372" s="1"/>
  <c r="C368"/>
  <c r="D368" s="1"/>
  <c r="C363"/>
  <c r="D363" s="1"/>
  <c r="C359"/>
  <c r="D359" s="1"/>
  <c r="C354"/>
  <c r="D354" s="1"/>
  <c r="C350"/>
  <c r="D350" s="1"/>
  <c r="C346"/>
  <c r="D346" s="1"/>
  <c r="C341"/>
  <c r="D341" s="1"/>
  <c r="C337"/>
  <c r="D337" s="1"/>
  <c r="I337" s="1"/>
  <c r="C333"/>
  <c r="D333" s="1"/>
  <c r="C328"/>
  <c r="D328" s="1"/>
  <c r="C324"/>
  <c r="D324" s="1"/>
  <c r="C320"/>
  <c r="D320" s="1"/>
  <c r="C316"/>
  <c r="D316" s="1"/>
  <c r="C311"/>
  <c r="D311" s="1"/>
  <c r="C307"/>
  <c r="D307" s="1"/>
  <c r="I307" s="1"/>
  <c r="C303"/>
  <c r="D303" s="1"/>
  <c r="C299"/>
  <c r="D299" s="1"/>
  <c r="C295"/>
  <c r="D295" s="1"/>
  <c r="C291"/>
  <c r="D291" s="1"/>
  <c r="C286"/>
  <c r="D286" s="1"/>
  <c r="C282"/>
  <c r="D282" s="1"/>
  <c r="C278"/>
  <c r="D278" s="1"/>
  <c r="C274"/>
  <c r="D274" s="1"/>
  <c r="C269"/>
  <c r="D269" s="1"/>
  <c r="C265"/>
  <c r="D265" s="1"/>
  <c r="C260"/>
  <c r="D260" s="1"/>
  <c r="C256"/>
  <c r="D256" s="1"/>
  <c r="C252"/>
  <c r="D252" s="1"/>
  <c r="C247"/>
  <c r="D247" s="1"/>
  <c r="C243"/>
  <c r="D243" s="1"/>
  <c r="C238"/>
  <c r="D238" s="1"/>
  <c r="C234"/>
  <c r="D234" s="1"/>
  <c r="C230"/>
  <c r="D230" s="1"/>
  <c r="C225"/>
  <c r="D225" s="1"/>
  <c r="C221"/>
  <c r="D221" s="1"/>
  <c r="C217"/>
  <c r="D217" s="1"/>
  <c r="C212"/>
  <c r="D212" s="1"/>
  <c r="C208"/>
  <c r="D208" s="1"/>
  <c r="C204"/>
  <c r="D204" s="1"/>
  <c r="C199"/>
  <c r="D199" s="1"/>
  <c r="C195"/>
  <c r="D195" s="1"/>
  <c r="C191"/>
  <c r="D191" s="1"/>
  <c r="C186"/>
  <c r="D186" s="1"/>
  <c r="C182"/>
  <c r="D182" s="1"/>
  <c r="C177"/>
  <c r="D177" s="1"/>
  <c r="C173"/>
  <c r="D173" s="1"/>
  <c r="C169"/>
  <c r="D169" s="1"/>
  <c r="I169" s="1"/>
  <c r="C164"/>
  <c r="D164" s="1"/>
  <c r="C160"/>
  <c r="D160" s="1"/>
  <c r="C156"/>
  <c r="D156" s="1"/>
  <c r="C151"/>
  <c r="D151" s="1"/>
  <c r="C146"/>
  <c r="D146" s="1"/>
  <c r="C142"/>
  <c r="D142" s="1"/>
  <c r="C137"/>
  <c r="D137" s="1"/>
  <c r="C133"/>
  <c r="D133" s="1"/>
  <c r="I133" s="1"/>
  <c r="C128"/>
  <c r="D128" s="1"/>
  <c r="C124"/>
  <c r="D124" s="1"/>
  <c r="C120"/>
  <c r="D120" s="1"/>
  <c r="C116"/>
  <c r="D116" s="1"/>
  <c r="C111"/>
  <c r="D111" s="1"/>
  <c r="C107"/>
  <c r="D107" s="1"/>
  <c r="C103"/>
  <c r="D103" s="1"/>
  <c r="C98"/>
  <c r="D98" s="1"/>
  <c r="C94"/>
  <c r="D94" s="1"/>
  <c r="C89"/>
  <c r="D89" s="1"/>
  <c r="C85"/>
  <c r="D85" s="1"/>
  <c r="C80"/>
  <c r="D80" s="1"/>
  <c r="C76"/>
  <c r="D76" s="1"/>
  <c r="C71"/>
  <c r="D71" s="1"/>
  <c r="C67"/>
  <c r="D67" s="1"/>
  <c r="C63"/>
  <c r="D63" s="1"/>
  <c r="C58"/>
  <c r="D58" s="1"/>
  <c r="C374"/>
  <c r="D374" s="1"/>
  <c r="C365"/>
  <c r="D365" s="1"/>
  <c r="C357"/>
  <c r="D357" s="1"/>
  <c r="C348"/>
  <c r="D348" s="1"/>
  <c r="C344"/>
  <c r="D344" s="1"/>
  <c r="C335"/>
  <c r="D335" s="1"/>
  <c r="C322"/>
  <c r="D322" s="1"/>
  <c r="C318"/>
  <c r="D318" s="1"/>
  <c r="C309"/>
  <c r="D309" s="1"/>
  <c r="C297"/>
  <c r="D297" s="1"/>
  <c r="C293"/>
  <c r="D293" s="1"/>
  <c r="C284"/>
  <c r="D284" s="1"/>
  <c r="C276"/>
  <c r="D276" s="1"/>
  <c r="C267"/>
  <c r="D267" s="1"/>
  <c r="C258"/>
  <c r="D258" s="1"/>
  <c r="C245"/>
  <c r="D245" s="1"/>
  <c r="C236"/>
  <c r="D236" s="1"/>
  <c r="C227"/>
  <c r="D227" s="1"/>
  <c r="C219"/>
  <c r="D219" s="1"/>
  <c r="C210"/>
  <c r="D210" s="1"/>
  <c r="C201"/>
  <c r="D201" s="1"/>
  <c r="I201" s="1"/>
  <c r="C197"/>
  <c r="D197" s="1"/>
  <c r="C189"/>
  <c r="D189" s="1"/>
  <c r="C179"/>
  <c r="D179" s="1"/>
  <c r="C171"/>
  <c r="D171" s="1"/>
  <c r="C162"/>
  <c r="D162" s="1"/>
  <c r="C153"/>
  <c r="D153" s="1"/>
  <c r="C144"/>
  <c r="D144" s="1"/>
  <c r="C135"/>
  <c r="D135" s="1"/>
  <c r="C126"/>
  <c r="D126" s="1"/>
  <c r="C118"/>
  <c r="D118" s="1"/>
  <c r="C113"/>
  <c r="D113" s="1"/>
  <c r="C105"/>
  <c r="D105" s="1"/>
  <c r="C96"/>
  <c r="D96" s="1"/>
  <c r="C87"/>
  <c r="D87" s="1"/>
  <c r="C78"/>
  <c r="D78" s="1"/>
  <c r="C60"/>
  <c r="D60" s="1"/>
  <c r="C371"/>
  <c r="D371" s="1"/>
  <c r="C362"/>
  <c r="D362" s="1"/>
  <c r="C353"/>
  <c r="D353" s="1"/>
  <c r="C345"/>
  <c r="D345" s="1"/>
  <c r="C332"/>
  <c r="D332" s="1"/>
  <c r="C327"/>
  <c r="D327" s="1"/>
  <c r="C319"/>
  <c r="D319" s="1"/>
  <c r="C310"/>
  <c r="D310" s="1"/>
  <c r="C302"/>
  <c r="D302" s="1"/>
  <c r="C289"/>
  <c r="D289" s="1"/>
  <c r="C281"/>
  <c r="D281" s="1"/>
  <c r="C273"/>
  <c r="D273" s="1"/>
  <c r="C263"/>
  <c r="D263" s="1"/>
  <c r="C255"/>
  <c r="D255" s="1"/>
  <c r="C242"/>
  <c r="D242" s="1"/>
  <c r="C233"/>
  <c r="D233" s="1"/>
  <c r="C224"/>
  <c r="D224" s="1"/>
  <c r="C216"/>
  <c r="D216" s="1"/>
  <c r="C211"/>
  <c r="D211" s="1"/>
  <c r="C203"/>
  <c r="D203" s="1"/>
  <c r="C194"/>
  <c r="D194" s="1"/>
  <c r="C185"/>
  <c r="D185" s="1"/>
  <c r="C176"/>
  <c r="D176" s="1"/>
  <c r="C163"/>
  <c r="D163" s="1"/>
  <c r="C155"/>
  <c r="D155" s="1"/>
  <c r="C127"/>
  <c r="D127" s="1"/>
  <c r="C377"/>
  <c r="D377" s="1"/>
  <c r="C373"/>
  <c r="D373" s="1"/>
  <c r="C369"/>
  <c r="D369" s="1"/>
  <c r="C364"/>
  <c r="D364" s="1"/>
  <c r="C360"/>
  <c r="D360" s="1"/>
  <c r="I360" s="1"/>
  <c r="C356"/>
  <c r="D356" s="1"/>
  <c r="C351"/>
  <c r="D351" s="1"/>
  <c r="C347"/>
  <c r="D347" s="1"/>
  <c r="C342"/>
  <c r="D342" s="1"/>
  <c r="C338"/>
  <c r="D338" s="1"/>
  <c r="C334"/>
  <c r="D334" s="1"/>
  <c r="C329"/>
  <c r="D329" s="1"/>
  <c r="C325"/>
  <c r="D325" s="1"/>
  <c r="C321"/>
  <c r="D321" s="1"/>
  <c r="C317"/>
  <c r="D317" s="1"/>
  <c r="C312"/>
  <c r="D312" s="1"/>
  <c r="C308"/>
  <c r="D308" s="1"/>
  <c r="C304"/>
  <c r="D304" s="1"/>
  <c r="C300"/>
  <c r="D300" s="1"/>
  <c r="C296"/>
  <c r="D296" s="1"/>
  <c r="C292"/>
  <c r="D292" s="1"/>
  <c r="C287"/>
  <c r="D287" s="1"/>
  <c r="C283"/>
  <c r="D283" s="1"/>
  <c r="C279"/>
  <c r="D279" s="1"/>
  <c r="C275"/>
  <c r="D275" s="1"/>
  <c r="C270"/>
  <c r="D270" s="1"/>
  <c r="C266"/>
  <c r="D266" s="1"/>
  <c r="C261"/>
  <c r="D261" s="1"/>
  <c r="C257"/>
  <c r="D257" s="1"/>
  <c r="C253"/>
  <c r="D253" s="1"/>
  <c r="C249"/>
  <c r="D249" s="1"/>
  <c r="C244"/>
  <c r="D244" s="1"/>
  <c r="C240"/>
  <c r="D240" s="1"/>
  <c r="C235"/>
  <c r="D235" s="1"/>
  <c r="C231"/>
  <c r="D231" s="1"/>
  <c r="C226"/>
  <c r="D226" s="1"/>
  <c r="C222"/>
  <c r="D222" s="1"/>
  <c r="I222" s="1"/>
  <c r="C218"/>
  <c r="D218" s="1"/>
  <c r="C213"/>
  <c r="D213" s="1"/>
  <c r="C209"/>
  <c r="D209" s="1"/>
  <c r="C205"/>
  <c r="D205" s="1"/>
  <c r="C200"/>
  <c r="D200" s="1"/>
  <c r="C196"/>
  <c r="D196" s="1"/>
  <c r="C192"/>
  <c r="D192" s="1"/>
  <c r="C187"/>
  <c r="D187" s="1"/>
  <c r="I187" s="1"/>
  <c r="C183"/>
  <c r="D183" s="1"/>
  <c r="C178"/>
  <c r="D178" s="1"/>
  <c r="C174"/>
  <c r="D174" s="1"/>
  <c r="C170"/>
  <c r="D170" s="1"/>
  <c r="I170" s="1"/>
  <c r="C165"/>
  <c r="D165" s="1"/>
  <c r="C161"/>
  <c r="D161" s="1"/>
  <c r="C157"/>
  <c r="D157" s="1"/>
  <c r="C152"/>
  <c r="D152" s="1"/>
  <c r="C148"/>
  <c r="D148" s="1"/>
  <c r="C143"/>
  <c r="D143" s="1"/>
  <c r="C139"/>
  <c r="D139" s="1"/>
  <c r="C134"/>
  <c r="D134" s="1"/>
  <c r="C129"/>
  <c r="D129" s="1"/>
  <c r="C125"/>
  <c r="D125" s="1"/>
  <c r="C121"/>
  <c r="D121" s="1"/>
  <c r="C117"/>
  <c r="D117" s="1"/>
  <c r="C112"/>
  <c r="D112" s="1"/>
  <c r="C108"/>
  <c r="D108" s="1"/>
  <c r="C104"/>
  <c r="D104" s="1"/>
  <c r="C99"/>
  <c r="D99" s="1"/>
  <c r="C95"/>
  <c r="D95" s="1"/>
  <c r="C91"/>
  <c r="D91" s="1"/>
  <c r="C86"/>
  <c r="D86" s="1"/>
  <c r="C82"/>
  <c r="D82" s="1"/>
  <c r="C77"/>
  <c r="D77" s="1"/>
  <c r="C72"/>
  <c r="D72" s="1"/>
  <c r="C68"/>
  <c r="D68" s="1"/>
  <c r="C64"/>
  <c r="D64" s="1"/>
  <c r="C59"/>
  <c r="D59" s="1"/>
  <c r="C29"/>
  <c r="D29" s="1"/>
  <c r="C54"/>
  <c r="D54" s="1"/>
  <c r="C46"/>
  <c r="D46" s="1"/>
  <c r="C42"/>
  <c r="D42" s="1"/>
  <c r="C38"/>
  <c r="D38" s="1"/>
  <c r="C34"/>
  <c r="D34" s="1"/>
  <c r="C30"/>
  <c r="D30" s="1"/>
  <c r="C51"/>
  <c r="D51" s="1"/>
  <c r="C47"/>
  <c r="D47" s="1"/>
  <c r="C39"/>
  <c r="D39" s="1"/>
  <c r="C35"/>
  <c r="D35" s="1"/>
  <c r="C52"/>
  <c r="D52" s="1"/>
  <c r="C48"/>
  <c r="D48" s="1"/>
  <c r="C44"/>
  <c r="D44" s="1"/>
  <c r="C40"/>
  <c r="D40" s="1"/>
  <c r="C36"/>
  <c r="D36" s="1"/>
  <c r="C32"/>
  <c r="D32" s="1"/>
  <c r="B381" i="7"/>
  <c r="C381"/>
  <c r="C53" i="8"/>
  <c r="D53" s="1"/>
  <c r="C49"/>
  <c r="D49" s="1"/>
  <c r="C45"/>
  <c r="D45" s="1"/>
  <c r="C41"/>
  <c r="D41" s="1"/>
  <c r="C37"/>
  <c r="D37" s="1"/>
  <c r="C33"/>
  <c r="D33" s="1"/>
  <c r="C50"/>
  <c r="D50" s="1"/>
  <c r="C28"/>
  <c r="D28" s="1"/>
  <c r="C43"/>
  <c r="D43" s="1"/>
  <c r="C31"/>
  <c r="D31" s="1"/>
  <c r="C11"/>
  <c r="D11" s="1"/>
  <c r="C8"/>
  <c r="D8" s="1"/>
  <c r="C14"/>
  <c r="D14" s="1"/>
  <c r="C15"/>
  <c r="D15" s="1"/>
  <c r="C16"/>
  <c r="D16" s="1"/>
  <c r="C12"/>
  <c r="D12" s="1"/>
  <c r="C7"/>
  <c r="D7" s="1"/>
  <c r="C13"/>
  <c r="D13" s="1"/>
  <c r="C9"/>
  <c r="D9" s="1"/>
  <c r="C10"/>
  <c r="D10" s="1"/>
  <c r="F25"/>
  <c r="G25" s="1"/>
  <c r="I25" s="1"/>
  <c r="F20"/>
  <c r="G20" s="1"/>
  <c r="I20" s="1"/>
  <c r="F23"/>
  <c r="G23" s="1"/>
  <c r="I23" s="1"/>
  <c r="F26"/>
  <c r="G26" s="1"/>
  <c r="I26" s="1"/>
  <c r="F24"/>
  <c r="G24" s="1"/>
  <c r="I24" s="1"/>
  <c r="F19"/>
  <c r="G19" s="1"/>
  <c r="I19" s="1"/>
  <c r="F18"/>
  <c r="G18" s="1"/>
  <c r="I18" s="1"/>
  <c r="F21"/>
  <c r="G21" s="1"/>
  <c r="I21" s="1"/>
  <c r="F22"/>
  <c r="G22" s="1"/>
  <c r="I22" s="1"/>
  <c r="D57" i="7"/>
  <c r="D29"/>
  <c r="D8"/>
  <c r="I325" i="8" l="1"/>
  <c r="I284"/>
  <c r="I318"/>
  <c r="I111"/>
  <c r="I199"/>
  <c r="I141"/>
  <c r="I68"/>
  <c r="I86"/>
  <c r="I139"/>
  <c r="I209"/>
  <c r="I226"/>
  <c r="I244"/>
  <c r="I279"/>
  <c r="I87"/>
  <c r="I219"/>
  <c r="I357"/>
  <c r="I88"/>
  <c r="I99"/>
  <c r="I275"/>
  <c r="I179"/>
  <c r="I269"/>
  <c r="I320"/>
  <c r="I84"/>
  <c r="I254"/>
  <c r="I107"/>
  <c r="I195"/>
  <c r="I157"/>
  <c r="I174"/>
  <c r="I192"/>
  <c r="I312"/>
  <c r="I185"/>
  <c r="I327"/>
  <c r="I258"/>
  <c r="I80"/>
  <c r="I151"/>
  <c r="I186"/>
  <c r="I204"/>
  <c r="I221"/>
  <c r="I291"/>
  <c r="I324"/>
  <c r="I359"/>
  <c r="I246"/>
  <c r="I158"/>
  <c r="I232"/>
  <c r="I301"/>
  <c r="I348"/>
  <c r="I73"/>
  <c r="I134"/>
  <c r="I292"/>
  <c r="I377"/>
  <c r="I113"/>
  <c r="I245"/>
  <c r="I94"/>
  <c r="I182"/>
  <c r="I234"/>
  <c r="I198"/>
  <c r="I268"/>
  <c r="I326"/>
  <c r="I59"/>
  <c r="I77"/>
  <c r="I112"/>
  <c r="I148"/>
  <c r="I165"/>
  <c r="I200"/>
  <c r="I218"/>
  <c r="I270"/>
  <c r="I356"/>
  <c r="I373"/>
  <c r="I310"/>
  <c r="I276"/>
  <c r="I374"/>
  <c r="I71"/>
  <c r="I124"/>
  <c r="I142"/>
  <c r="I160"/>
  <c r="I247"/>
  <c r="I299"/>
  <c r="I316"/>
  <c r="I61"/>
  <c r="I97"/>
  <c r="I115"/>
  <c r="I159"/>
  <c r="I190"/>
  <c r="I228"/>
  <c r="I294"/>
  <c r="I358"/>
  <c r="I101"/>
  <c r="I175"/>
  <c r="I352"/>
  <c r="I125"/>
  <c r="I266"/>
  <c r="I317"/>
  <c r="I334"/>
  <c r="I351"/>
  <c r="I369"/>
  <c r="I263"/>
  <c r="I302"/>
  <c r="I332"/>
  <c r="I371"/>
  <c r="I96"/>
  <c r="I162"/>
  <c r="I227"/>
  <c r="I267"/>
  <c r="I335"/>
  <c r="I365"/>
  <c r="I67"/>
  <c r="I225"/>
  <c r="I260"/>
  <c r="I346"/>
  <c r="I378"/>
  <c r="I74"/>
  <c r="I132"/>
  <c r="I65"/>
  <c r="I131"/>
  <c r="I206"/>
  <c r="I108"/>
  <c r="I136"/>
  <c r="I259"/>
  <c r="I323"/>
  <c r="I223"/>
  <c r="D381" i="7"/>
  <c r="I129" i="8"/>
  <c r="I196"/>
  <c r="I205"/>
  <c r="I257"/>
  <c r="I296"/>
  <c r="I342"/>
  <c r="I216"/>
  <c r="I289"/>
  <c r="I362"/>
  <c r="I144"/>
  <c r="I171"/>
  <c r="I236"/>
  <c r="I98"/>
  <c r="I238"/>
  <c r="I265"/>
  <c r="I278"/>
  <c r="I328"/>
  <c r="I376"/>
  <c r="I66"/>
  <c r="I79"/>
  <c r="I93"/>
  <c r="I106"/>
  <c r="I184"/>
  <c r="I214"/>
  <c r="I339"/>
  <c r="I121"/>
  <c r="I224"/>
  <c r="I345"/>
  <c r="I105"/>
  <c r="I153"/>
  <c r="I63"/>
  <c r="I89"/>
  <c r="I156"/>
  <c r="I230"/>
  <c r="I341"/>
  <c r="I368"/>
  <c r="I119"/>
  <c r="I168"/>
  <c r="I193"/>
  <c r="I91"/>
  <c r="I152"/>
  <c r="I178"/>
  <c r="I231"/>
  <c r="I240"/>
  <c r="I304"/>
  <c r="I329"/>
  <c r="I163"/>
  <c r="I194"/>
  <c r="I211"/>
  <c r="I233"/>
  <c r="I281"/>
  <c r="I353"/>
  <c r="I60"/>
  <c r="I135"/>
  <c r="I189"/>
  <c r="I309"/>
  <c r="I85"/>
  <c r="I146"/>
  <c r="I173"/>
  <c r="I212"/>
  <c r="I274"/>
  <c r="I286"/>
  <c r="I311"/>
  <c r="I350"/>
  <c r="I363"/>
  <c r="I372"/>
  <c r="I180"/>
  <c r="I251"/>
  <c r="I314"/>
  <c r="I340"/>
  <c r="I83"/>
  <c r="I241"/>
  <c r="I280"/>
  <c r="I305"/>
  <c r="I330"/>
  <c r="I72"/>
  <c r="I253"/>
  <c r="I338"/>
  <c r="I364"/>
  <c r="I255"/>
  <c r="I120"/>
  <c r="I333"/>
  <c r="I306"/>
  <c r="I57"/>
  <c r="I64"/>
  <c r="I104"/>
  <c r="I117"/>
  <c r="I143"/>
  <c r="I183"/>
  <c r="I283"/>
  <c r="I321"/>
  <c r="I127"/>
  <c r="I118"/>
  <c r="I197"/>
  <c r="I210"/>
  <c r="I293"/>
  <c r="I58"/>
  <c r="I137"/>
  <c r="I177"/>
  <c r="I191"/>
  <c r="I252"/>
  <c r="I145"/>
  <c r="I207"/>
  <c r="I277"/>
  <c r="I349"/>
  <c r="I367"/>
  <c r="I69"/>
  <c r="I92"/>
  <c r="I109"/>
  <c r="I140"/>
  <c r="I166"/>
  <c r="I361"/>
  <c r="I213"/>
  <c r="I322"/>
  <c r="I128"/>
  <c r="I208"/>
  <c r="I123"/>
  <c r="I149"/>
  <c r="I82"/>
  <c r="I95"/>
  <c r="I161"/>
  <c r="I235"/>
  <c r="I249"/>
  <c r="I261"/>
  <c r="I287"/>
  <c r="I300"/>
  <c r="I308"/>
  <c r="I347"/>
  <c r="I155"/>
  <c r="I176"/>
  <c r="I203"/>
  <c r="I242"/>
  <c r="I273"/>
  <c r="I319"/>
  <c r="I78"/>
  <c r="I126"/>
  <c r="I297"/>
  <c r="I344"/>
  <c r="I76"/>
  <c r="I103"/>
  <c r="I116"/>
  <c r="I164"/>
  <c r="I217"/>
  <c r="I243"/>
  <c r="I256"/>
  <c r="I282"/>
  <c r="I295"/>
  <c r="I303"/>
  <c r="I354"/>
  <c r="I70"/>
  <c r="I110"/>
  <c r="I150"/>
  <c r="I220"/>
  <c r="I237"/>
  <c r="I285"/>
  <c r="I298"/>
  <c r="I375"/>
  <c r="I122"/>
  <c r="I250"/>
  <c r="I271"/>
  <c r="I288"/>
  <c r="I313"/>
  <c r="F28"/>
  <c r="G28" s="1"/>
  <c r="I28" s="1"/>
  <c r="F7"/>
  <c r="G7" s="1"/>
  <c r="I7" s="1"/>
  <c r="F29"/>
  <c r="G29" s="1"/>
  <c r="I29" s="1"/>
  <c r="F30"/>
  <c r="G30" s="1"/>
  <c r="I30" s="1"/>
  <c r="F31"/>
  <c r="G31" s="1"/>
  <c r="I31" s="1"/>
  <c r="F32"/>
  <c r="G32" s="1"/>
  <c r="I32" s="1"/>
  <c r="F33"/>
  <c r="G33" s="1"/>
  <c r="I33" s="1"/>
  <c r="F34"/>
  <c r="G34" s="1"/>
  <c r="I34" s="1"/>
  <c r="F35"/>
  <c r="G35" s="1"/>
  <c r="I35" s="1"/>
  <c r="F36"/>
  <c r="G36" s="1"/>
  <c r="I36" s="1"/>
  <c r="F37"/>
  <c r="G37" s="1"/>
  <c r="I37" s="1"/>
  <c r="F38"/>
  <c r="G38" s="1"/>
  <c r="I38" s="1"/>
  <c r="F39"/>
  <c r="G39" s="1"/>
  <c r="I39" s="1"/>
  <c r="F40"/>
  <c r="G40" s="1"/>
  <c r="I40" s="1"/>
  <c r="F41"/>
  <c r="G41" s="1"/>
  <c r="I41" s="1"/>
  <c r="F42"/>
  <c r="G42" s="1"/>
  <c r="I42" s="1"/>
  <c r="F43"/>
  <c r="G43" s="1"/>
  <c r="I43" s="1"/>
  <c r="F44"/>
  <c r="G44" s="1"/>
  <c r="I44" s="1"/>
  <c r="F45"/>
  <c r="G45" s="1"/>
  <c r="I45" s="1"/>
  <c r="F46"/>
  <c r="G46" s="1"/>
  <c r="I46" s="1"/>
  <c r="F47"/>
  <c r="G47" s="1"/>
  <c r="I47" s="1"/>
  <c r="F48"/>
  <c r="G48" s="1"/>
  <c r="I48" s="1"/>
  <c r="F49"/>
  <c r="G49" s="1"/>
  <c r="I49" s="1"/>
  <c r="F50"/>
  <c r="G50" s="1"/>
  <c r="I50" s="1"/>
  <c r="F51"/>
  <c r="G51" s="1"/>
  <c r="I51" s="1"/>
  <c r="F52"/>
  <c r="G52" s="1"/>
  <c r="I52" s="1"/>
  <c r="F53"/>
  <c r="G53" s="1"/>
  <c r="I53" s="1"/>
  <c r="F54"/>
  <c r="G54" s="1"/>
  <c r="I54" s="1"/>
  <c r="F8"/>
  <c r="G8" s="1"/>
  <c r="I8" s="1"/>
  <c r="F9"/>
  <c r="G9" s="1"/>
  <c r="I9" s="1"/>
  <c r="F10"/>
  <c r="G10" s="1"/>
  <c r="I10" s="1"/>
  <c r="F11"/>
  <c r="G11" s="1"/>
  <c r="I11" s="1"/>
  <c r="F12"/>
  <c r="G12" s="1"/>
  <c r="I12" s="1"/>
  <c r="F13"/>
  <c r="G13" s="1"/>
  <c r="I13" s="1"/>
  <c r="F14"/>
  <c r="G14" s="1"/>
  <c r="I14" s="1"/>
  <c r="F15"/>
  <c r="G15" s="1"/>
  <c r="I15" s="1"/>
  <c r="F16"/>
  <c r="G16" s="1"/>
  <c r="I16" s="1"/>
  <c r="J19" i="7"/>
  <c r="J29"/>
  <c r="J8"/>
  <c r="I19"/>
  <c r="I8"/>
  <c r="I29"/>
  <c r="I57"/>
  <c r="J57"/>
  <c r="S57" l="1"/>
  <c r="S8"/>
  <c r="B58" i="8"/>
  <c r="H58" s="1"/>
  <c r="B53"/>
  <c r="B29"/>
  <c r="B50"/>
  <c r="B42"/>
  <c r="B48"/>
  <c r="B43"/>
  <c r="B35"/>
  <c r="B31"/>
  <c r="B14"/>
  <c r="B11"/>
  <c r="B15"/>
  <c r="J381" i="7"/>
  <c r="I381"/>
  <c r="B13" i="8"/>
  <c r="B9"/>
  <c r="B39"/>
  <c r="B47"/>
  <c r="B51"/>
  <c r="B10"/>
  <c r="B8"/>
  <c r="B30"/>
  <c r="B34"/>
  <c r="B38"/>
  <c r="B46"/>
  <c r="B54"/>
  <c r="B60"/>
  <c r="H60" s="1"/>
  <c r="B63"/>
  <c r="H63" s="1"/>
  <c r="B65"/>
  <c r="H65" s="1"/>
  <c r="B67"/>
  <c r="H67" s="1"/>
  <c r="B69"/>
  <c r="H69" s="1"/>
  <c r="B71"/>
  <c r="H71" s="1"/>
  <c r="B73"/>
  <c r="H73" s="1"/>
  <c r="B76"/>
  <c r="H76" s="1"/>
  <c r="B78"/>
  <c r="H78" s="1"/>
  <c r="B80"/>
  <c r="H80" s="1"/>
  <c r="B83"/>
  <c r="H83" s="1"/>
  <c r="B85"/>
  <c r="H85" s="1"/>
  <c r="B87"/>
  <c r="H87" s="1"/>
  <c r="B89"/>
  <c r="H89" s="1"/>
  <c r="B92"/>
  <c r="H92" s="1"/>
  <c r="B94"/>
  <c r="H94" s="1"/>
  <c r="B96"/>
  <c r="H96" s="1"/>
  <c r="B98"/>
  <c r="H98" s="1"/>
  <c r="B101"/>
  <c r="H101" s="1"/>
  <c r="B103"/>
  <c r="H103" s="1"/>
  <c r="B105"/>
  <c r="H105" s="1"/>
  <c r="B107"/>
  <c r="H107" s="1"/>
  <c r="B109"/>
  <c r="H109" s="1"/>
  <c r="B111"/>
  <c r="H111" s="1"/>
  <c r="B113"/>
  <c r="H113" s="1"/>
  <c r="B116"/>
  <c r="H116" s="1"/>
  <c r="B118"/>
  <c r="H118" s="1"/>
  <c r="B120"/>
  <c r="H120" s="1"/>
  <c r="B122"/>
  <c r="H122" s="1"/>
  <c r="B124"/>
  <c r="H124" s="1"/>
  <c r="B126"/>
  <c r="H126" s="1"/>
  <c r="B128"/>
  <c r="H128" s="1"/>
  <c r="B131"/>
  <c r="H131" s="1"/>
  <c r="B133"/>
  <c r="H133" s="1"/>
  <c r="B135"/>
  <c r="H135" s="1"/>
  <c r="B137"/>
  <c r="H137" s="1"/>
  <c r="B140"/>
  <c r="H140" s="1"/>
  <c r="B142"/>
  <c r="H142" s="1"/>
  <c r="B144"/>
  <c r="H144" s="1"/>
  <c r="B146"/>
  <c r="H146" s="1"/>
  <c r="B149"/>
  <c r="H149" s="1"/>
  <c r="B151"/>
  <c r="H151" s="1"/>
  <c r="B153"/>
  <c r="H153" s="1"/>
  <c r="B156"/>
  <c r="H156" s="1"/>
  <c r="B158"/>
  <c r="H158" s="1"/>
  <c r="B160"/>
  <c r="H160" s="1"/>
  <c r="B162"/>
  <c r="H162" s="1"/>
  <c r="B164"/>
  <c r="H164" s="1"/>
  <c r="B166"/>
  <c r="H166" s="1"/>
  <c r="B169"/>
  <c r="H169" s="1"/>
  <c r="B171"/>
  <c r="H171" s="1"/>
  <c r="B173"/>
  <c r="H173" s="1"/>
  <c r="B175"/>
  <c r="H175" s="1"/>
  <c r="B177"/>
  <c r="H177" s="1"/>
  <c r="B179"/>
  <c r="H179" s="1"/>
  <c r="B182"/>
  <c r="H182" s="1"/>
  <c r="B184"/>
  <c r="H184" s="1"/>
  <c r="B186"/>
  <c r="H186" s="1"/>
  <c r="B189"/>
  <c r="H189" s="1"/>
  <c r="B191"/>
  <c r="H191" s="1"/>
  <c r="B193"/>
  <c r="H193" s="1"/>
  <c r="B195"/>
  <c r="H195" s="1"/>
  <c r="B197"/>
  <c r="H197" s="1"/>
  <c r="B199"/>
  <c r="H199" s="1"/>
  <c r="B201"/>
  <c r="H201" s="1"/>
  <c r="B204"/>
  <c r="H204" s="1"/>
  <c r="B206"/>
  <c r="H206" s="1"/>
  <c r="B208"/>
  <c r="H208" s="1"/>
  <c r="B210"/>
  <c r="H210" s="1"/>
  <c r="B212"/>
  <c r="H212" s="1"/>
  <c r="B214"/>
  <c r="H214" s="1"/>
  <c r="B217"/>
  <c r="H217" s="1"/>
  <c r="B219"/>
  <c r="H219" s="1"/>
  <c r="B221"/>
  <c r="H221" s="1"/>
  <c r="B223"/>
  <c r="H223" s="1"/>
  <c r="B225"/>
  <c r="H225" s="1"/>
  <c r="B227"/>
  <c r="H227" s="1"/>
  <c r="B230"/>
  <c r="H230" s="1"/>
  <c r="B232"/>
  <c r="H232" s="1"/>
  <c r="B234"/>
  <c r="H234" s="1"/>
  <c r="B236"/>
  <c r="H236" s="1"/>
  <c r="B238"/>
  <c r="H238" s="1"/>
  <c r="B241"/>
  <c r="H241" s="1"/>
  <c r="B243"/>
  <c r="H243" s="1"/>
  <c r="B245"/>
  <c r="H245" s="1"/>
  <c r="B247"/>
  <c r="H247" s="1"/>
  <c r="B250"/>
  <c r="H250" s="1"/>
  <c r="B252"/>
  <c r="H252" s="1"/>
  <c r="B254"/>
  <c r="H254" s="1"/>
  <c r="B256"/>
  <c r="H256" s="1"/>
  <c r="B258"/>
  <c r="H258" s="1"/>
  <c r="B260"/>
  <c r="H260" s="1"/>
  <c r="B262"/>
  <c r="H262" s="1"/>
  <c r="B265"/>
  <c r="H265" s="1"/>
  <c r="B267"/>
  <c r="H267" s="1"/>
  <c r="B269"/>
  <c r="H269" s="1"/>
  <c r="B271"/>
  <c r="H271" s="1"/>
  <c r="B274"/>
  <c r="H274" s="1"/>
  <c r="B276"/>
  <c r="H276" s="1"/>
  <c r="B278"/>
  <c r="H278" s="1"/>
  <c r="B280"/>
  <c r="H280" s="1"/>
  <c r="B282"/>
  <c r="H282" s="1"/>
  <c r="B284"/>
  <c r="H284" s="1"/>
  <c r="B286"/>
  <c r="H286" s="1"/>
  <c r="B288"/>
  <c r="H288" s="1"/>
  <c r="B291"/>
  <c r="H291" s="1"/>
  <c r="B293"/>
  <c r="H293" s="1"/>
  <c r="B295"/>
  <c r="H295" s="1"/>
  <c r="B297"/>
  <c r="H297" s="1"/>
  <c r="B299"/>
  <c r="H299" s="1"/>
  <c r="B301"/>
  <c r="H301" s="1"/>
  <c r="B303"/>
  <c r="H303" s="1"/>
  <c r="B305"/>
  <c r="H305" s="1"/>
  <c r="B307"/>
  <c r="H307" s="1"/>
  <c r="B309"/>
  <c r="H309" s="1"/>
  <c r="B311"/>
  <c r="H311" s="1"/>
  <c r="B313"/>
  <c r="H313" s="1"/>
  <c r="B316"/>
  <c r="H316" s="1"/>
  <c r="B318"/>
  <c r="H318" s="1"/>
  <c r="B320"/>
  <c r="H320" s="1"/>
  <c r="B322"/>
  <c r="H322" s="1"/>
  <c r="B324"/>
  <c r="H324" s="1"/>
  <c r="B326"/>
  <c r="H326" s="1"/>
  <c r="B328"/>
  <c r="H328" s="1"/>
  <c r="B330"/>
  <c r="H330" s="1"/>
  <c r="B333"/>
  <c r="H333" s="1"/>
  <c r="B335"/>
  <c r="H335" s="1"/>
  <c r="B337"/>
  <c r="H337" s="1"/>
  <c r="B339"/>
  <c r="H339" s="1"/>
  <c r="B341"/>
  <c r="H341" s="1"/>
  <c r="B344"/>
  <c r="H344" s="1"/>
  <c r="B346"/>
  <c r="H346" s="1"/>
  <c r="B348"/>
  <c r="H348" s="1"/>
  <c r="B350"/>
  <c r="H350" s="1"/>
  <c r="B352"/>
  <c r="H352" s="1"/>
  <c r="B354"/>
  <c r="H354" s="1"/>
  <c r="B357"/>
  <c r="H357" s="1"/>
  <c r="B359"/>
  <c r="H359" s="1"/>
  <c r="B361"/>
  <c r="H361" s="1"/>
  <c r="B363"/>
  <c r="H363" s="1"/>
  <c r="B365"/>
  <c r="H365" s="1"/>
  <c r="B368"/>
  <c r="H368" s="1"/>
  <c r="B370"/>
  <c r="H370" s="1"/>
  <c r="B373"/>
  <c r="H373" s="1"/>
  <c r="B375"/>
  <c r="H375" s="1"/>
  <c r="B377"/>
  <c r="H377" s="1"/>
  <c r="B59"/>
  <c r="H59" s="1"/>
  <c r="B61"/>
  <c r="H61" s="1"/>
  <c r="B64"/>
  <c r="H64" s="1"/>
  <c r="B66"/>
  <c r="H66" s="1"/>
  <c r="B68"/>
  <c r="H68" s="1"/>
  <c r="B70"/>
  <c r="H70" s="1"/>
  <c r="B72"/>
  <c r="H72" s="1"/>
  <c r="B74"/>
  <c r="H74" s="1"/>
  <c r="B77"/>
  <c r="H77" s="1"/>
  <c r="B79"/>
  <c r="H79" s="1"/>
  <c r="B82"/>
  <c r="H82" s="1"/>
  <c r="B84"/>
  <c r="H84" s="1"/>
  <c r="B86"/>
  <c r="H86" s="1"/>
  <c r="B88"/>
  <c r="H88" s="1"/>
  <c r="B91"/>
  <c r="H91" s="1"/>
  <c r="B93"/>
  <c r="H93" s="1"/>
  <c r="B95"/>
  <c r="H95" s="1"/>
  <c r="B97"/>
  <c r="H97" s="1"/>
  <c r="B99"/>
  <c r="H99" s="1"/>
  <c r="B102"/>
  <c r="H102" s="1"/>
  <c r="B104"/>
  <c r="H104" s="1"/>
  <c r="B106"/>
  <c r="H106" s="1"/>
  <c r="B108"/>
  <c r="H108" s="1"/>
  <c r="B110"/>
  <c r="H110" s="1"/>
  <c r="B112"/>
  <c r="H112" s="1"/>
  <c r="B115"/>
  <c r="H115" s="1"/>
  <c r="B117"/>
  <c r="H117" s="1"/>
  <c r="B119"/>
  <c r="H119" s="1"/>
  <c r="B121"/>
  <c r="H121" s="1"/>
  <c r="B123"/>
  <c r="H123" s="1"/>
  <c r="B125"/>
  <c r="H125" s="1"/>
  <c r="B127"/>
  <c r="H127" s="1"/>
  <c r="B129"/>
  <c r="H129" s="1"/>
  <c r="B132"/>
  <c r="H132" s="1"/>
  <c r="B134"/>
  <c r="H134" s="1"/>
  <c r="B136"/>
  <c r="H136" s="1"/>
  <c r="B139"/>
  <c r="H139" s="1"/>
  <c r="B141"/>
  <c r="H141" s="1"/>
  <c r="B143"/>
  <c r="H143" s="1"/>
  <c r="B145"/>
  <c r="H145" s="1"/>
  <c r="B148"/>
  <c r="H148" s="1"/>
  <c r="B150"/>
  <c r="H150" s="1"/>
  <c r="B152"/>
  <c r="H152" s="1"/>
  <c r="B155"/>
  <c r="H155" s="1"/>
  <c r="B157"/>
  <c r="H157" s="1"/>
  <c r="B159"/>
  <c r="H159" s="1"/>
  <c r="B161"/>
  <c r="H161" s="1"/>
  <c r="B163"/>
  <c r="H163" s="1"/>
  <c r="B165"/>
  <c r="H165" s="1"/>
  <c r="B168"/>
  <c r="H168" s="1"/>
  <c r="B170"/>
  <c r="H170" s="1"/>
  <c r="B172"/>
  <c r="H172" s="1"/>
  <c r="B174"/>
  <c r="H174" s="1"/>
  <c r="B176"/>
  <c r="H176" s="1"/>
  <c r="B178"/>
  <c r="H178" s="1"/>
  <c r="B180"/>
  <c r="H180" s="1"/>
  <c r="B183"/>
  <c r="H183" s="1"/>
  <c r="B185"/>
  <c r="H185" s="1"/>
  <c r="B187"/>
  <c r="H187" s="1"/>
  <c r="B190"/>
  <c r="H190" s="1"/>
  <c r="B192"/>
  <c r="H192" s="1"/>
  <c r="B194"/>
  <c r="H194" s="1"/>
  <c r="B196"/>
  <c r="H196" s="1"/>
  <c r="B198"/>
  <c r="H198" s="1"/>
  <c r="B200"/>
  <c r="H200" s="1"/>
  <c r="B203"/>
  <c r="H203" s="1"/>
  <c r="B205"/>
  <c r="H205" s="1"/>
  <c r="B207"/>
  <c r="H207" s="1"/>
  <c r="B209"/>
  <c r="H209" s="1"/>
  <c r="B211"/>
  <c r="H211" s="1"/>
  <c r="B213"/>
  <c r="H213" s="1"/>
  <c r="B216"/>
  <c r="H216" s="1"/>
  <c r="B218"/>
  <c r="H218" s="1"/>
  <c r="B220"/>
  <c r="H220" s="1"/>
  <c r="B222"/>
  <c r="H222" s="1"/>
  <c r="B224"/>
  <c r="H224" s="1"/>
  <c r="B226"/>
  <c r="H226" s="1"/>
  <c r="B228"/>
  <c r="H228" s="1"/>
  <c r="B231"/>
  <c r="H231" s="1"/>
  <c r="B233"/>
  <c r="H233" s="1"/>
  <c r="B235"/>
  <c r="H235" s="1"/>
  <c r="B237"/>
  <c r="H237" s="1"/>
  <c r="B240"/>
  <c r="H240" s="1"/>
  <c r="B242"/>
  <c r="H242" s="1"/>
  <c r="B244"/>
  <c r="H244" s="1"/>
  <c r="B246"/>
  <c r="H246" s="1"/>
  <c r="B249"/>
  <c r="H249" s="1"/>
  <c r="B251"/>
  <c r="H251" s="1"/>
  <c r="B253"/>
  <c r="H253" s="1"/>
  <c r="B255"/>
  <c r="H255" s="1"/>
  <c r="B257"/>
  <c r="H257" s="1"/>
  <c r="B259"/>
  <c r="H259" s="1"/>
  <c r="B261"/>
  <c r="H261" s="1"/>
  <c r="B263"/>
  <c r="H263" s="1"/>
  <c r="B266"/>
  <c r="H266" s="1"/>
  <c r="B268"/>
  <c r="H268" s="1"/>
  <c r="B270"/>
  <c r="H270" s="1"/>
  <c r="B273"/>
  <c r="H273" s="1"/>
  <c r="B275"/>
  <c r="H275" s="1"/>
  <c r="B277"/>
  <c r="H277" s="1"/>
  <c r="B279"/>
  <c r="H279" s="1"/>
  <c r="B281"/>
  <c r="H281" s="1"/>
  <c r="B283"/>
  <c r="H283" s="1"/>
  <c r="B285"/>
  <c r="H285" s="1"/>
  <c r="B287"/>
  <c r="H287" s="1"/>
  <c r="B289"/>
  <c r="H289" s="1"/>
  <c r="B292"/>
  <c r="H292" s="1"/>
  <c r="B294"/>
  <c r="H294" s="1"/>
  <c r="B296"/>
  <c r="H296" s="1"/>
  <c r="B298"/>
  <c r="H298" s="1"/>
  <c r="B300"/>
  <c r="H300" s="1"/>
  <c r="B302"/>
  <c r="H302" s="1"/>
  <c r="B304"/>
  <c r="H304" s="1"/>
  <c r="B306"/>
  <c r="H306" s="1"/>
  <c r="B308"/>
  <c r="H308" s="1"/>
  <c r="B310"/>
  <c r="H310" s="1"/>
  <c r="B312"/>
  <c r="H312" s="1"/>
  <c r="B314"/>
  <c r="H314" s="1"/>
  <c r="B317"/>
  <c r="H317" s="1"/>
  <c r="B319"/>
  <c r="H319" s="1"/>
  <c r="B321"/>
  <c r="H321" s="1"/>
  <c r="B323"/>
  <c r="H323" s="1"/>
  <c r="B325"/>
  <c r="H325" s="1"/>
  <c r="B327"/>
  <c r="H327" s="1"/>
  <c r="B329"/>
  <c r="H329" s="1"/>
  <c r="B332"/>
  <c r="H332" s="1"/>
  <c r="B334"/>
  <c r="H334" s="1"/>
  <c r="B336"/>
  <c r="H336" s="1"/>
  <c r="B338"/>
  <c r="H338" s="1"/>
  <c r="B340"/>
  <c r="H340" s="1"/>
  <c r="B342"/>
  <c r="H342" s="1"/>
  <c r="B345"/>
  <c r="H345" s="1"/>
  <c r="B347"/>
  <c r="H347" s="1"/>
  <c r="B349"/>
  <c r="H349" s="1"/>
  <c r="B351"/>
  <c r="H351" s="1"/>
  <c r="B353"/>
  <c r="H353" s="1"/>
  <c r="B356"/>
  <c r="H356" s="1"/>
  <c r="B358"/>
  <c r="H358" s="1"/>
  <c r="B360"/>
  <c r="H360" s="1"/>
  <c r="B362"/>
  <c r="H362" s="1"/>
  <c r="B364"/>
  <c r="H364" s="1"/>
  <c r="B367"/>
  <c r="H367" s="1"/>
  <c r="B369"/>
  <c r="H369" s="1"/>
  <c r="B372"/>
  <c r="H372" s="1"/>
  <c r="B374"/>
  <c r="H374" s="1"/>
  <c r="B376"/>
  <c r="H376" s="1"/>
  <c r="B378"/>
  <c r="H378" s="1"/>
  <c r="B371"/>
  <c r="H371" s="1"/>
  <c r="K29" i="7"/>
  <c r="B32" i="8"/>
  <c r="B36"/>
  <c r="B40"/>
  <c r="B44"/>
  <c r="B52"/>
  <c r="B33"/>
  <c r="B37"/>
  <c r="B41"/>
  <c r="B45"/>
  <c r="B49"/>
  <c r="B19"/>
  <c r="B21"/>
  <c r="B23"/>
  <c r="B25"/>
  <c r="K19" i="7"/>
  <c r="B20" i="8"/>
  <c r="B22"/>
  <c r="B24"/>
  <c r="B26"/>
  <c r="B12"/>
  <c r="B16"/>
  <c r="S29" i="7" l="1"/>
  <c r="S19"/>
  <c r="E23" i="8"/>
  <c r="H23"/>
  <c r="E24"/>
  <c r="H24"/>
  <c r="E20"/>
  <c r="H20"/>
  <c r="E25"/>
  <c r="H25"/>
  <c r="E21"/>
  <c r="H21"/>
  <c r="E26"/>
  <c r="H26"/>
  <c r="E22"/>
  <c r="H22"/>
  <c r="E19"/>
  <c r="H19"/>
  <c r="E58"/>
  <c r="E378"/>
  <c r="E369"/>
  <c r="E360"/>
  <c r="E351"/>
  <c r="E342"/>
  <c r="E334"/>
  <c r="E325"/>
  <c r="E317"/>
  <c r="E308"/>
  <c r="E304"/>
  <c r="E296"/>
  <c r="E287"/>
  <c r="E279"/>
  <c r="E270"/>
  <c r="E261"/>
  <c r="E257"/>
  <c r="E249"/>
  <c r="E240"/>
  <c r="E231"/>
  <c r="E222"/>
  <c r="E213"/>
  <c r="E205"/>
  <c r="E196"/>
  <c r="E187"/>
  <c r="E183"/>
  <c r="E174"/>
  <c r="E165"/>
  <c r="E157"/>
  <c r="E143"/>
  <c r="E371"/>
  <c r="E376"/>
  <c r="E372"/>
  <c r="E367"/>
  <c r="E362"/>
  <c r="E358"/>
  <c r="E353"/>
  <c r="E349"/>
  <c r="E345"/>
  <c r="E340"/>
  <c r="E336"/>
  <c r="E332"/>
  <c r="E327"/>
  <c r="E323"/>
  <c r="E319"/>
  <c r="E314"/>
  <c r="E310"/>
  <c r="E306"/>
  <c r="E302"/>
  <c r="E298"/>
  <c r="E294"/>
  <c r="E289"/>
  <c r="E285"/>
  <c r="E281"/>
  <c r="E277"/>
  <c r="E273"/>
  <c r="E268"/>
  <c r="E263"/>
  <c r="E259"/>
  <c r="E255"/>
  <c r="E251"/>
  <c r="E246"/>
  <c r="E242"/>
  <c r="E237"/>
  <c r="E233"/>
  <c r="E228"/>
  <c r="E224"/>
  <c r="E220"/>
  <c r="E216"/>
  <c r="E211"/>
  <c r="E207"/>
  <c r="E203"/>
  <c r="E198"/>
  <c r="E194"/>
  <c r="E190"/>
  <c r="E185"/>
  <c r="E180"/>
  <c r="E176"/>
  <c r="E172"/>
  <c r="E168"/>
  <c r="E163"/>
  <c r="E159"/>
  <c r="E155"/>
  <c r="E150"/>
  <c r="E145"/>
  <c r="E141"/>
  <c r="E136"/>
  <c r="E132"/>
  <c r="E127"/>
  <c r="E123"/>
  <c r="E119"/>
  <c r="E115"/>
  <c r="E110"/>
  <c r="E106"/>
  <c r="E102"/>
  <c r="E97"/>
  <c r="E93"/>
  <c r="E88"/>
  <c r="E84"/>
  <c r="E79"/>
  <c r="E74"/>
  <c r="E70"/>
  <c r="E66"/>
  <c r="E61"/>
  <c r="E377"/>
  <c r="E373"/>
  <c r="E368"/>
  <c r="E363"/>
  <c r="E359"/>
  <c r="E354"/>
  <c r="E350"/>
  <c r="E346"/>
  <c r="E341"/>
  <c r="E337"/>
  <c r="E333"/>
  <c r="E328"/>
  <c r="E324"/>
  <c r="E320"/>
  <c r="E316"/>
  <c r="E311"/>
  <c r="E307"/>
  <c r="E303"/>
  <c r="E299"/>
  <c r="E295"/>
  <c r="E291"/>
  <c r="E286"/>
  <c r="E282"/>
  <c r="E278"/>
  <c r="E274"/>
  <c r="E269"/>
  <c r="E265"/>
  <c r="E260"/>
  <c r="E256"/>
  <c r="E252"/>
  <c r="E247"/>
  <c r="E243"/>
  <c r="E238"/>
  <c r="E234"/>
  <c r="E230"/>
  <c r="E225"/>
  <c r="E221"/>
  <c r="E217"/>
  <c r="E212"/>
  <c r="E208"/>
  <c r="E204"/>
  <c r="E199"/>
  <c r="E195"/>
  <c r="E191"/>
  <c r="E186"/>
  <c r="E182"/>
  <c r="E177"/>
  <c r="E173"/>
  <c r="E169"/>
  <c r="E164"/>
  <c r="E160"/>
  <c r="E156"/>
  <c r="E151"/>
  <c r="E146"/>
  <c r="E142"/>
  <c r="E137"/>
  <c r="E133"/>
  <c r="E128"/>
  <c r="E124"/>
  <c r="E120"/>
  <c r="E116"/>
  <c r="E111"/>
  <c r="E107"/>
  <c r="E103"/>
  <c r="E98"/>
  <c r="E94"/>
  <c r="E89"/>
  <c r="E85"/>
  <c r="E80"/>
  <c r="E76"/>
  <c r="E71"/>
  <c r="E67"/>
  <c r="E63"/>
  <c r="E374"/>
  <c r="E364"/>
  <c r="E356"/>
  <c r="E347"/>
  <c r="E338"/>
  <c r="E329"/>
  <c r="E321"/>
  <c r="E312"/>
  <c r="E300"/>
  <c r="E292"/>
  <c r="E283"/>
  <c r="E275"/>
  <c r="E266"/>
  <c r="E253"/>
  <c r="E244"/>
  <c r="E235"/>
  <c r="E226"/>
  <c r="E218"/>
  <c r="E209"/>
  <c r="E200"/>
  <c r="E192"/>
  <c r="E178"/>
  <c r="E170"/>
  <c r="E161"/>
  <c r="E152"/>
  <c r="E148"/>
  <c r="E139"/>
  <c r="E134"/>
  <c r="E129"/>
  <c r="E125"/>
  <c r="E121"/>
  <c r="E117"/>
  <c r="E112"/>
  <c r="E108"/>
  <c r="E104"/>
  <c r="E99"/>
  <c r="E95"/>
  <c r="E91"/>
  <c r="E86"/>
  <c r="E82"/>
  <c r="E77"/>
  <c r="E72"/>
  <c r="E68"/>
  <c r="E64"/>
  <c r="E59"/>
  <c r="E375"/>
  <c r="E370"/>
  <c r="E365"/>
  <c r="E361"/>
  <c r="E357"/>
  <c r="E352"/>
  <c r="E348"/>
  <c r="E344"/>
  <c r="E339"/>
  <c r="E335"/>
  <c r="E330"/>
  <c r="E326"/>
  <c r="E322"/>
  <c r="E318"/>
  <c r="E313"/>
  <c r="E309"/>
  <c r="E305"/>
  <c r="E301"/>
  <c r="E297"/>
  <c r="E293"/>
  <c r="E288"/>
  <c r="E284"/>
  <c r="E280"/>
  <c r="E276"/>
  <c r="E271"/>
  <c r="E267"/>
  <c r="E262"/>
  <c r="E258"/>
  <c r="E254"/>
  <c r="E250"/>
  <c r="E245"/>
  <c r="E241"/>
  <c r="E236"/>
  <c r="E232"/>
  <c r="E227"/>
  <c r="E223"/>
  <c r="E219"/>
  <c r="E214"/>
  <c r="E210"/>
  <c r="E206"/>
  <c r="E201"/>
  <c r="E197"/>
  <c r="E193"/>
  <c r="E189"/>
  <c r="E184"/>
  <c r="E179"/>
  <c r="E175"/>
  <c r="E171"/>
  <c r="E166"/>
  <c r="E162"/>
  <c r="E158"/>
  <c r="E153"/>
  <c r="E149"/>
  <c r="E144"/>
  <c r="E140"/>
  <c r="E135"/>
  <c r="E131"/>
  <c r="E126"/>
  <c r="E122"/>
  <c r="E118"/>
  <c r="E113"/>
  <c r="E109"/>
  <c r="E105"/>
  <c r="E101"/>
  <c r="E96"/>
  <c r="E92"/>
  <c r="E87"/>
  <c r="E83"/>
  <c r="E78"/>
  <c r="E73"/>
  <c r="E69"/>
  <c r="E65"/>
  <c r="E60"/>
  <c r="E35"/>
  <c r="E43"/>
  <c r="E48"/>
  <c r="E42"/>
  <c r="E50"/>
  <c r="E29"/>
  <c r="E53"/>
  <c r="E49"/>
  <c r="E41"/>
  <c r="E33"/>
  <c r="E52"/>
  <c r="E44"/>
  <c r="E36"/>
  <c r="E54"/>
  <c r="E46"/>
  <c r="E38"/>
  <c r="E30"/>
  <c r="E47"/>
  <c r="E39"/>
  <c r="E31"/>
  <c r="E45"/>
  <c r="E37"/>
  <c r="E40"/>
  <c r="E32"/>
  <c r="E34"/>
  <c r="E51"/>
  <c r="E15"/>
  <c r="E11"/>
  <c r="E14"/>
  <c r="E12"/>
  <c r="E10"/>
  <c r="E9"/>
  <c r="E13"/>
  <c r="E16"/>
  <c r="E8"/>
  <c r="K8" i="7"/>
  <c r="K57"/>
  <c r="K381" s="1"/>
  <c r="B57" i="8"/>
  <c r="H57" s="1"/>
  <c r="H55" s="1"/>
  <c r="L57" i="7"/>
  <c r="B55" i="8" s="1"/>
  <c r="H53"/>
  <c r="H49"/>
  <c r="H47"/>
  <c r="H45"/>
  <c r="H43"/>
  <c r="H41"/>
  <c r="H39"/>
  <c r="H37"/>
  <c r="H35"/>
  <c r="H33"/>
  <c r="H31"/>
  <c r="H29"/>
  <c r="L29" i="7"/>
  <c r="B27" i="8" s="1"/>
  <c r="B28"/>
  <c r="H51"/>
  <c r="H54"/>
  <c r="H52"/>
  <c r="H50"/>
  <c r="H48"/>
  <c r="H46"/>
  <c r="H44"/>
  <c r="H42"/>
  <c r="H40"/>
  <c r="H38"/>
  <c r="H36"/>
  <c r="H34"/>
  <c r="H32"/>
  <c r="H30"/>
  <c r="B18"/>
  <c r="L19" i="7"/>
  <c r="H10" i="8"/>
  <c r="H12"/>
  <c r="H14"/>
  <c r="H16"/>
  <c r="H8"/>
  <c r="B7"/>
  <c r="L8" i="7"/>
  <c r="B6" i="8" s="1"/>
  <c r="H9"/>
  <c r="H11"/>
  <c r="H13"/>
  <c r="H15"/>
  <c r="S381" i="7" l="1"/>
  <c r="E18" i="8"/>
  <c r="E17" s="1"/>
  <c r="H18"/>
  <c r="H17" s="1"/>
  <c r="E7"/>
  <c r="E6" s="1"/>
  <c r="E57"/>
  <c r="E55" s="1"/>
  <c r="E28"/>
  <c r="E27" s="1"/>
  <c r="L381" i="7"/>
  <c r="H28" i="8"/>
  <c r="H27" s="1"/>
  <c r="B17"/>
  <c r="B379" s="1"/>
  <c r="H7"/>
  <c r="H6" s="1"/>
  <c r="H379" l="1"/>
  <c r="E379"/>
</calcChain>
</file>

<file path=xl/sharedStrings.xml><?xml version="1.0" encoding="utf-8"?>
<sst xmlns="http://schemas.openxmlformats.org/spreadsheetml/2006/main" count="801" uniqueCount="414">
  <si>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</si>
  <si>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</si>
  <si>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</si>
  <si>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</si>
  <si>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</si>
  <si>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</si>
  <si>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</si>
  <si>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</si>
  <si>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</si>
  <si>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</si>
  <si>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</si>
  <si>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</si>
  <si>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</si>
  <si>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</si>
  <si>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</si>
  <si>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</si>
  <si>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</si>
  <si>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</si>
  <si>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</si>
  <si>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</si>
  <si>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</si>
  <si>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</si>
  <si>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</si>
  <si>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</si>
  <si>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</si>
  <si>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</si>
  <si>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</si>
  <si>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</si>
  <si>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</si>
  <si>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</si>
  <si>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</si>
  <si>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</si>
  <si>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</si>
  <si>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</si>
  <si>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</si>
  <si>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</si>
  <si>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</si>
  <si>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</si>
  <si>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</si>
  <si>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</si>
  <si>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</si>
  <si>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</si>
  <si>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</si>
  <si>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</si>
  <si>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</si>
  <si>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</si>
  <si>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</si>
  <si>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</si>
  <si>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</si>
  <si>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</si>
  <si>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</si>
  <si>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</si>
  <si>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</si>
  <si>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</si>
  <si>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</si>
  <si>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</si>
  <si>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</si>
  <si>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</si>
  <si>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</si>
  <si>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</si>
  <si>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</si>
  <si>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</si>
  <si>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</si>
  <si>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</si>
  <si>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</si>
  <si>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</si>
  <si>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</si>
  <si>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</si>
  <si>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</si>
  <si>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</si>
  <si>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</si>
  <si>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</si>
  <si>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</si>
  <si>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</si>
  <si>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</si>
  <si>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</si>
  <si>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</si>
  <si>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</si>
  <si>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</si>
  <si>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</si>
  <si>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</si>
  <si>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</si>
  <si>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</si>
  <si>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</si>
  <si>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</si>
  <si>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</si>
  <si>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</si>
  <si>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</si>
  <si>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</si>
  <si>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</si>
  <si>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</si>
  <si>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</si>
  <si>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</si>
  <si>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</si>
  <si>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</si>
  <si>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</si>
  <si>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</si>
  <si>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</si>
  <si>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</si>
  <si>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</si>
  <si>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</si>
  <si>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</si>
  <si>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</si>
  <si>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</si>
  <si>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</si>
  <si>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</si>
  <si>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</si>
  <si>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</si>
  <si>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</si>
  <si>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</si>
  <si>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</si>
  <si>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</si>
  <si>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</si>
  <si>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</si>
  <si>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</si>
  <si>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</si>
  <si>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</si>
  <si>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</si>
  <si>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</si>
  <si>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</si>
  <si>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</si>
  <si>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</si>
  <si>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</si>
  <si>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</si>
  <si>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</si>
  <si>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</si>
  <si>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</si>
  <si>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</si>
  <si>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</si>
  <si>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</si>
  <si>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</si>
  <si>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</si>
  <si>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</si>
  <si>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</si>
  <si>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</si>
  <si>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</si>
  <si>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</si>
  <si>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</si>
  <si>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</si>
  <si>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</si>
  <si>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</si>
  <si>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</si>
  <si>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</si>
  <si>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</si>
  <si>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</si>
  <si>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</si>
  <si>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</si>
  <si>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</si>
  <si>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</si>
  <si>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</si>
  <si>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</si>
  <si>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</si>
  <si>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</si>
  <si>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</si>
  <si>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</si>
  <si>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</si>
  <si>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</si>
  <si>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</si>
  <si>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</si>
  <si>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</si>
  <si>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</si>
  <si>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</si>
  <si>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</si>
  <si>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</si>
  <si>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</si>
  <si>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</si>
  <si>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</si>
  <si>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</si>
  <si>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</si>
  <si>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</si>
  <si>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</si>
  <si>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</si>
  <si>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</si>
  <si>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</si>
  <si>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</si>
  <si>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</si>
  <si>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</si>
  <si>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</si>
  <si>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</si>
  <si>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</si>
  <si>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</si>
  <si>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</si>
  <si>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</si>
  <si>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</si>
  <si>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</si>
  <si>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</si>
  <si>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</si>
  <si>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</si>
  <si>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</si>
  <si>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</si>
  <si>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</si>
  <si>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</si>
  <si>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</si>
  <si>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</si>
  <si>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</si>
  <si>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</si>
  <si>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</si>
  <si>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</si>
  <si>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</si>
  <si>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</si>
  <si>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</si>
  <si>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</si>
  <si>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</si>
  <si>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</si>
  <si>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</si>
  <si>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</si>
  <si>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</si>
  <si>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</si>
  <si>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</si>
  <si>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</si>
  <si>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</si>
  <si>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</si>
  <si>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</si>
  <si>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</si>
  <si>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</si>
  <si>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</si>
  <si>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</si>
  <si>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</si>
  <si>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</si>
  <si>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</si>
  <si>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</si>
  <si>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</si>
  <si>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</si>
  <si>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</si>
  <si>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</si>
  <si>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</si>
  <si>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</si>
  <si>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</si>
  <si>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</si>
  <si>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</si>
  <si>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</si>
  <si>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</si>
  <si>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</si>
  <si>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</si>
  <si>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</si>
  <si>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</si>
  <si>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</si>
  <si>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</si>
  <si>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</si>
  <si>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</si>
  <si>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</si>
  <si>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</si>
  <si>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</si>
  <si>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</si>
  <si>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</si>
  <si>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</si>
  <si>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</si>
  <si>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</si>
  <si>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</si>
  <si>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</si>
  <si>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</si>
  <si>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</si>
  <si>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</si>
  <si>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</si>
  <si>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</si>
  <si>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</si>
  <si>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</si>
  <si>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</si>
  <si>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</si>
  <si>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</si>
  <si>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</si>
  <si>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</si>
  <si>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</si>
  <si>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</si>
  <si>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</si>
  <si>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</si>
  <si>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</si>
  <si>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</si>
  <si>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</si>
  <si>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</si>
  <si>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</si>
  <si>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</si>
  <si>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</si>
  <si>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</si>
  <si>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</si>
  <si>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</si>
  <si>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</si>
  <si>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</si>
  <si>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</si>
  <si>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</si>
  <si>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</si>
  <si>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</si>
  <si>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</si>
  <si>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</si>
  <si>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</si>
  <si>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</si>
  <si>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</si>
  <si>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</si>
  <si>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</si>
  <si>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</si>
  <si>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</si>
  <si>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</si>
  <si>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</si>
  <si>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</si>
  <si>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</si>
  <si>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</si>
  <si>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</si>
  <si>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</si>
  <si>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</si>
  <si>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</si>
  <si>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</si>
  <si>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</si>
  <si>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</si>
  <si>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</si>
  <si>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</si>
  <si>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</si>
  <si>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</si>
  <si>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</si>
  <si>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</si>
  <si>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</si>
  <si>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</si>
  <si>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</si>
  <si>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</si>
  <si>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</si>
  <si>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</si>
  <si>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</si>
  <si>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</si>
  <si>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</si>
  <si>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</si>
  <si>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</si>
  <si>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</si>
  <si>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</si>
  <si>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</si>
  <si>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</si>
  <si>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</si>
  <si>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</si>
  <si>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</si>
  <si>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</si>
  <si>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</si>
  <si>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</si>
  <si>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</si>
  <si>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</si>
  <si>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</si>
  <si>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</si>
  <si>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</si>
  <si>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</si>
  <si>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</si>
  <si>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</si>
  <si>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</si>
  <si>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</si>
  <si>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</si>
  <si>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</si>
  <si>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</si>
  <si>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</si>
  <si>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</si>
  <si>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</si>
  <si>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</si>
  <si>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</si>
  <si>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</si>
  <si>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</si>
  <si>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</si>
  <si>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</si>
  <si>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</si>
  <si>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</si>
  <si>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</si>
  <si>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</si>
  <si>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</si>
  <si>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</si>
  <si>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</si>
  <si>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</si>
  <si>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</si>
  <si>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</si>
  <si>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</si>
  <si>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</si>
  <si>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</si>
  <si>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</si>
  <si>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</si>
  <si>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План распределения за период</t>
  </si>
  <si>
    <t>4=3/2</t>
  </si>
  <si>
    <t>тыс. рублей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</si>
  <si>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</si>
  <si>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</si>
  <si>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</si>
  <si>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</si>
  <si>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</si>
  <si>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</si>
  <si>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</si>
  <si>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</si>
  <si>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</si>
  <si>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</si>
  <si>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</si>
  <si>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</si>
  <si>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</si>
  <si>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</si>
  <si>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</si>
  <si>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</si>
  <si>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10=9/11мес.</t>
  </si>
  <si>
    <t>11=8*10</t>
  </si>
  <si>
    <t>12=11-10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</si>
  <si>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</si>
  <si>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 по состоянию на конец отчетного периода</t>
  </si>
  <si>
    <t>доля дотаций на выравнивание бюджетной обеспеченности в доходах бюджета (без учета субвенций) за 2018 год &gt; 20 %</t>
  </si>
  <si>
    <t>для всех поселений</t>
  </si>
  <si>
    <t>для муниципальных районов и городских округов (городских округов с внутригородским делением)</t>
  </si>
  <si>
    <t>для всех муниципальных образований</t>
  </si>
  <si>
    <r>
      <t>Соблюдение условий предоставления субсидий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</si>
  <si>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 xml:space="preserve">* </t>
  </si>
  <si>
    <t>+</t>
  </si>
  <si>
    <t>- условие предоставления субсидии не выполнено</t>
  </si>
  <si>
    <t>- на муниципальное образование распространяется соответствующее ограничение</t>
  </si>
  <si>
    <t>Распределение за отчётный период с учетом выполнения условий предоставления субсидий</t>
  </si>
  <si>
    <t xml:space="preserve"> + / -
(5)=(2)*(4)/(9)</t>
  </si>
  <si>
    <t xml:space="preserve"> + / -
(8)=(2)*(7)/(9)</t>
  </si>
  <si>
    <t>Распределение за отчётный период с учетом корректировки</t>
  </si>
  <si>
    <t>14=11+13</t>
  </si>
  <si>
    <t>Размер ежемесячного удержания субсидий в связи с исполнением показателей за 2018 год</t>
  </si>
  <si>
    <t>Распределение за отчётный период с учетом корректировки, удержания и выполнения условий предоставления субсидий</t>
  </si>
  <si>
    <t>21=19-20</t>
  </si>
  <si>
    <t>За апрель 2019 года</t>
  </si>
  <si>
    <t>Факторный анализ влияния отдельных показателей на итоговое распределение за апрель 2019 года</t>
  </si>
  <si>
    <t>Корректировка распределения с учетом использования показателя "Эффективность муниципального земельного контроля" за I квартал 2019 года</t>
  </si>
  <si>
    <t>муниципальный долг на 01.05.2019 &gt; 90% от утвержденного общего годового объема доходов без учета утвержденного объема безвозмездных поступлений</t>
  </si>
  <si>
    <t>непривлечение кредитов кредитных организаций в апреле 2019 года</t>
  </si>
  <si>
    <t>неувеличение объема муниципального долга в части кредитов кредитных организаций в апреле 2019 года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</si>
</sst>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8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9" fontId="16" fillId="12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6" fontId="16" fillId="12" borderId="3" xfId="0" applyNumberFormat="1" applyFont="1" applyFill="1" applyBorder="1" applyAlignment="1">
      <alignment vertical="center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9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9" fontId="20" fillId="12" borderId="3" xfId="0" applyNumberFormat="1" applyFont="1" applyFill="1" applyBorder="1" applyAlignment="1">
      <alignment vertical="center"/>
    </xf>
    <xf numFmtId="169" fontId="17" fillId="0" borderId="3" xfId="0" applyNumberFormat="1" applyFont="1" applyFill="1" applyBorder="1" applyAlignment="1">
      <alignment horizontal="right" vertical="center"/>
    </xf>
    <xf numFmtId="169" fontId="20" fillId="14" borderId="3" xfId="0" applyNumberFormat="1" applyFont="1" applyFill="1" applyBorder="1" applyAlignment="1">
      <alignment vertical="center"/>
    </xf>
    <xf numFmtId="170" fontId="17" fillId="0" borderId="3" xfId="0" applyNumberFormat="1" applyFont="1" applyBorder="1"/>
    <xf numFmtId="169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70" fontId="17" fillId="0" borderId="3" xfId="0" applyNumberFormat="1" applyFont="1" applyBorder="1" applyAlignment="1">
      <alignment horizontal="center"/>
    </xf>
    <xf numFmtId="0" fontId="15" fillId="0" borderId="3" xfId="45" applyFont="1" applyFill="1" applyBorder="1" applyAlignment="1">
      <alignment vertical="top" wrapText="1"/>
    </xf>
    <xf numFmtId="166" fontId="14" fillId="0" borderId="3" xfId="0" applyNumberFormat="1" applyFont="1" applyFill="1" applyBorder="1" applyAlignment="1">
      <alignment horizontal="right" vertical="center"/>
    </xf>
    <xf numFmtId="166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3" fontId="16" fillId="13" borderId="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4" fillId="19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49" fontId="3" fillId="19" borderId="3" xfId="0" applyNumberFormat="1" applyFont="1" applyFill="1" applyBorder="1" applyAlignment="1">
      <alignment horizontal="center" vertical="center"/>
    </xf>
    <xf numFmtId="169" fontId="14" fillId="0" borderId="3" xfId="0" applyNumberFormat="1" applyFont="1" applyFill="1" applyBorder="1" applyAlignment="1">
      <alignment horizontal="center" vertical="center"/>
    </xf>
    <xf numFmtId="169" fontId="14" fillId="19" borderId="3" xfId="0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167" fontId="16" fillId="13" borderId="3" xfId="0" applyNumberFormat="1" applyFont="1" applyFill="1" applyBorder="1" applyAlignment="1">
      <alignment vertical="center"/>
    </xf>
    <xf numFmtId="0" fontId="3" fillId="19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CCFFCC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H386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4.7109375" style="1" customWidth="1"/>
    <col min="2" max="2" width="13.85546875" style="1" customWidth="1"/>
    <col min="3" max="3" width="13.5703125" style="1" customWidth="1"/>
    <col min="4" max="4" width="13.140625" style="1" customWidth="1"/>
    <col min="5" max="5" width="5.140625" style="1" customWidth="1"/>
    <col min="6" max="6" width="13.7109375" style="1" customWidth="1"/>
    <col min="7" max="7" width="10.140625" style="1" customWidth="1"/>
    <col min="8" max="8" width="13" style="1" customWidth="1"/>
    <col min="9" max="9" width="13.28515625" style="1" customWidth="1"/>
    <col min="10" max="10" width="13.140625" style="1" customWidth="1"/>
    <col min="11" max="11" width="13.5703125" style="1" customWidth="1"/>
    <col min="12" max="12" width="14.28515625" style="1" customWidth="1"/>
    <col min="13" max="14" width="16.140625" style="1" customWidth="1"/>
    <col min="15" max="15" width="20.85546875" style="1" customWidth="1"/>
    <col min="16" max="16" width="22.5703125" style="1" customWidth="1"/>
    <col min="17" max="17" width="10.85546875" style="1" customWidth="1"/>
    <col min="18" max="18" width="17" style="1" bestFit="1" customWidth="1"/>
    <col min="19" max="19" width="13.42578125" style="1" customWidth="1"/>
    <col min="20" max="20" width="14.85546875" style="1" customWidth="1"/>
    <col min="21" max="21" width="14" style="1" customWidth="1"/>
    <col min="22" max="22" width="13.7109375" style="1" bestFit="1" customWidth="1"/>
    <col min="23" max="23" width="67.85546875" style="1" customWidth="1"/>
    <col min="24" max="25" width="14.5703125" style="1" bestFit="1" customWidth="1"/>
    <col min="26" max="26" width="10.5703125" style="1" bestFit="1" customWidth="1"/>
    <col min="27" max="27" width="24.28515625" style="1" customWidth="1"/>
    <col min="28" max="28" width="9.140625" style="1"/>
    <col min="29" max="29" width="32.7109375" style="1" customWidth="1"/>
    <col min="30" max="16384" width="9.140625" style="1"/>
  </cols>
  <sheetData>
    <row r="1" spans="1:27" ht="21.75" customHeight="1">
      <c r="A1" s="77" t="s">
        <v>366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7" ht="15.75">
      <c r="A2" s="59" t="s">
        <v>408</v>
      </c>
    </row>
    <row r="3" spans="1:27" ht="19.5" customHeight="1">
      <c r="A3" s="76" t="s">
        <v>15</v>
      </c>
      <c r="B3" s="74" t="s">
        <v>385</v>
      </c>
      <c r="C3" s="74"/>
      <c r="D3" s="74"/>
      <c r="E3" s="74"/>
      <c r="F3" s="74" t="s">
        <v>390</v>
      </c>
      <c r="G3" s="74"/>
      <c r="H3" s="79" t="s">
        <v>370</v>
      </c>
      <c r="I3" s="78" t="s">
        <v>365</v>
      </c>
      <c r="J3" s="76" t="s">
        <v>367</v>
      </c>
      <c r="K3" s="76" t="s">
        <v>382</v>
      </c>
      <c r="L3" s="76" t="s">
        <v>363</v>
      </c>
      <c r="M3" s="76" t="s">
        <v>410</v>
      </c>
      <c r="N3" s="76" t="s">
        <v>403</v>
      </c>
      <c r="O3" s="73" t="s">
        <v>395</v>
      </c>
      <c r="P3" s="73"/>
      <c r="Q3" s="73"/>
      <c r="R3" s="73"/>
      <c r="S3" s="76" t="s">
        <v>400</v>
      </c>
      <c r="T3" s="76" t="s">
        <v>405</v>
      </c>
      <c r="U3" s="76" t="s">
        <v>406</v>
      </c>
    </row>
    <row r="4" spans="1:27" ht="42.75" customHeight="1">
      <c r="A4" s="76"/>
      <c r="B4" s="74"/>
      <c r="C4" s="74"/>
      <c r="D4" s="74"/>
      <c r="E4" s="74"/>
      <c r="F4" s="74"/>
      <c r="G4" s="74"/>
      <c r="H4" s="79"/>
      <c r="I4" s="78"/>
      <c r="J4" s="76"/>
      <c r="K4" s="76"/>
      <c r="L4" s="76"/>
      <c r="M4" s="76"/>
      <c r="N4" s="76"/>
      <c r="O4" s="73" t="s">
        <v>393</v>
      </c>
      <c r="P4" s="73"/>
      <c r="Q4" s="73" t="s">
        <v>392</v>
      </c>
      <c r="R4" s="71" t="s">
        <v>394</v>
      </c>
      <c r="S4" s="76"/>
      <c r="T4" s="76"/>
      <c r="U4" s="76"/>
    </row>
    <row r="5" spans="1:27" ht="102" customHeight="1">
      <c r="A5" s="76"/>
      <c r="B5" s="74"/>
      <c r="C5" s="74"/>
      <c r="D5" s="74"/>
      <c r="E5" s="74"/>
      <c r="F5" s="74"/>
      <c r="G5" s="74"/>
      <c r="H5" s="79"/>
      <c r="I5" s="78"/>
      <c r="J5" s="76"/>
      <c r="K5" s="76"/>
      <c r="L5" s="76"/>
      <c r="M5" s="76"/>
      <c r="N5" s="76"/>
      <c r="O5" s="71" t="s">
        <v>391</v>
      </c>
      <c r="P5" s="71" t="s">
        <v>411</v>
      </c>
      <c r="Q5" s="73"/>
      <c r="R5" s="73" t="s">
        <v>413</v>
      </c>
      <c r="S5" s="76"/>
      <c r="T5" s="76"/>
      <c r="U5" s="76"/>
    </row>
    <row r="6" spans="1:27" ht="45.75" customHeight="1">
      <c r="A6" s="76"/>
      <c r="B6" s="72" t="s">
        <v>357</v>
      </c>
      <c r="C6" s="72" t="s">
        <v>358</v>
      </c>
      <c r="D6" s="72" t="s">
        <v>371</v>
      </c>
      <c r="E6" s="72" t="s">
        <v>16</v>
      </c>
      <c r="F6" s="72" t="s">
        <v>383</v>
      </c>
      <c r="G6" s="72" t="s">
        <v>16</v>
      </c>
      <c r="H6" s="79"/>
      <c r="I6" s="78"/>
      <c r="J6" s="76"/>
      <c r="K6" s="76"/>
      <c r="L6" s="76"/>
      <c r="M6" s="76"/>
      <c r="N6" s="76"/>
      <c r="O6" s="73" t="s">
        <v>412</v>
      </c>
      <c r="P6" s="73"/>
      <c r="Q6" s="73"/>
      <c r="R6" s="73"/>
      <c r="S6" s="76"/>
      <c r="T6" s="76"/>
      <c r="U6" s="76"/>
    </row>
    <row r="7" spans="1:27" s="18" customFormat="1" ht="14.1" customHeight="1">
      <c r="A7" s="24">
        <v>1</v>
      </c>
      <c r="B7" s="24">
        <v>2</v>
      </c>
      <c r="C7" s="24">
        <v>3</v>
      </c>
      <c r="D7" s="24" t="s">
        <v>368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 t="s">
        <v>386</v>
      </c>
      <c r="K7" s="24" t="s">
        <v>387</v>
      </c>
      <c r="L7" s="24" t="s">
        <v>388</v>
      </c>
      <c r="M7" s="24">
        <v>13</v>
      </c>
      <c r="N7" s="24" t="s">
        <v>404</v>
      </c>
      <c r="O7" s="24">
        <v>15</v>
      </c>
      <c r="P7" s="24">
        <v>16</v>
      </c>
      <c r="Q7" s="24">
        <v>17</v>
      </c>
      <c r="R7" s="24">
        <v>18</v>
      </c>
      <c r="S7" s="24">
        <v>19</v>
      </c>
      <c r="T7" s="24">
        <v>20</v>
      </c>
      <c r="U7" s="24" t="s">
        <v>407</v>
      </c>
      <c r="V7" s="1"/>
      <c r="W7" s="1"/>
      <c r="X7" s="1"/>
      <c r="Y7" s="1"/>
      <c r="Z7" s="1"/>
    </row>
    <row r="8" spans="1:27" s="3" customFormat="1" ht="32.85" customHeight="1">
      <c r="A8" s="34" t="s">
        <v>384</v>
      </c>
      <c r="B8" s="35">
        <f>SUM(B9:B18)</f>
        <v>2808073.4</v>
      </c>
      <c r="C8" s="35">
        <f>SUM(C9:C18)</f>
        <v>2817695.1</v>
      </c>
      <c r="D8" s="6">
        <f>IF(C8/B8&gt;1.2,IF((C8/B8-1.2)*0.1+1.2&gt;1.3,1.3,(C8/B8-1.2)*0.1+1.2),C8/B8)</f>
        <v>1.0034264417732102</v>
      </c>
      <c r="E8" s="20"/>
      <c r="F8" s="20"/>
      <c r="G8" s="20"/>
      <c r="H8" s="21"/>
      <c r="I8" s="19">
        <f t="shared" ref="I8:N8" si="0">SUM(I9:I18)</f>
        <v>1812100</v>
      </c>
      <c r="J8" s="32">
        <f t="shared" si="0"/>
        <v>164736.36363636362</v>
      </c>
      <c r="K8" s="32">
        <f t="shared" si="0"/>
        <v>162120.00000000003</v>
      </c>
      <c r="L8" s="32">
        <f t="shared" si="0"/>
        <v>-2616.3636363636315</v>
      </c>
      <c r="M8" s="32">
        <f t="shared" si="0"/>
        <v>37911.600000000006</v>
      </c>
      <c r="N8" s="32">
        <f t="shared" si="0"/>
        <v>200031.59999999998</v>
      </c>
      <c r="O8" s="32"/>
      <c r="P8" s="32"/>
      <c r="Q8" s="32"/>
      <c r="R8" s="32"/>
      <c r="S8" s="32">
        <f t="shared" ref="S8:U8" si="1">SUM(S9:S18)</f>
        <v>192595.69999999998</v>
      </c>
      <c r="T8" s="32">
        <f>SUM(T9:T18)</f>
        <v>9405.5</v>
      </c>
      <c r="U8" s="32">
        <f t="shared" si="1"/>
        <v>183190.2</v>
      </c>
      <c r="V8" s="1"/>
      <c r="W8" s="1"/>
      <c r="X8" s="1"/>
      <c r="Y8" s="1"/>
      <c r="Z8" s="1"/>
    </row>
    <row r="9" spans="1:27" s="2" customFormat="1" ht="19.5" customHeight="1">
      <c r="A9" s="11" t="s">
        <v>5</v>
      </c>
      <c r="B9" s="56">
        <v>1577446.7</v>
      </c>
      <c r="C9" s="56">
        <v>1645511</v>
      </c>
      <c r="D9" s="4">
        <f>IF(E9=0,0,IF(B9=0,1,IF(C9&lt;0,0,IF(C9/B9&gt;1.2,IF((C9/B9-1.2)*0.1+1.2&gt;1.3,1.3,(C9/B9-1.2)*0.1+1.2),C9/B9))))</f>
        <v>1.0431483992454389</v>
      </c>
      <c r="E9" s="10">
        <v>20</v>
      </c>
      <c r="F9" s="5">
        <v>1</v>
      </c>
      <c r="G9" s="5">
        <v>15</v>
      </c>
      <c r="H9" s="40">
        <f>(D9*E9+F9*G9)/(E9+G9)</f>
        <v>1.0246562281402507</v>
      </c>
      <c r="I9" s="41">
        <v>296098</v>
      </c>
      <c r="J9" s="33">
        <f>I9/11</f>
        <v>26918</v>
      </c>
      <c r="K9" s="33">
        <f>ROUND(H9*J9,1)</f>
        <v>27581.7</v>
      </c>
      <c r="L9" s="33">
        <f>K9-J9</f>
        <v>663.70000000000073</v>
      </c>
      <c r="M9" s="33">
        <v>4394.2</v>
      </c>
      <c r="N9" s="33">
        <f>IF((K9+M9)&gt;0,ROUND(K9+M9,1),0)</f>
        <v>31975.9</v>
      </c>
      <c r="O9" s="67"/>
      <c r="P9" s="67"/>
      <c r="Q9" s="67"/>
      <c r="R9" s="68"/>
      <c r="S9" s="33">
        <f>IF(OR(O9="+",P9="+",Q9="+",R9="+"),0,N9)</f>
        <v>31975.9</v>
      </c>
      <c r="T9" s="33"/>
      <c r="U9" s="33">
        <f>ROUND(S9-T9,1)</f>
        <v>31975.9</v>
      </c>
      <c r="V9" s="1"/>
      <c r="W9" s="60"/>
      <c r="X9" s="1"/>
      <c r="Y9" s="1"/>
      <c r="Z9" s="60"/>
      <c r="AA9" s="60"/>
    </row>
    <row r="10" spans="1:27" s="2" customFormat="1" ht="17.100000000000001" customHeight="1">
      <c r="A10" s="11" t="s">
        <v>6</v>
      </c>
      <c r="B10" s="56">
        <v>789262.8</v>
      </c>
      <c r="C10" s="56">
        <v>725528.5</v>
      </c>
      <c r="D10" s="4">
        <f t="shared" ref="D10:D56" si="2">IF(E10=0,0,IF(B10=0,1,IF(C10&lt;0,0,IF(C10/B10&gt;1.2,IF((C10/B10-1.2)*0.1+1.2&gt;1.3,1.3,(C10/B10-1.2)*0.1+1.2),C10/B10))))</f>
        <v>0.9192483162769105</v>
      </c>
      <c r="E10" s="10">
        <v>20</v>
      </c>
      <c r="F10" s="5">
        <v>1</v>
      </c>
      <c r="G10" s="5">
        <v>15</v>
      </c>
      <c r="H10" s="40">
        <f t="shared" ref="H10:H56" si="3">(D10*E10+F10*G10)/(E10+G10)</f>
        <v>0.95385618072966305</v>
      </c>
      <c r="I10" s="41">
        <v>712744</v>
      </c>
      <c r="J10" s="33">
        <f t="shared" ref="J10:J56" si="4">I10/11</f>
        <v>64794.909090909088</v>
      </c>
      <c r="K10" s="33">
        <f t="shared" ref="K10:K18" si="5">ROUND(H10*J10,1)</f>
        <v>61805</v>
      </c>
      <c r="L10" s="33">
        <f t="shared" ref="L10:L56" si="6">K10-J10</f>
        <v>-2989.9090909090883</v>
      </c>
      <c r="M10" s="33">
        <v>30559.599999999999</v>
      </c>
      <c r="N10" s="33">
        <f t="shared" ref="N10:N56" si="7">IF((K10+M10)&gt;0,ROUND(K10+M10,1),0)</f>
        <v>92364.6</v>
      </c>
      <c r="O10" s="67"/>
      <c r="P10" s="67"/>
      <c r="Q10" s="67"/>
      <c r="R10" s="68"/>
      <c r="S10" s="33">
        <f t="shared" ref="S10:S56" si="8">IF(OR(O10="+",P10="+",Q10="+",R10="+"),0,N10)</f>
        <v>92364.6</v>
      </c>
      <c r="T10" s="33"/>
      <c r="U10" s="33">
        <f t="shared" ref="U10:U56" si="9">ROUND(S10-T10,1)</f>
        <v>92364.6</v>
      </c>
      <c r="V10" s="1"/>
      <c r="W10" s="60"/>
      <c r="X10" s="1"/>
      <c r="Y10" s="1"/>
      <c r="Z10" s="60"/>
      <c r="AA10" s="60"/>
    </row>
    <row r="11" spans="1:27" s="2" customFormat="1" ht="17.100000000000001" customHeight="1">
      <c r="A11" s="11" t="s">
        <v>7</v>
      </c>
      <c r="B11" s="56">
        <v>130112.8</v>
      </c>
      <c r="C11" s="56">
        <v>132618.9</v>
      </c>
      <c r="D11" s="4">
        <f t="shared" si="2"/>
        <v>1.0192609797037646</v>
      </c>
      <c r="E11" s="10">
        <v>20</v>
      </c>
      <c r="F11" s="5">
        <v>1</v>
      </c>
      <c r="G11" s="5">
        <v>15</v>
      </c>
      <c r="H11" s="40">
        <f t="shared" si="3"/>
        <v>1.011006274116437</v>
      </c>
      <c r="I11" s="41">
        <v>167666</v>
      </c>
      <c r="J11" s="33">
        <f t="shared" si="4"/>
        <v>15242.363636363636</v>
      </c>
      <c r="K11" s="33">
        <f t="shared" si="5"/>
        <v>15410.1</v>
      </c>
      <c r="L11" s="33">
        <f t="shared" si="6"/>
        <v>167.73636363636433</v>
      </c>
      <c r="M11" s="33">
        <v>3177.8</v>
      </c>
      <c r="N11" s="33">
        <f t="shared" si="7"/>
        <v>18587.900000000001</v>
      </c>
      <c r="O11" s="67"/>
      <c r="P11" s="67"/>
      <c r="Q11" s="67"/>
      <c r="R11" s="68"/>
      <c r="S11" s="33">
        <f t="shared" si="8"/>
        <v>18587.900000000001</v>
      </c>
      <c r="T11" s="33">
        <f>MIN(S11,7621.2)</f>
        <v>7621.2</v>
      </c>
      <c r="U11" s="33">
        <f t="shared" si="9"/>
        <v>10966.7</v>
      </c>
      <c r="V11" s="1"/>
      <c r="W11" s="60"/>
      <c r="X11" s="1"/>
      <c r="Y11" s="1"/>
      <c r="Z11" s="60"/>
      <c r="AA11" s="60"/>
    </row>
    <row r="12" spans="1:27" s="2" customFormat="1" ht="17.100000000000001" customHeight="1">
      <c r="A12" s="11" t="s">
        <v>8</v>
      </c>
      <c r="B12" s="56">
        <v>103940.5</v>
      </c>
      <c r="C12" s="56">
        <v>115656.6</v>
      </c>
      <c r="D12" s="4">
        <f t="shared" si="2"/>
        <v>1.1127192961357701</v>
      </c>
      <c r="E12" s="10">
        <v>20</v>
      </c>
      <c r="F12" s="5">
        <v>1</v>
      </c>
      <c r="G12" s="5">
        <v>15</v>
      </c>
      <c r="H12" s="40">
        <f t="shared" si="3"/>
        <v>1.0644110263632971</v>
      </c>
      <c r="I12" s="41">
        <v>72029</v>
      </c>
      <c r="J12" s="33">
        <f t="shared" si="4"/>
        <v>6548.090909090909</v>
      </c>
      <c r="K12" s="33">
        <f t="shared" si="5"/>
        <v>6969.9</v>
      </c>
      <c r="L12" s="33">
        <f t="shared" si="6"/>
        <v>421.80909090909063</v>
      </c>
      <c r="M12" s="33">
        <v>466</v>
      </c>
      <c r="N12" s="33">
        <f t="shared" si="7"/>
        <v>7435.9</v>
      </c>
      <c r="O12" s="67"/>
      <c r="P12" s="67"/>
      <c r="Q12" s="67"/>
      <c r="R12" s="68" t="s">
        <v>397</v>
      </c>
      <c r="S12" s="33">
        <f t="shared" si="8"/>
        <v>0</v>
      </c>
      <c r="T12" s="33"/>
      <c r="U12" s="33">
        <f t="shared" si="9"/>
        <v>0</v>
      </c>
      <c r="V12" s="1"/>
      <c r="W12" s="60"/>
      <c r="X12" s="1"/>
      <c r="Y12" s="1"/>
      <c r="Z12" s="60"/>
      <c r="AA12" s="60"/>
    </row>
    <row r="13" spans="1:27" s="2" customFormat="1" ht="17.100000000000001" customHeight="1">
      <c r="A13" s="11" t="s">
        <v>9</v>
      </c>
      <c r="B13" s="56">
        <v>43238</v>
      </c>
      <c r="C13" s="56">
        <v>47908.6</v>
      </c>
      <c r="D13" s="4">
        <f t="shared" si="2"/>
        <v>1.1080207225126046</v>
      </c>
      <c r="E13" s="10">
        <v>20</v>
      </c>
      <c r="F13" s="5">
        <v>1</v>
      </c>
      <c r="G13" s="5">
        <v>15</v>
      </c>
      <c r="H13" s="40">
        <f t="shared" si="3"/>
        <v>1.0617261271500598</v>
      </c>
      <c r="I13" s="41">
        <v>138220</v>
      </c>
      <c r="J13" s="33">
        <f t="shared" si="4"/>
        <v>12565.454545454546</v>
      </c>
      <c r="K13" s="33">
        <f t="shared" si="5"/>
        <v>13341.1</v>
      </c>
      <c r="L13" s="33">
        <f t="shared" si="6"/>
        <v>775.64545454545441</v>
      </c>
      <c r="M13" s="33">
        <v>2206.3000000000002</v>
      </c>
      <c r="N13" s="33">
        <f t="shared" si="7"/>
        <v>15547.4</v>
      </c>
      <c r="O13" s="67"/>
      <c r="P13" s="67"/>
      <c r="Q13" s="67"/>
      <c r="R13" s="68"/>
      <c r="S13" s="33">
        <f t="shared" si="8"/>
        <v>15547.4</v>
      </c>
      <c r="T13" s="33"/>
      <c r="U13" s="33">
        <f t="shared" si="9"/>
        <v>15547.4</v>
      </c>
      <c r="V13" s="1"/>
      <c r="W13" s="60"/>
      <c r="X13" s="1"/>
      <c r="Y13" s="1"/>
      <c r="Z13" s="60"/>
      <c r="AA13" s="60"/>
    </row>
    <row r="14" spans="1:27" s="2" customFormat="1" ht="17.100000000000001" customHeight="1">
      <c r="A14" s="11" t="s">
        <v>10</v>
      </c>
      <c r="B14" s="56">
        <v>45946.2</v>
      </c>
      <c r="C14" s="56">
        <v>43474.3</v>
      </c>
      <c r="D14" s="4">
        <f t="shared" si="2"/>
        <v>0.94620012101109574</v>
      </c>
      <c r="E14" s="10">
        <v>20</v>
      </c>
      <c r="F14" s="5">
        <v>1</v>
      </c>
      <c r="G14" s="5">
        <v>15</v>
      </c>
      <c r="H14" s="40">
        <f t="shared" si="3"/>
        <v>0.9692572120063403</v>
      </c>
      <c r="I14" s="41">
        <v>49201</v>
      </c>
      <c r="J14" s="33">
        <f t="shared" si="4"/>
        <v>4472.818181818182</v>
      </c>
      <c r="K14" s="33">
        <f t="shared" si="5"/>
        <v>4335.3</v>
      </c>
      <c r="L14" s="33">
        <f t="shared" si="6"/>
        <v>-137.5181818181818</v>
      </c>
      <c r="M14" s="33">
        <v>-1426.4</v>
      </c>
      <c r="N14" s="33">
        <f t="shared" si="7"/>
        <v>2908.9</v>
      </c>
      <c r="O14" s="67"/>
      <c r="P14" s="67"/>
      <c r="Q14" s="67"/>
      <c r="R14" s="68"/>
      <c r="S14" s="33">
        <f t="shared" si="8"/>
        <v>2908.9</v>
      </c>
      <c r="T14" s="33"/>
      <c r="U14" s="33">
        <f t="shared" si="9"/>
        <v>2908.9</v>
      </c>
      <c r="V14" s="1"/>
      <c r="W14" s="60"/>
      <c r="X14" s="1"/>
      <c r="Y14" s="1"/>
      <c r="Z14" s="60"/>
      <c r="AA14" s="60"/>
    </row>
    <row r="15" spans="1:27" s="2" customFormat="1" ht="16.5" customHeight="1">
      <c r="A15" s="11" t="s">
        <v>11</v>
      </c>
      <c r="B15" s="56">
        <v>44684.800000000003</v>
      </c>
      <c r="C15" s="56">
        <v>40901</v>
      </c>
      <c r="D15" s="4">
        <f t="shared" si="2"/>
        <v>0.91532243626468057</v>
      </c>
      <c r="E15" s="10">
        <v>20</v>
      </c>
      <c r="F15" s="5">
        <v>1</v>
      </c>
      <c r="G15" s="5">
        <v>15</v>
      </c>
      <c r="H15" s="40">
        <f t="shared" si="3"/>
        <v>0.95161282072267461</v>
      </c>
      <c r="I15" s="41">
        <v>120632</v>
      </c>
      <c r="J15" s="33">
        <f t="shared" si="4"/>
        <v>10966.545454545454</v>
      </c>
      <c r="K15" s="33">
        <f t="shared" si="5"/>
        <v>10435.9</v>
      </c>
      <c r="L15" s="33">
        <f t="shared" si="6"/>
        <v>-530.64545454545441</v>
      </c>
      <c r="M15" s="33">
        <v>1957.9</v>
      </c>
      <c r="N15" s="33">
        <f t="shared" si="7"/>
        <v>12393.8</v>
      </c>
      <c r="O15" s="67"/>
      <c r="P15" s="67"/>
      <c r="Q15" s="67"/>
      <c r="R15" s="68"/>
      <c r="S15" s="33">
        <f t="shared" si="8"/>
        <v>12393.8</v>
      </c>
      <c r="T15" s="33"/>
      <c r="U15" s="33">
        <f t="shared" si="9"/>
        <v>12393.8</v>
      </c>
      <c r="V15" s="1"/>
      <c r="W15" s="60"/>
      <c r="X15" s="1"/>
      <c r="Y15" s="1"/>
      <c r="Z15" s="60"/>
      <c r="AA15" s="60"/>
    </row>
    <row r="16" spans="1:27" s="2" customFormat="1" ht="17.100000000000001" customHeight="1">
      <c r="A16" s="55" t="s">
        <v>12</v>
      </c>
      <c r="B16" s="56">
        <v>12846.4</v>
      </c>
      <c r="C16" s="56">
        <v>13214.1</v>
      </c>
      <c r="D16" s="4">
        <f t="shared" si="2"/>
        <v>1.0286228048324824</v>
      </c>
      <c r="E16" s="10">
        <v>20</v>
      </c>
      <c r="F16" s="5">
        <v>1</v>
      </c>
      <c r="G16" s="5">
        <v>15</v>
      </c>
      <c r="H16" s="40">
        <f t="shared" si="3"/>
        <v>1.0163558884757042</v>
      </c>
      <c r="I16" s="41">
        <v>79578</v>
      </c>
      <c r="J16" s="33">
        <f t="shared" si="4"/>
        <v>7234.363636363636</v>
      </c>
      <c r="K16" s="33">
        <f t="shared" si="5"/>
        <v>7352.7</v>
      </c>
      <c r="L16" s="33">
        <f t="shared" si="6"/>
        <v>118.33636363636379</v>
      </c>
      <c r="M16" s="33">
        <v>-76.5</v>
      </c>
      <c r="N16" s="33">
        <f t="shared" si="7"/>
        <v>7276.2</v>
      </c>
      <c r="O16" s="67"/>
      <c r="P16" s="68"/>
      <c r="Q16" s="67"/>
      <c r="R16" s="68"/>
      <c r="S16" s="33">
        <f t="shared" si="8"/>
        <v>7276.2</v>
      </c>
      <c r="T16" s="33"/>
      <c r="U16" s="33">
        <f t="shared" si="9"/>
        <v>7276.2</v>
      </c>
      <c r="V16" s="1"/>
      <c r="W16" s="60"/>
      <c r="X16" s="1"/>
      <c r="Y16" s="1"/>
      <c r="Z16" s="60"/>
      <c r="AA16" s="60"/>
    </row>
    <row r="17" spans="1:27" s="2" customFormat="1" ht="17.100000000000001" customHeight="1">
      <c r="A17" s="11" t="s">
        <v>13</v>
      </c>
      <c r="B17" s="56">
        <v>35754.699999999997</v>
      </c>
      <c r="C17" s="56">
        <v>32776.5</v>
      </c>
      <c r="D17" s="4">
        <f t="shared" si="2"/>
        <v>0.91670465701012738</v>
      </c>
      <c r="E17" s="10">
        <v>20</v>
      </c>
      <c r="F17" s="5">
        <v>1</v>
      </c>
      <c r="G17" s="5">
        <v>15</v>
      </c>
      <c r="H17" s="40">
        <f t="shared" si="3"/>
        <v>0.95240266114864425</v>
      </c>
      <c r="I17" s="41">
        <v>114188</v>
      </c>
      <c r="J17" s="33">
        <f t="shared" si="4"/>
        <v>10380.727272727272</v>
      </c>
      <c r="K17" s="33">
        <f t="shared" si="5"/>
        <v>9886.6</v>
      </c>
      <c r="L17" s="33">
        <f t="shared" si="6"/>
        <v>-494.1272727272717</v>
      </c>
      <c r="M17" s="33">
        <v>-4201.1000000000004</v>
      </c>
      <c r="N17" s="33">
        <f t="shared" si="7"/>
        <v>5685.5</v>
      </c>
      <c r="O17" s="67"/>
      <c r="P17" s="67"/>
      <c r="Q17" s="67"/>
      <c r="R17" s="68"/>
      <c r="S17" s="33">
        <f t="shared" si="8"/>
        <v>5685.5</v>
      </c>
      <c r="T17" s="33"/>
      <c r="U17" s="33">
        <f t="shared" si="9"/>
        <v>5685.5</v>
      </c>
      <c r="V17" s="1"/>
      <c r="W17" s="60"/>
      <c r="X17" s="1"/>
      <c r="Y17" s="1"/>
      <c r="Z17" s="60"/>
      <c r="AA17" s="60"/>
    </row>
    <row r="18" spans="1:27" s="2" customFormat="1" ht="17.100000000000001" customHeight="1">
      <c r="A18" s="11" t="s">
        <v>14</v>
      </c>
      <c r="B18" s="56">
        <v>24840.5</v>
      </c>
      <c r="C18" s="56">
        <v>20105.599999999999</v>
      </c>
      <c r="D18" s="4">
        <f t="shared" si="2"/>
        <v>0.80938789476862372</v>
      </c>
      <c r="E18" s="10">
        <v>20</v>
      </c>
      <c r="F18" s="5">
        <v>1</v>
      </c>
      <c r="G18" s="5">
        <v>15</v>
      </c>
      <c r="H18" s="40">
        <f t="shared" si="3"/>
        <v>0.89107879701064208</v>
      </c>
      <c r="I18" s="41">
        <v>61744</v>
      </c>
      <c r="J18" s="33">
        <f t="shared" si="4"/>
        <v>5613.090909090909</v>
      </c>
      <c r="K18" s="33">
        <f t="shared" si="5"/>
        <v>5001.7</v>
      </c>
      <c r="L18" s="33">
        <f t="shared" si="6"/>
        <v>-611.39090909090919</v>
      </c>
      <c r="M18" s="33">
        <v>853.8</v>
      </c>
      <c r="N18" s="33">
        <f>IF((K18+M18)&gt;0,ROUND(K18+M18,1),0)</f>
        <v>5855.5</v>
      </c>
      <c r="O18" s="67"/>
      <c r="P18" s="67"/>
      <c r="Q18" s="67"/>
      <c r="R18" s="68"/>
      <c r="S18" s="33">
        <f t="shared" si="8"/>
        <v>5855.5</v>
      </c>
      <c r="T18" s="33">
        <f>MIN(S18,1784.3)</f>
        <v>1784.3</v>
      </c>
      <c r="U18" s="33">
        <f>ROUND(S18-T18,1)</f>
        <v>4071.2</v>
      </c>
      <c r="V18" s="1"/>
      <c r="W18" s="60"/>
      <c r="X18" s="1"/>
      <c r="Y18" s="1"/>
      <c r="Z18" s="60"/>
      <c r="AA18" s="60"/>
    </row>
    <row r="19" spans="1:27" s="2" customFormat="1" ht="17.100000000000001" customHeight="1">
      <c r="A19" s="34" t="s">
        <v>372</v>
      </c>
      <c r="B19" s="35">
        <f>SUM(B20:B28)</f>
        <v>51286.400000000001</v>
      </c>
      <c r="C19" s="35">
        <f>SUM(C20:C28)</f>
        <v>56421.200000000004</v>
      </c>
      <c r="D19" s="6">
        <f>IF(C19/B19&gt;1.2,IF((C19/B19-1.2)*0.1+1.2&gt;1.3,1.3,(C19/B19-1.2)*0.1+1.2),C19/B19)</f>
        <v>1.1001201098146878</v>
      </c>
      <c r="E19" s="35"/>
      <c r="F19" s="35"/>
      <c r="G19" s="35"/>
      <c r="H19" s="35"/>
      <c r="I19" s="19">
        <f t="shared" ref="I19:U19" si="10">SUM(I20:I28)</f>
        <v>1175</v>
      </c>
      <c r="J19" s="32">
        <f t="shared" si="10"/>
        <v>106.81818181818181</v>
      </c>
      <c r="K19" s="32">
        <f t="shared" si="10"/>
        <v>112.6</v>
      </c>
      <c r="L19" s="32">
        <f t="shared" si="10"/>
        <v>5.7818181818181813</v>
      </c>
      <c r="M19" s="32">
        <f t="shared" si="10"/>
        <v>0</v>
      </c>
      <c r="N19" s="32">
        <f t="shared" si="10"/>
        <v>112.6</v>
      </c>
      <c r="O19" s="32"/>
      <c r="P19" s="32"/>
      <c r="Q19" s="32"/>
      <c r="R19" s="32"/>
      <c r="S19" s="32">
        <f t="shared" si="10"/>
        <v>112.6</v>
      </c>
      <c r="T19" s="32">
        <f t="shared" si="10"/>
        <v>0</v>
      </c>
      <c r="U19" s="32">
        <f t="shared" si="10"/>
        <v>112.6</v>
      </c>
      <c r="V19" s="1"/>
      <c r="W19" s="60"/>
      <c r="X19" s="1"/>
      <c r="Y19" s="1"/>
      <c r="Z19" s="60"/>
      <c r="AA19" s="60"/>
    </row>
    <row r="20" spans="1:27" s="2" customFormat="1" ht="17.100000000000001" customHeight="1">
      <c r="A20" s="11" t="s">
        <v>373</v>
      </c>
      <c r="B20" s="56">
        <v>4426</v>
      </c>
      <c r="C20" s="56">
        <v>3893</v>
      </c>
      <c r="D20" s="4">
        <f t="shared" si="2"/>
        <v>0.87957523723452324</v>
      </c>
      <c r="E20" s="5">
        <v>20</v>
      </c>
      <c r="F20" s="5">
        <f>F$9</f>
        <v>1</v>
      </c>
      <c r="G20" s="5">
        <v>15</v>
      </c>
      <c r="H20" s="40">
        <f t="shared" si="3"/>
        <v>0.93118584984829911</v>
      </c>
      <c r="I20" s="41">
        <v>0</v>
      </c>
      <c r="J20" s="33">
        <f t="shared" si="4"/>
        <v>0</v>
      </c>
      <c r="K20" s="33">
        <f t="shared" ref="K20:K28" si="11">ROUND(H20*J20,1)</f>
        <v>0</v>
      </c>
      <c r="L20" s="33">
        <f t="shared" si="6"/>
        <v>0</v>
      </c>
      <c r="M20" s="33">
        <v>0</v>
      </c>
      <c r="N20" s="33">
        <f t="shared" si="7"/>
        <v>0</v>
      </c>
      <c r="O20" s="67"/>
      <c r="P20" s="67"/>
      <c r="Q20" s="67"/>
      <c r="R20" s="68"/>
      <c r="S20" s="33">
        <f t="shared" si="8"/>
        <v>0</v>
      </c>
      <c r="T20" s="33"/>
      <c r="U20" s="33">
        <f t="shared" si="9"/>
        <v>0</v>
      </c>
      <c r="V20" s="1"/>
      <c r="W20" s="60"/>
      <c r="X20" s="1"/>
      <c r="Y20" s="1"/>
      <c r="Z20" s="60"/>
      <c r="AA20" s="60"/>
    </row>
    <row r="21" spans="1:27" s="2" customFormat="1" ht="17.100000000000001" customHeight="1">
      <c r="A21" s="55" t="s">
        <v>374</v>
      </c>
      <c r="B21" s="56">
        <v>9276.7999999999993</v>
      </c>
      <c r="C21" s="56">
        <v>9979.5</v>
      </c>
      <c r="D21" s="4">
        <f t="shared" si="2"/>
        <v>1.075748102794067</v>
      </c>
      <c r="E21" s="5">
        <v>20</v>
      </c>
      <c r="F21" s="5">
        <f t="shared" ref="F21:F27" si="12">F$9</f>
        <v>1</v>
      </c>
      <c r="G21" s="5">
        <v>15</v>
      </c>
      <c r="H21" s="40">
        <f t="shared" si="3"/>
        <v>1.0432846301680383</v>
      </c>
      <c r="I21" s="41">
        <v>0</v>
      </c>
      <c r="J21" s="33">
        <f t="shared" si="4"/>
        <v>0</v>
      </c>
      <c r="K21" s="33">
        <f t="shared" si="11"/>
        <v>0</v>
      </c>
      <c r="L21" s="33">
        <f t="shared" si="6"/>
        <v>0</v>
      </c>
      <c r="M21" s="33">
        <v>0</v>
      </c>
      <c r="N21" s="33">
        <f t="shared" si="7"/>
        <v>0</v>
      </c>
      <c r="O21" s="67"/>
      <c r="P21" s="67"/>
      <c r="Q21" s="67"/>
      <c r="R21" s="68"/>
      <c r="S21" s="33">
        <f t="shared" si="8"/>
        <v>0</v>
      </c>
      <c r="T21" s="33"/>
      <c r="U21" s="33">
        <f t="shared" si="9"/>
        <v>0</v>
      </c>
      <c r="V21" s="1"/>
      <c r="W21" s="60"/>
      <c r="X21" s="1"/>
      <c r="Y21" s="1"/>
      <c r="Z21" s="60"/>
      <c r="AA21" s="60"/>
    </row>
    <row r="22" spans="1:27" s="2" customFormat="1" ht="17.100000000000001" customHeight="1">
      <c r="A22" s="55" t="s">
        <v>375</v>
      </c>
      <c r="B22" s="56">
        <v>3476.9</v>
      </c>
      <c r="C22" s="56">
        <v>4892.8999999999996</v>
      </c>
      <c r="D22" s="4">
        <f t="shared" si="2"/>
        <v>1.2207259340216858</v>
      </c>
      <c r="E22" s="5">
        <v>20</v>
      </c>
      <c r="F22" s="5">
        <f t="shared" si="12"/>
        <v>1</v>
      </c>
      <c r="G22" s="5">
        <v>15</v>
      </c>
      <c r="H22" s="40">
        <f t="shared" si="3"/>
        <v>1.1261291051552491</v>
      </c>
      <c r="I22" s="41">
        <v>0</v>
      </c>
      <c r="J22" s="33">
        <f t="shared" si="4"/>
        <v>0</v>
      </c>
      <c r="K22" s="33">
        <f t="shared" si="11"/>
        <v>0</v>
      </c>
      <c r="L22" s="33">
        <f t="shared" si="6"/>
        <v>0</v>
      </c>
      <c r="M22" s="33">
        <v>0</v>
      </c>
      <c r="N22" s="33">
        <f t="shared" si="7"/>
        <v>0</v>
      </c>
      <c r="O22" s="67"/>
      <c r="P22" s="67"/>
      <c r="Q22" s="67"/>
      <c r="R22" s="68"/>
      <c r="S22" s="33">
        <f t="shared" si="8"/>
        <v>0</v>
      </c>
      <c r="T22" s="33"/>
      <c r="U22" s="33">
        <f t="shared" si="9"/>
        <v>0</v>
      </c>
      <c r="V22" s="1"/>
      <c r="W22" s="60"/>
      <c r="X22" s="1"/>
      <c r="Y22" s="1"/>
      <c r="Z22" s="60"/>
      <c r="AA22" s="60"/>
    </row>
    <row r="23" spans="1:27" s="2" customFormat="1" ht="17.100000000000001" customHeight="1">
      <c r="A23" s="55" t="s">
        <v>376</v>
      </c>
      <c r="B23" s="56">
        <v>6527.7</v>
      </c>
      <c r="C23" s="56">
        <v>6995.6</v>
      </c>
      <c r="D23" s="4">
        <f t="shared" si="2"/>
        <v>1.0716791519218103</v>
      </c>
      <c r="E23" s="5">
        <v>20</v>
      </c>
      <c r="F23" s="5">
        <f t="shared" si="12"/>
        <v>1</v>
      </c>
      <c r="G23" s="5">
        <v>15</v>
      </c>
      <c r="H23" s="40">
        <f t="shared" si="3"/>
        <v>1.0409595153838915</v>
      </c>
      <c r="I23" s="41">
        <v>0</v>
      </c>
      <c r="J23" s="33">
        <f t="shared" si="4"/>
        <v>0</v>
      </c>
      <c r="K23" s="33">
        <f t="shared" si="11"/>
        <v>0</v>
      </c>
      <c r="L23" s="33">
        <f t="shared" si="6"/>
        <v>0</v>
      </c>
      <c r="M23" s="33">
        <v>0</v>
      </c>
      <c r="N23" s="33">
        <f t="shared" si="7"/>
        <v>0</v>
      </c>
      <c r="O23" s="67"/>
      <c r="P23" s="67"/>
      <c r="Q23" s="67"/>
      <c r="R23" s="68"/>
      <c r="S23" s="33">
        <f t="shared" si="8"/>
        <v>0</v>
      </c>
      <c r="T23" s="33"/>
      <c r="U23" s="33">
        <f t="shared" si="9"/>
        <v>0</v>
      </c>
      <c r="V23" s="1"/>
      <c r="W23" s="60"/>
      <c r="X23" s="1"/>
      <c r="Y23" s="1"/>
      <c r="Z23" s="60"/>
      <c r="AA23" s="60"/>
    </row>
    <row r="24" spans="1:27" s="2" customFormat="1" ht="17.100000000000001" customHeight="1">
      <c r="A24" s="55" t="s">
        <v>377</v>
      </c>
      <c r="B24" s="56">
        <v>4567.2</v>
      </c>
      <c r="C24" s="56">
        <v>5045.2</v>
      </c>
      <c r="D24" s="4">
        <f t="shared" si="2"/>
        <v>1.104659309861622</v>
      </c>
      <c r="E24" s="5">
        <v>20</v>
      </c>
      <c r="F24" s="5">
        <f>F$9</f>
        <v>1</v>
      </c>
      <c r="G24" s="5">
        <v>15</v>
      </c>
      <c r="H24" s="40">
        <f t="shared" si="3"/>
        <v>1.059805319920927</v>
      </c>
      <c r="I24" s="41">
        <v>0</v>
      </c>
      <c r="J24" s="33">
        <f t="shared" si="4"/>
        <v>0</v>
      </c>
      <c r="K24" s="33">
        <f t="shared" si="11"/>
        <v>0</v>
      </c>
      <c r="L24" s="33">
        <f t="shared" si="6"/>
        <v>0</v>
      </c>
      <c r="M24" s="33">
        <v>0</v>
      </c>
      <c r="N24" s="33">
        <f t="shared" si="7"/>
        <v>0</v>
      </c>
      <c r="O24" s="67"/>
      <c r="P24" s="67"/>
      <c r="Q24" s="67"/>
      <c r="R24" s="68"/>
      <c r="S24" s="33">
        <f t="shared" si="8"/>
        <v>0</v>
      </c>
      <c r="T24" s="33"/>
      <c r="U24" s="33">
        <f t="shared" si="9"/>
        <v>0</v>
      </c>
      <c r="V24" s="1"/>
      <c r="W24" s="60"/>
      <c r="X24" s="1"/>
      <c r="Y24" s="1"/>
      <c r="Z24" s="60"/>
      <c r="AA24" s="60"/>
    </row>
    <row r="25" spans="1:27" s="2" customFormat="1" ht="17.100000000000001" customHeight="1">
      <c r="A25" s="55" t="s">
        <v>378</v>
      </c>
      <c r="B25" s="56">
        <v>7444.4</v>
      </c>
      <c r="C25" s="56">
        <v>7880.2</v>
      </c>
      <c r="D25" s="4">
        <f t="shared" si="2"/>
        <v>1.0585406480038686</v>
      </c>
      <c r="E25" s="5">
        <v>20</v>
      </c>
      <c r="F25" s="5">
        <f t="shared" si="12"/>
        <v>1</v>
      </c>
      <c r="G25" s="5">
        <v>15</v>
      </c>
      <c r="H25" s="40">
        <f t="shared" si="3"/>
        <v>1.0334517988593535</v>
      </c>
      <c r="I25" s="41">
        <v>0</v>
      </c>
      <c r="J25" s="33">
        <f t="shared" si="4"/>
        <v>0</v>
      </c>
      <c r="K25" s="33">
        <f t="shared" si="11"/>
        <v>0</v>
      </c>
      <c r="L25" s="33">
        <f t="shared" si="6"/>
        <v>0</v>
      </c>
      <c r="M25" s="33">
        <v>0</v>
      </c>
      <c r="N25" s="33">
        <f t="shared" si="7"/>
        <v>0</v>
      </c>
      <c r="O25" s="67"/>
      <c r="P25" s="67"/>
      <c r="Q25" s="67"/>
      <c r="R25" s="68"/>
      <c r="S25" s="33">
        <f t="shared" si="8"/>
        <v>0</v>
      </c>
      <c r="T25" s="33"/>
      <c r="U25" s="33">
        <f t="shared" si="9"/>
        <v>0</v>
      </c>
      <c r="V25" s="1"/>
      <c r="W25" s="60"/>
      <c r="X25" s="1"/>
      <c r="Y25" s="1"/>
      <c r="Z25" s="60"/>
      <c r="AA25" s="60"/>
    </row>
    <row r="26" spans="1:27" s="2" customFormat="1" ht="17.100000000000001" customHeight="1">
      <c r="A26" s="55" t="s">
        <v>379</v>
      </c>
      <c r="B26" s="56">
        <v>8110.8</v>
      </c>
      <c r="C26" s="56">
        <v>8757</v>
      </c>
      <c r="D26" s="4">
        <f t="shared" si="2"/>
        <v>1.0796715490457167</v>
      </c>
      <c r="E26" s="5">
        <v>20</v>
      </c>
      <c r="F26" s="5">
        <f t="shared" si="12"/>
        <v>1</v>
      </c>
      <c r="G26" s="5">
        <v>15</v>
      </c>
      <c r="H26" s="40">
        <f t="shared" si="3"/>
        <v>1.0455265994546952</v>
      </c>
      <c r="I26" s="41">
        <v>0</v>
      </c>
      <c r="J26" s="33">
        <f t="shared" si="4"/>
        <v>0</v>
      </c>
      <c r="K26" s="33">
        <f t="shared" si="11"/>
        <v>0</v>
      </c>
      <c r="L26" s="33">
        <f t="shared" si="6"/>
        <v>0</v>
      </c>
      <c r="M26" s="33">
        <v>0</v>
      </c>
      <c r="N26" s="33">
        <f t="shared" si="7"/>
        <v>0</v>
      </c>
      <c r="O26" s="67"/>
      <c r="P26" s="67"/>
      <c r="Q26" s="67"/>
      <c r="R26" s="68"/>
      <c r="S26" s="33">
        <f t="shared" si="8"/>
        <v>0</v>
      </c>
      <c r="T26" s="33"/>
      <c r="U26" s="33">
        <f t="shared" si="9"/>
        <v>0</v>
      </c>
      <c r="V26" s="1"/>
      <c r="W26" s="60"/>
      <c r="X26" s="1"/>
      <c r="Y26" s="1"/>
      <c r="Z26" s="60"/>
      <c r="AA26" s="60"/>
    </row>
    <row r="27" spans="1:27" s="2" customFormat="1" ht="17.100000000000001" customHeight="1">
      <c r="A27" s="11" t="s">
        <v>381</v>
      </c>
      <c r="B27" s="56">
        <v>2144.9</v>
      </c>
      <c r="C27" s="56">
        <v>3160</v>
      </c>
      <c r="D27" s="4">
        <f t="shared" si="2"/>
        <v>1.2273262156743905</v>
      </c>
      <c r="E27" s="5">
        <v>20</v>
      </c>
      <c r="F27" s="5">
        <f t="shared" si="12"/>
        <v>1</v>
      </c>
      <c r="G27" s="5">
        <v>15</v>
      </c>
      <c r="H27" s="40">
        <f t="shared" si="3"/>
        <v>1.1299006946710801</v>
      </c>
      <c r="I27" s="41">
        <v>0</v>
      </c>
      <c r="J27" s="33">
        <f t="shared" si="4"/>
        <v>0</v>
      </c>
      <c r="K27" s="33">
        <f t="shared" si="11"/>
        <v>0</v>
      </c>
      <c r="L27" s="33">
        <f t="shared" si="6"/>
        <v>0</v>
      </c>
      <c r="M27" s="33">
        <v>0</v>
      </c>
      <c r="N27" s="33">
        <f t="shared" si="7"/>
        <v>0</v>
      </c>
      <c r="O27" s="67"/>
      <c r="P27" s="67"/>
      <c r="Q27" s="67"/>
      <c r="R27" s="68"/>
      <c r="S27" s="33">
        <f t="shared" si="8"/>
        <v>0</v>
      </c>
      <c r="T27" s="33"/>
      <c r="U27" s="33">
        <f t="shared" si="9"/>
        <v>0</v>
      </c>
      <c r="V27" s="1"/>
      <c r="W27" s="60"/>
      <c r="X27" s="1"/>
      <c r="Y27" s="1"/>
      <c r="Z27" s="60"/>
      <c r="AA27" s="60"/>
    </row>
    <row r="28" spans="1:27" s="2" customFormat="1" ht="17.100000000000001" customHeight="1">
      <c r="A28" s="11" t="s">
        <v>380</v>
      </c>
      <c r="B28" s="56">
        <v>5311.7</v>
      </c>
      <c r="C28" s="56">
        <v>5817.8</v>
      </c>
      <c r="D28" s="4">
        <f t="shared" si="2"/>
        <v>1.0952802304347009</v>
      </c>
      <c r="E28" s="5">
        <v>20</v>
      </c>
      <c r="F28" s="5">
        <f>F$9</f>
        <v>1</v>
      </c>
      <c r="G28" s="5">
        <v>15</v>
      </c>
      <c r="H28" s="40">
        <f t="shared" si="3"/>
        <v>1.0544458459626862</v>
      </c>
      <c r="I28" s="41">
        <v>1175</v>
      </c>
      <c r="J28" s="33">
        <f t="shared" si="4"/>
        <v>106.81818181818181</v>
      </c>
      <c r="K28" s="33">
        <f t="shared" si="11"/>
        <v>112.6</v>
      </c>
      <c r="L28" s="33">
        <f t="shared" si="6"/>
        <v>5.7818181818181813</v>
      </c>
      <c r="M28" s="33">
        <v>0</v>
      </c>
      <c r="N28" s="33">
        <f t="shared" si="7"/>
        <v>112.6</v>
      </c>
      <c r="O28" s="67"/>
      <c r="P28" s="67"/>
      <c r="Q28" s="67"/>
      <c r="R28" s="68"/>
      <c r="S28" s="33">
        <f t="shared" si="8"/>
        <v>112.6</v>
      </c>
      <c r="T28" s="33"/>
      <c r="U28" s="33">
        <f t="shared" si="9"/>
        <v>112.6</v>
      </c>
      <c r="V28" s="1"/>
      <c r="W28" s="60"/>
      <c r="X28" s="1"/>
      <c r="Y28" s="1"/>
      <c r="Z28" s="60"/>
      <c r="AA28" s="60"/>
    </row>
    <row r="29" spans="1:27" s="2" customFormat="1" ht="17.100000000000001" customHeight="1">
      <c r="A29" s="14" t="s">
        <v>17</v>
      </c>
      <c r="B29" s="35">
        <f>SUM(B30:B56)</f>
        <v>572870.9</v>
      </c>
      <c r="C29" s="35">
        <f>SUM(C30:C56)</f>
        <v>575603.80000000005</v>
      </c>
      <c r="D29" s="6">
        <f>IF(C29/B29&gt;1.2,IF((C29/B29-1.2)*0.1+1.2&gt;1.3,1.3,(C29/B29-1.2)*0.1+1.2),C29/B29)</f>
        <v>1.0047705338148614</v>
      </c>
      <c r="E29" s="20"/>
      <c r="F29" s="20"/>
      <c r="G29" s="20"/>
      <c r="H29" s="21"/>
      <c r="I29" s="19">
        <f t="shared" ref="I29:N29" si="13">SUM(I30:I56)</f>
        <v>964790</v>
      </c>
      <c r="J29" s="32">
        <f t="shared" si="13"/>
        <v>87708.181818181838</v>
      </c>
      <c r="K29" s="32">
        <f t="shared" si="13"/>
        <v>87894.699999999983</v>
      </c>
      <c r="L29" s="32">
        <f t="shared" si="13"/>
        <v>186.51818181818112</v>
      </c>
      <c r="M29" s="32">
        <f t="shared" si="13"/>
        <v>13207.800000000001</v>
      </c>
      <c r="N29" s="32">
        <f t="shared" si="13"/>
        <v>101102.5</v>
      </c>
      <c r="O29" s="32"/>
      <c r="P29" s="32"/>
      <c r="Q29" s="32"/>
      <c r="R29" s="32"/>
      <c r="S29" s="32">
        <f t="shared" ref="S29:U29" si="14">SUM(S30:S56)</f>
        <v>101102.5</v>
      </c>
      <c r="T29" s="32">
        <f t="shared" si="14"/>
        <v>4470.1000000000004</v>
      </c>
      <c r="U29" s="32">
        <f t="shared" si="14"/>
        <v>96632.4</v>
      </c>
      <c r="V29" s="1"/>
      <c r="W29" s="60"/>
      <c r="X29" s="1"/>
      <c r="Y29" s="1"/>
      <c r="Z29" s="60"/>
      <c r="AA29" s="60"/>
    </row>
    <row r="30" spans="1:27" s="2" customFormat="1" ht="17.100000000000001" customHeight="1">
      <c r="A30" s="12" t="s">
        <v>0</v>
      </c>
      <c r="B30" s="56">
        <v>5588.9</v>
      </c>
      <c r="C30" s="56">
        <v>6394.4</v>
      </c>
      <c r="D30" s="4">
        <f t="shared" si="2"/>
        <v>1.1441249619782068</v>
      </c>
      <c r="E30" s="10">
        <v>15</v>
      </c>
      <c r="F30" s="5">
        <v>1</v>
      </c>
      <c r="G30" s="5">
        <v>10</v>
      </c>
      <c r="H30" s="40">
        <f t="shared" si="3"/>
        <v>1.086474977186924</v>
      </c>
      <c r="I30" s="41">
        <v>32550</v>
      </c>
      <c r="J30" s="33">
        <f t="shared" si="4"/>
        <v>2959.090909090909</v>
      </c>
      <c r="K30" s="33">
        <f t="shared" ref="K30:K56" si="15">ROUND(H30*J30,1)</f>
        <v>3215</v>
      </c>
      <c r="L30" s="33">
        <f t="shared" si="6"/>
        <v>255.90909090909099</v>
      </c>
      <c r="M30" s="33">
        <v>-2084.3000000000002</v>
      </c>
      <c r="N30" s="33">
        <f t="shared" si="7"/>
        <v>1130.7</v>
      </c>
      <c r="O30" s="67"/>
      <c r="P30" s="67"/>
      <c r="Q30" s="67"/>
      <c r="R30" s="68"/>
      <c r="S30" s="33">
        <f t="shared" si="8"/>
        <v>1130.7</v>
      </c>
      <c r="T30" s="33"/>
      <c r="U30" s="33">
        <f t="shared" si="9"/>
        <v>1130.7</v>
      </c>
      <c r="V30" s="1"/>
      <c r="W30" s="60"/>
      <c r="X30" s="1"/>
      <c r="Y30" s="1"/>
      <c r="Z30" s="60"/>
      <c r="AA30" s="60"/>
    </row>
    <row r="31" spans="1:27" s="2" customFormat="1" ht="17.100000000000001" customHeight="1">
      <c r="A31" s="12" t="s">
        <v>18</v>
      </c>
      <c r="B31" s="56">
        <v>27230</v>
      </c>
      <c r="C31" s="56">
        <v>28706.5</v>
      </c>
      <c r="D31" s="4">
        <f t="shared" si="2"/>
        <v>1.0542232831435916</v>
      </c>
      <c r="E31" s="10">
        <v>15</v>
      </c>
      <c r="F31" s="5">
        <v>1</v>
      </c>
      <c r="G31" s="5">
        <v>10</v>
      </c>
      <c r="H31" s="40">
        <f t="shared" si="3"/>
        <v>1.0325339698861549</v>
      </c>
      <c r="I31" s="41">
        <v>38433</v>
      </c>
      <c r="J31" s="33">
        <f t="shared" si="4"/>
        <v>3493.909090909091</v>
      </c>
      <c r="K31" s="33">
        <f t="shared" si="15"/>
        <v>3607.6</v>
      </c>
      <c r="L31" s="33">
        <f t="shared" si="6"/>
        <v>113.69090909090892</v>
      </c>
      <c r="M31" s="33">
        <v>143.5</v>
      </c>
      <c r="N31" s="33">
        <f t="shared" si="7"/>
        <v>3751.1</v>
      </c>
      <c r="O31" s="67"/>
      <c r="P31" s="67"/>
      <c r="Q31" s="67"/>
      <c r="R31" s="68"/>
      <c r="S31" s="33">
        <f t="shared" si="8"/>
        <v>3751.1</v>
      </c>
      <c r="T31" s="33"/>
      <c r="U31" s="33">
        <f t="shared" si="9"/>
        <v>3751.1</v>
      </c>
      <c r="V31" s="1"/>
      <c r="W31" s="60"/>
      <c r="X31" s="1"/>
      <c r="Y31" s="1"/>
      <c r="Z31" s="60"/>
      <c r="AA31" s="60"/>
    </row>
    <row r="32" spans="1:27" s="2" customFormat="1" ht="17.100000000000001" customHeight="1">
      <c r="A32" s="12" t="s">
        <v>19</v>
      </c>
      <c r="B32" s="56">
        <v>8982.7000000000007</v>
      </c>
      <c r="C32" s="56">
        <v>7063.3</v>
      </c>
      <c r="D32" s="4">
        <f t="shared" si="2"/>
        <v>0.78632259788259651</v>
      </c>
      <c r="E32" s="10">
        <v>15</v>
      </c>
      <c r="F32" s="5">
        <v>1</v>
      </c>
      <c r="G32" s="5">
        <v>10</v>
      </c>
      <c r="H32" s="40">
        <f t="shared" si="3"/>
        <v>0.87179355872955799</v>
      </c>
      <c r="I32" s="41">
        <v>32641</v>
      </c>
      <c r="J32" s="33">
        <f t="shared" si="4"/>
        <v>2967.3636363636365</v>
      </c>
      <c r="K32" s="33">
        <f t="shared" si="15"/>
        <v>2586.9</v>
      </c>
      <c r="L32" s="33">
        <f t="shared" si="6"/>
        <v>-380.4636363636364</v>
      </c>
      <c r="M32" s="33">
        <v>-73.7</v>
      </c>
      <c r="N32" s="33">
        <f t="shared" si="7"/>
        <v>2513.1999999999998</v>
      </c>
      <c r="O32" s="67"/>
      <c r="P32" s="67"/>
      <c r="Q32" s="67"/>
      <c r="R32" s="68"/>
      <c r="S32" s="33">
        <f t="shared" si="8"/>
        <v>2513.1999999999998</v>
      </c>
      <c r="T32" s="33"/>
      <c r="U32" s="33">
        <f t="shared" si="9"/>
        <v>2513.1999999999998</v>
      </c>
      <c r="V32" s="1"/>
      <c r="W32" s="60"/>
      <c r="X32" s="1"/>
      <c r="Y32" s="1"/>
      <c r="Z32" s="60"/>
      <c r="AA32" s="60"/>
    </row>
    <row r="33" spans="1:27" s="2" customFormat="1" ht="17.100000000000001" customHeight="1">
      <c r="A33" s="12" t="s">
        <v>20</v>
      </c>
      <c r="B33" s="56">
        <v>13557.6</v>
      </c>
      <c r="C33" s="56">
        <v>12359.5</v>
      </c>
      <c r="D33" s="4">
        <f t="shared" si="2"/>
        <v>0.91162890187053758</v>
      </c>
      <c r="E33" s="10">
        <v>15</v>
      </c>
      <c r="F33" s="5">
        <v>1</v>
      </c>
      <c r="G33" s="5">
        <v>10</v>
      </c>
      <c r="H33" s="40">
        <f t="shared" si="3"/>
        <v>0.94697734112232257</v>
      </c>
      <c r="I33" s="41">
        <v>29857</v>
      </c>
      <c r="J33" s="33">
        <f t="shared" si="4"/>
        <v>2714.2727272727275</v>
      </c>
      <c r="K33" s="33">
        <f t="shared" si="15"/>
        <v>2570.4</v>
      </c>
      <c r="L33" s="33">
        <f t="shared" si="6"/>
        <v>-143.87272727272739</v>
      </c>
      <c r="M33" s="33">
        <v>332.3</v>
      </c>
      <c r="N33" s="33">
        <f t="shared" si="7"/>
        <v>2902.7</v>
      </c>
      <c r="O33" s="67"/>
      <c r="P33" s="67"/>
      <c r="Q33" s="67"/>
      <c r="R33" s="68"/>
      <c r="S33" s="33">
        <f t="shared" si="8"/>
        <v>2902.7</v>
      </c>
      <c r="T33" s="33"/>
      <c r="U33" s="33">
        <f t="shared" si="9"/>
        <v>2902.7</v>
      </c>
      <c r="V33" s="1"/>
      <c r="W33" s="60"/>
      <c r="X33" s="1"/>
      <c r="Y33" s="1"/>
      <c r="Z33" s="60"/>
      <c r="AA33" s="60"/>
    </row>
    <row r="34" spans="1:27" s="2" customFormat="1" ht="17.100000000000001" customHeight="1">
      <c r="A34" s="12" t="s">
        <v>21</v>
      </c>
      <c r="B34" s="56">
        <v>10531.2</v>
      </c>
      <c r="C34" s="56">
        <v>10303.700000000001</v>
      </c>
      <c r="D34" s="4">
        <f t="shared" si="2"/>
        <v>0.97839752354907328</v>
      </c>
      <c r="E34" s="10">
        <v>15</v>
      </c>
      <c r="F34" s="5">
        <v>1</v>
      </c>
      <c r="G34" s="5">
        <v>10</v>
      </c>
      <c r="H34" s="40">
        <f t="shared" si="3"/>
        <v>0.98703851412944399</v>
      </c>
      <c r="I34" s="41">
        <v>41942</v>
      </c>
      <c r="J34" s="33">
        <f t="shared" si="4"/>
        <v>3812.909090909091</v>
      </c>
      <c r="K34" s="33">
        <f t="shared" si="15"/>
        <v>3763.5</v>
      </c>
      <c r="L34" s="33">
        <f t="shared" si="6"/>
        <v>-49.409090909090992</v>
      </c>
      <c r="M34" s="33">
        <v>203.8</v>
      </c>
      <c r="N34" s="33">
        <f t="shared" si="7"/>
        <v>3967.3</v>
      </c>
      <c r="O34" s="67"/>
      <c r="P34" s="67"/>
      <c r="Q34" s="67"/>
      <c r="R34" s="68"/>
      <c r="S34" s="33">
        <f t="shared" si="8"/>
        <v>3967.3</v>
      </c>
      <c r="T34" s="33"/>
      <c r="U34" s="33">
        <f t="shared" si="9"/>
        <v>3967.3</v>
      </c>
      <c r="V34" s="1"/>
      <c r="W34" s="60"/>
      <c r="X34" s="1"/>
      <c r="Y34" s="1"/>
      <c r="Z34" s="60"/>
      <c r="AA34" s="60"/>
    </row>
    <row r="35" spans="1:27" s="2" customFormat="1" ht="17.100000000000001" customHeight="1">
      <c r="A35" s="12" t="s">
        <v>22</v>
      </c>
      <c r="B35" s="56">
        <v>10832.3</v>
      </c>
      <c r="C35" s="56">
        <v>14936.3</v>
      </c>
      <c r="D35" s="4">
        <f t="shared" si="2"/>
        <v>1.2178866907305004</v>
      </c>
      <c r="E35" s="10">
        <v>15</v>
      </c>
      <c r="F35" s="5">
        <v>1</v>
      </c>
      <c r="G35" s="5">
        <v>10</v>
      </c>
      <c r="H35" s="40">
        <f t="shared" si="3"/>
        <v>1.1307320144383002</v>
      </c>
      <c r="I35" s="41">
        <v>43648</v>
      </c>
      <c r="J35" s="33">
        <f t="shared" si="4"/>
        <v>3968</v>
      </c>
      <c r="K35" s="33">
        <f t="shared" si="15"/>
        <v>4486.7</v>
      </c>
      <c r="L35" s="33">
        <f t="shared" si="6"/>
        <v>518.69999999999982</v>
      </c>
      <c r="M35" s="33">
        <v>44.3</v>
      </c>
      <c r="N35" s="33">
        <f t="shared" si="7"/>
        <v>4531</v>
      </c>
      <c r="O35" s="68"/>
      <c r="P35" s="67"/>
      <c r="Q35" s="67"/>
      <c r="R35" s="68"/>
      <c r="S35" s="33">
        <f t="shared" si="8"/>
        <v>4531</v>
      </c>
      <c r="T35" s="33"/>
      <c r="U35" s="33">
        <f t="shared" si="9"/>
        <v>4531</v>
      </c>
      <c r="V35" s="1"/>
      <c r="W35" s="60"/>
      <c r="X35" s="1"/>
      <c r="Y35" s="1"/>
      <c r="Z35" s="60"/>
      <c r="AA35" s="60"/>
    </row>
    <row r="36" spans="1:27" s="2" customFormat="1" ht="17.100000000000001" customHeight="1">
      <c r="A36" s="12" t="s">
        <v>23</v>
      </c>
      <c r="B36" s="56">
        <v>118483.7</v>
      </c>
      <c r="C36" s="56">
        <v>109150.6</v>
      </c>
      <c r="D36" s="4">
        <f t="shared" si="2"/>
        <v>0.92122882725640753</v>
      </c>
      <c r="E36" s="10">
        <v>15</v>
      </c>
      <c r="F36" s="5">
        <v>1</v>
      </c>
      <c r="G36" s="5">
        <v>10</v>
      </c>
      <c r="H36" s="40">
        <f t="shared" si="3"/>
        <v>0.95273729635384452</v>
      </c>
      <c r="I36" s="41">
        <v>29860</v>
      </c>
      <c r="J36" s="33">
        <f t="shared" si="4"/>
        <v>2714.5454545454545</v>
      </c>
      <c r="K36" s="33">
        <f t="shared" si="15"/>
        <v>2586.1999999999998</v>
      </c>
      <c r="L36" s="33">
        <f t="shared" si="6"/>
        <v>-128.34545454545469</v>
      </c>
      <c r="M36" s="33">
        <v>479.9</v>
      </c>
      <c r="N36" s="33">
        <f t="shared" si="7"/>
        <v>3066.1</v>
      </c>
      <c r="O36" s="67"/>
      <c r="P36" s="67"/>
      <c r="Q36" s="67"/>
      <c r="R36" s="68"/>
      <c r="S36" s="33">
        <f t="shared" si="8"/>
        <v>3066.1</v>
      </c>
      <c r="T36" s="33"/>
      <c r="U36" s="33">
        <f t="shared" si="9"/>
        <v>3066.1</v>
      </c>
      <c r="V36" s="1"/>
      <c r="W36" s="60"/>
      <c r="X36" s="1"/>
      <c r="Y36" s="1"/>
      <c r="Z36" s="60"/>
      <c r="AA36" s="60"/>
    </row>
    <row r="37" spans="1:27" s="2" customFormat="1" ht="16.5" customHeight="1">
      <c r="A37" s="12" t="s">
        <v>24</v>
      </c>
      <c r="B37" s="56">
        <v>4668.1000000000004</v>
      </c>
      <c r="C37" s="56">
        <v>4848.5</v>
      </c>
      <c r="D37" s="4">
        <f t="shared" si="2"/>
        <v>1.0386452732375056</v>
      </c>
      <c r="E37" s="10">
        <v>15</v>
      </c>
      <c r="F37" s="5">
        <v>1</v>
      </c>
      <c r="G37" s="5">
        <v>10</v>
      </c>
      <c r="H37" s="40">
        <f t="shared" si="3"/>
        <v>1.0231871639425032</v>
      </c>
      <c r="I37" s="41">
        <v>18726</v>
      </c>
      <c r="J37" s="33">
        <f t="shared" si="4"/>
        <v>1702.3636363636363</v>
      </c>
      <c r="K37" s="33">
        <f t="shared" si="15"/>
        <v>1741.8</v>
      </c>
      <c r="L37" s="33">
        <f t="shared" si="6"/>
        <v>39.436363636363694</v>
      </c>
      <c r="M37" s="33">
        <v>310.3</v>
      </c>
      <c r="N37" s="33">
        <f t="shared" si="7"/>
        <v>2052.1</v>
      </c>
      <c r="O37" s="68"/>
      <c r="P37" s="67"/>
      <c r="Q37" s="67"/>
      <c r="R37" s="68"/>
      <c r="S37" s="33">
        <f t="shared" si="8"/>
        <v>2052.1</v>
      </c>
      <c r="T37" s="33"/>
      <c r="U37" s="33">
        <f t="shared" si="9"/>
        <v>2052.1</v>
      </c>
      <c r="V37" s="1"/>
      <c r="W37" s="60"/>
      <c r="X37" s="1"/>
      <c r="Y37" s="1"/>
      <c r="Z37" s="60"/>
      <c r="AA37" s="60"/>
    </row>
    <row r="38" spans="1:27" s="2" customFormat="1" ht="17.100000000000001" customHeight="1">
      <c r="A38" s="12" t="s">
        <v>25</v>
      </c>
      <c r="B38" s="56">
        <v>8345.9</v>
      </c>
      <c r="C38" s="56">
        <v>6177.9</v>
      </c>
      <c r="D38" s="4">
        <f t="shared" si="2"/>
        <v>0.74023173055033009</v>
      </c>
      <c r="E38" s="10">
        <v>15</v>
      </c>
      <c r="F38" s="5">
        <v>1</v>
      </c>
      <c r="G38" s="5">
        <v>10</v>
      </c>
      <c r="H38" s="40">
        <f t="shared" si="3"/>
        <v>0.84413903833019799</v>
      </c>
      <c r="I38" s="41">
        <v>44585</v>
      </c>
      <c r="J38" s="33">
        <f t="shared" si="4"/>
        <v>4053.181818181818</v>
      </c>
      <c r="K38" s="33">
        <f t="shared" si="15"/>
        <v>3421.4</v>
      </c>
      <c r="L38" s="33">
        <f t="shared" si="6"/>
        <v>-631.78181818181793</v>
      </c>
      <c r="M38" s="33">
        <v>684</v>
      </c>
      <c r="N38" s="33">
        <f t="shared" si="7"/>
        <v>4105.3999999999996</v>
      </c>
      <c r="O38" s="67"/>
      <c r="P38" s="67"/>
      <c r="Q38" s="67"/>
      <c r="R38" s="68"/>
      <c r="S38" s="33">
        <f t="shared" si="8"/>
        <v>4105.3999999999996</v>
      </c>
      <c r="T38" s="33"/>
      <c r="U38" s="33">
        <f t="shared" si="9"/>
        <v>4105.3999999999996</v>
      </c>
      <c r="V38" s="1"/>
      <c r="W38" s="60"/>
      <c r="X38" s="1"/>
      <c r="Y38" s="1"/>
      <c r="Z38" s="60"/>
      <c r="AA38" s="60"/>
    </row>
    <row r="39" spans="1:27" s="2" customFormat="1" ht="17.100000000000001" customHeight="1">
      <c r="A39" s="12" t="s">
        <v>26</v>
      </c>
      <c r="B39" s="56">
        <v>5610.5</v>
      </c>
      <c r="C39" s="56">
        <v>5144.6000000000004</v>
      </c>
      <c r="D39" s="4">
        <f t="shared" si="2"/>
        <v>0.91695927279208633</v>
      </c>
      <c r="E39" s="10">
        <v>15</v>
      </c>
      <c r="F39" s="5">
        <v>1</v>
      </c>
      <c r="G39" s="5">
        <v>10</v>
      </c>
      <c r="H39" s="40">
        <f t="shared" si="3"/>
        <v>0.95017556367525169</v>
      </c>
      <c r="I39" s="41">
        <v>43494</v>
      </c>
      <c r="J39" s="33">
        <f t="shared" si="4"/>
        <v>3954</v>
      </c>
      <c r="K39" s="33">
        <f t="shared" si="15"/>
        <v>3757</v>
      </c>
      <c r="L39" s="33">
        <f t="shared" si="6"/>
        <v>-197</v>
      </c>
      <c r="M39" s="33">
        <v>5270.6</v>
      </c>
      <c r="N39" s="33">
        <f t="shared" si="7"/>
        <v>9027.6</v>
      </c>
      <c r="O39" s="68"/>
      <c r="P39" s="67"/>
      <c r="Q39" s="67"/>
      <c r="R39" s="68"/>
      <c r="S39" s="33">
        <f t="shared" si="8"/>
        <v>9027.6</v>
      </c>
      <c r="T39" s="33"/>
      <c r="U39" s="33">
        <f t="shared" si="9"/>
        <v>9027.6</v>
      </c>
      <c r="V39" s="1"/>
      <c r="W39" s="60"/>
      <c r="X39" s="1"/>
      <c r="Y39" s="1"/>
      <c r="Z39" s="60"/>
      <c r="AA39" s="60"/>
    </row>
    <row r="40" spans="1:27" s="2" customFormat="1" ht="17.100000000000001" customHeight="1">
      <c r="A40" s="12" t="s">
        <v>27</v>
      </c>
      <c r="B40" s="56">
        <v>27370.5</v>
      </c>
      <c r="C40" s="56">
        <v>30114.3</v>
      </c>
      <c r="D40" s="4">
        <f t="shared" si="2"/>
        <v>1.1002466158820627</v>
      </c>
      <c r="E40" s="10">
        <v>15</v>
      </c>
      <c r="F40" s="5">
        <v>1</v>
      </c>
      <c r="G40" s="5">
        <v>10</v>
      </c>
      <c r="H40" s="40">
        <f t="shared" si="3"/>
        <v>1.0601479695292375</v>
      </c>
      <c r="I40" s="41">
        <v>7497</v>
      </c>
      <c r="J40" s="33">
        <f t="shared" si="4"/>
        <v>681.5454545454545</v>
      </c>
      <c r="K40" s="33">
        <f t="shared" si="15"/>
        <v>722.5</v>
      </c>
      <c r="L40" s="33">
        <f t="shared" si="6"/>
        <v>40.954545454545496</v>
      </c>
      <c r="M40" s="33">
        <v>125.7</v>
      </c>
      <c r="N40" s="33">
        <f t="shared" si="7"/>
        <v>848.2</v>
      </c>
      <c r="O40" s="67"/>
      <c r="P40" s="67"/>
      <c r="Q40" s="67"/>
      <c r="R40" s="68"/>
      <c r="S40" s="33">
        <f t="shared" si="8"/>
        <v>848.2</v>
      </c>
      <c r="T40" s="33"/>
      <c r="U40" s="33">
        <f t="shared" si="9"/>
        <v>848.2</v>
      </c>
      <c r="V40" s="1"/>
      <c r="W40" s="60"/>
      <c r="X40" s="1"/>
      <c r="Y40" s="1"/>
      <c r="Z40" s="60"/>
      <c r="AA40" s="60"/>
    </row>
    <row r="41" spans="1:27" s="2" customFormat="1" ht="16.5" customHeight="1">
      <c r="A41" s="12" t="s">
        <v>28</v>
      </c>
      <c r="B41" s="56">
        <v>27340.6</v>
      </c>
      <c r="C41" s="56">
        <v>25314.799999999999</v>
      </c>
      <c r="D41" s="4">
        <f t="shared" si="2"/>
        <v>0.92590506426340313</v>
      </c>
      <c r="E41" s="10">
        <v>15</v>
      </c>
      <c r="F41" s="5">
        <v>1</v>
      </c>
      <c r="G41" s="5">
        <v>10</v>
      </c>
      <c r="H41" s="40">
        <f t="shared" si="3"/>
        <v>0.9555430385580419</v>
      </c>
      <c r="I41" s="41">
        <v>19492</v>
      </c>
      <c r="J41" s="33">
        <f t="shared" si="4"/>
        <v>1772</v>
      </c>
      <c r="K41" s="33">
        <f t="shared" si="15"/>
        <v>1693.2</v>
      </c>
      <c r="L41" s="33">
        <f t="shared" si="6"/>
        <v>-78.799999999999955</v>
      </c>
      <c r="M41" s="33">
        <v>-1091.0999999999999</v>
      </c>
      <c r="N41" s="33">
        <f t="shared" si="7"/>
        <v>602.1</v>
      </c>
      <c r="O41" s="67"/>
      <c r="P41" s="67"/>
      <c r="Q41" s="67"/>
      <c r="R41" s="68"/>
      <c r="S41" s="33">
        <f t="shared" si="8"/>
        <v>602.1</v>
      </c>
      <c r="T41" s="33"/>
      <c r="U41" s="33">
        <f t="shared" si="9"/>
        <v>602.1</v>
      </c>
      <c r="V41" s="1"/>
      <c r="W41" s="60"/>
      <c r="X41" s="1"/>
      <c r="Y41" s="1"/>
      <c r="Z41" s="60"/>
      <c r="AA41" s="60"/>
    </row>
    <row r="42" spans="1:27" s="2" customFormat="1" ht="17.100000000000001" customHeight="1">
      <c r="A42" s="12" t="s">
        <v>29</v>
      </c>
      <c r="B42" s="56">
        <v>8118.4</v>
      </c>
      <c r="C42" s="56">
        <v>10668.9</v>
      </c>
      <c r="D42" s="4">
        <f t="shared" si="2"/>
        <v>1.2114162889239259</v>
      </c>
      <c r="E42" s="10">
        <v>15</v>
      </c>
      <c r="F42" s="5">
        <v>1</v>
      </c>
      <c r="G42" s="5">
        <v>10</v>
      </c>
      <c r="H42" s="40">
        <f t="shared" si="3"/>
        <v>1.1268497733543557</v>
      </c>
      <c r="I42" s="41">
        <v>17936</v>
      </c>
      <c r="J42" s="33">
        <f t="shared" si="4"/>
        <v>1630.5454545454545</v>
      </c>
      <c r="K42" s="33">
        <f t="shared" si="15"/>
        <v>1837.4</v>
      </c>
      <c r="L42" s="33">
        <f t="shared" si="6"/>
        <v>206.85454545454559</v>
      </c>
      <c r="M42" s="33">
        <v>231.4</v>
      </c>
      <c r="N42" s="33">
        <f t="shared" si="7"/>
        <v>2068.8000000000002</v>
      </c>
      <c r="O42" s="67"/>
      <c r="P42" s="67"/>
      <c r="Q42" s="67"/>
      <c r="R42" s="68"/>
      <c r="S42" s="33">
        <f t="shared" si="8"/>
        <v>2068.8000000000002</v>
      </c>
      <c r="T42" s="33"/>
      <c r="U42" s="33">
        <f t="shared" si="9"/>
        <v>2068.8000000000002</v>
      </c>
      <c r="V42" s="1"/>
      <c r="W42" s="60"/>
      <c r="X42" s="1"/>
      <c r="Y42" s="1"/>
      <c r="Z42" s="60"/>
      <c r="AA42" s="60"/>
    </row>
    <row r="43" spans="1:27" s="2" customFormat="1" ht="17.100000000000001" customHeight="1">
      <c r="A43" s="12" t="s">
        <v>30</v>
      </c>
      <c r="B43" s="56">
        <v>13886.9</v>
      </c>
      <c r="C43" s="56">
        <v>13566</v>
      </c>
      <c r="D43" s="4">
        <f t="shared" si="2"/>
        <v>0.97689189091877959</v>
      </c>
      <c r="E43" s="10">
        <v>15</v>
      </c>
      <c r="F43" s="5">
        <v>1</v>
      </c>
      <c r="G43" s="5">
        <v>10</v>
      </c>
      <c r="H43" s="40">
        <f t="shared" si="3"/>
        <v>0.98613513455126778</v>
      </c>
      <c r="I43" s="41">
        <v>41493</v>
      </c>
      <c r="J43" s="33">
        <f t="shared" si="4"/>
        <v>3772.090909090909</v>
      </c>
      <c r="K43" s="33">
        <f t="shared" si="15"/>
        <v>3719.8</v>
      </c>
      <c r="L43" s="33">
        <f t="shared" si="6"/>
        <v>-52.290909090908826</v>
      </c>
      <c r="M43" s="33">
        <v>207.5</v>
      </c>
      <c r="N43" s="33">
        <f t="shared" si="7"/>
        <v>3927.3</v>
      </c>
      <c r="O43" s="67"/>
      <c r="P43" s="67"/>
      <c r="Q43" s="67"/>
      <c r="R43" s="68"/>
      <c r="S43" s="33">
        <f t="shared" si="8"/>
        <v>3927.3</v>
      </c>
      <c r="T43" s="33"/>
      <c r="U43" s="33">
        <f t="shared" si="9"/>
        <v>3927.3</v>
      </c>
      <c r="V43" s="1"/>
      <c r="W43" s="60"/>
      <c r="X43" s="1"/>
      <c r="Y43" s="1"/>
      <c r="Z43" s="60"/>
      <c r="AA43" s="60"/>
    </row>
    <row r="44" spans="1:27" s="2" customFormat="1" ht="17.100000000000001" customHeight="1">
      <c r="A44" s="12" t="s">
        <v>31</v>
      </c>
      <c r="B44" s="56">
        <v>10785.6</v>
      </c>
      <c r="C44" s="56">
        <v>13274.9</v>
      </c>
      <c r="D44" s="4">
        <f t="shared" si="2"/>
        <v>1.203079847203679</v>
      </c>
      <c r="E44" s="10">
        <v>15</v>
      </c>
      <c r="F44" s="5">
        <v>1</v>
      </c>
      <c r="G44" s="5">
        <v>10</v>
      </c>
      <c r="H44" s="40">
        <f t="shared" si="3"/>
        <v>1.1218479083222075</v>
      </c>
      <c r="I44" s="41">
        <v>30618</v>
      </c>
      <c r="J44" s="33">
        <f t="shared" si="4"/>
        <v>2783.4545454545455</v>
      </c>
      <c r="K44" s="33">
        <f t="shared" si="15"/>
        <v>3122.6</v>
      </c>
      <c r="L44" s="33">
        <f t="shared" si="6"/>
        <v>339.14545454545441</v>
      </c>
      <c r="M44" s="33">
        <v>-90.5</v>
      </c>
      <c r="N44" s="33">
        <f t="shared" si="7"/>
        <v>3032.1</v>
      </c>
      <c r="O44" s="67"/>
      <c r="P44" s="67"/>
      <c r="Q44" s="67"/>
      <c r="R44" s="68"/>
      <c r="S44" s="33">
        <f t="shared" si="8"/>
        <v>3032.1</v>
      </c>
      <c r="T44" s="33">
        <f>MIN(S44,450.8)</f>
        <v>450.8</v>
      </c>
      <c r="U44" s="33">
        <f t="shared" si="9"/>
        <v>2581.3000000000002</v>
      </c>
      <c r="V44" s="1"/>
      <c r="W44" s="60"/>
      <c r="X44" s="1"/>
      <c r="Y44" s="1"/>
      <c r="Z44" s="60"/>
      <c r="AA44" s="60"/>
    </row>
    <row r="45" spans="1:27" s="2" customFormat="1" ht="17.100000000000001" customHeight="1">
      <c r="A45" s="12" t="s">
        <v>1</v>
      </c>
      <c r="B45" s="56">
        <v>54180.2</v>
      </c>
      <c r="C45" s="56">
        <v>48463.3</v>
      </c>
      <c r="D45" s="4">
        <f t="shared" si="2"/>
        <v>0.89448359363752816</v>
      </c>
      <c r="E45" s="10">
        <v>15</v>
      </c>
      <c r="F45" s="5">
        <v>1</v>
      </c>
      <c r="G45" s="5">
        <v>10</v>
      </c>
      <c r="H45" s="40">
        <f t="shared" si="3"/>
        <v>0.93669015618251694</v>
      </c>
      <c r="I45" s="41">
        <v>42719</v>
      </c>
      <c r="J45" s="33">
        <f t="shared" si="4"/>
        <v>3883.5454545454545</v>
      </c>
      <c r="K45" s="33">
        <f t="shared" si="15"/>
        <v>3637.7</v>
      </c>
      <c r="L45" s="33">
        <f t="shared" si="6"/>
        <v>-245.84545454545469</v>
      </c>
      <c r="M45" s="33">
        <v>908.8</v>
      </c>
      <c r="N45" s="33">
        <f t="shared" si="7"/>
        <v>4546.5</v>
      </c>
      <c r="O45" s="67"/>
      <c r="P45" s="67"/>
      <c r="Q45" s="67"/>
      <c r="R45" s="68"/>
      <c r="S45" s="33">
        <f t="shared" si="8"/>
        <v>4546.5</v>
      </c>
      <c r="T45" s="33"/>
      <c r="U45" s="33">
        <f t="shared" si="9"/>
        <v>4546.5</v>
      </c>
      <c r="V45" s="1"/>
      <c r="W45" s="60"/>
      <c r="X45" s="1"/>
      <c r="Y45" s="1"/>
      <c r="Z45" s="60"/>
      <c r="AA45" s="60"/>
    </row>
    <row r="46" spans="1:27" s="2" customFormat="1" ht="17.100000000000001" customHeight="1">
      <c r="A46" s="12" t="s">
        <v>32</v>
      </c>
      <c r="B46" s="56">
        <v>25515.599999999999</v>
      </c>
      <c r="C46" s="56">
        <v>25348.7</v>
      </c>
      <c r="D46" s="4">
        <f t="shared" si="2"/>
        <v>0.99345890357271638</v>
      </c>
      <c r="E46" s="10">
        <v>15</v>
      </c>
      <c r="F46" s="5">
        <v>1</v>
      </c>
      <c r="G46" s="5">
        <v>10</v>
      </c>
      <c r="H46" s="40">
        <f t="shared" si="3"/>
        <v>0.9960753421436298</v>
      </c>
      <c r="I46" s="41">
        <v>38544</v>
      </c>
      <c r="J46" s="33">
        <f t="shared" si="4"/>
        <v>3504</v>
      </c>
      <c r="K46" s="33">
        <f t="shared" si="15"/>
        <v>3490.2</v>
      </c>
      <c r="L46" s="33">
        <f t="shared" si="6"/>
        <v>-13.800000000000182</v>
      </c>
      <c r="M46" s="33">
        <v>448.5</v>
      </c>
      <c r="N46" s="33">
        <f t="shared" si="7"/>
        <v>3938.7</v>
      </c>
      <c r="O46" s="67"/>
      <c r="P46" s="67"/>
      <c r="Q46" s="67"/>
      <c r="R46" s="68"/>
      <c r="S46" s="33">
        <f t="shared" si="8"/>
        <v>3938.7</v>
      </c>
      <c r="T46" s="33"/>
      <c r="U46" s="33">
        <f t="shared" si="9"/>
        <v>3938.7</v>
      </c>
      <c r="V46" s="1"/>
      <c r="W46" s="60"/>
      <c r="X46" s="1"/>
      <c r="Y46" s="1"/>
      <c r="Z46" s="60"/>
      <c r="AA46" s="60"/>
    </row>
    <row r="47" spans="1:27" s="2" customFormat="1" ht="17.100000000000001" customHeight="1">
      <c r="A47" s="12" t="s">
        <v>33</v>
      </c>
      <c r="B47" s="56">
        <v>9334.2999999999993</v>
      </c>
      <c r="C47" s="56">
        <v>21233.4</v>
      </c>
      <c r="D47" s="4">
        <f t="shared" si="2"/>
        <v>1.3</v>
      </c>
      <c r="E47" s="10">
        <v>15</v>
      </c>
      <c r="F47" s="5">
        <v>1</v>
      </c>
      <c r="G47" s="5">
        <v>10</v>
      </c>
      <c r="H47" s="40">
        <f t="shared" si="3"/>
        <v>1.18</v>
      </c>
      <c r="I47" s="41">
        <v>27283</v>
      </c>
      <c r="J47" s="33">
        <f t="shared" si="4"/>
        <v>2480.2727272727275</v>
      </c>
      <c r="K47" s="33">
        <f t="shared" si="15"/>
        <v>2926.7</v>
      </c>
      <c r="L47" s="33">
        <f t="shared" si="6"/>
        <v>446.42727272727234</v>
      </c>
      <c r="M47" s="33">
        <v>400.8</v>
      </c>
      <c r="N47" s="33">
        <f t="shared" si="7"/>
        <v>3327.5</v>
      </c>
      <c r="O47" s="67"/>
      <c r="P47" s="67"/>
      <c r="Q47" s="67"/>
      <c r="R47" s="68"/>
      <c r="S47" s="33">
        <f t="shared" si="8"/>
        <v>3327.5</v>
      </c>
      <c r="T47" s="33">
        <f>MIN(S47,756.7)</f>
        <v>756.7</v>
      </c>
      <c r="U47" s="33">
        <f t="shared" si="9"/>
        <v>2570.8000000000002</v>
      </c>
      <c r="V47" s="1"/>
      <c r="W47" s="60"/>
      <c r="X47" s="1"/>
      <c r="Y47" s="1"/>
      <c r="Z47" s="60"/>
      <c r="AA47" s="60"/>
    </row>
    <row r="48" spans="1:27" s="2" customFormat="1" ht="17.100000000000001" customHeight="1">
      <c r="A48" s="12" t="s">
        <v>34</v>
      </c>
      <c r="B48" s="56">
        <v>11125.5</v>
      </c>
      <c r="C48" s="56">
        <v>11742.8</v>
      </c>
      <c r="D48" s="4">
        <f t="shared" si="2"/>
        <v>1.0554851467349782</v>
      </c>
      <c r="E48" s="10">
        <v>15</v>
      </c>
      <c r="F48" s="5">
        <v>1</v>
      </c>
      <c r="G48" s="5">
        <v>10</v>
      </c>
      <c r="H48" s="40">
        <f t="shared" si="3"/>
        <v>1.0332910880409869</v>
      </c>
      <c r="I48" s="41">
        <v>51618</v>
      </c>
      <c r="J48" s="33">
        <f t="shared" si="4"/>
        <v>4692.545454545455</v>
      </c>
      <c r="K48" s="33">
        <f t="shared" si="15"/>
        <v>4848.8</v>
      </c>
      <c r="L48" s="33">
        <f t="shared" si="6"/>
        <v>156.25454545454522</v>
      </c>
      <c r="M48" s="33">
        <v>647.5</v>
      </c>
      <c r="N48" s="33">
        <f t="shared" si="7"/>
        <v>5496.3</v>
      </c>
      <c r="O48" s="67"/>
      <c r="P48" s="67"/>
      <c r="Q48" s="67"/>
      <c r="R48" s="68"/>
      <c r="S48" s="33">
        <f t="shared" si="8"/>
        <v>5496.3</v>
      </c>
      <c r="T48" s="33"/>
      <c r="U48" s="33">
        <f t="shared" si="9"/>
        <v>5496.3</v>
      </c>
      <c r="V48" s="1"/>
      <c r="W48" s="60"/>
      <c r="X48" s="1"/>
      <c r="Y48" s="1"/>
      <c r="Z48" s="60"/>
      <c r="AA48" s="60"/>
    </row>
    <row r="49" spans="1:164" s="2" customFormat="1" ht="17.100000000000001" customHeight="1">
      <c r="A49" s="12" t="s">
        <v>35</v>
      </c>
      <c r="B49" s="56">
        <v>15757.6</v>
      </c>
      <c r="C49" s="56">
        <v>15640</v>
      </c>
      <c r="D49" s="4">
        <f t="shared" si="2"/>
        <v>0.99253693455856218</v>
      </c>
      <c r="E49" s="10">
        <v>15</v>
      </c>
      <c r="F49" s="5">
        <v>1</v>
      </c>
      <c r="G49" s="5">
        <v>10</v>
      </c>
      <c r="H49" s="40">
        <f t="shared" si="3"/>
        <v>0.99552216073513733</v>
      </c>
      <c r="I49" s="41">
        <v>40697</v>
      </c>
      <c r="J49" s="33">
        <f t="shared" si="4"/>
        <v>3699.7272727272725</v>
      </c>
      <c r="K49" s="33">
        <f t="shared" si="15"/>
        <v>3683.2</v>
      </c>
      <c r="L49" s="33">
        <f t="shared" si="6"/>
        <v>-16.527272727272702</v>
      </c>
      <c r="M49" s="33">
        <v>901.1</v>
      </c>
      <c r="N49" s="33">
        <f t="shared" si="7"/>
        <v>4584.3</v>
      </c>
      <c r="O49" s="67"/>
      <c r="P49" s="67"/>
      <c r="Q49" s="67"/>
      <c r="R49" s="68"/>
      <c r="S49" s="33">
        <f t="shared" si="8"/>
        <v>4584.3</v>
      </c>
      <c r="T49" s="33">
        <f>MIN(S49,1780.5)</f>
        <v>1780.5</v>
      </c>
      <c r="U49" s="33">
        <f t="shared" si="9"/>
        <v>2803.8</v>
      </c>
      <c r="V49" s="1"/>
      <c r="W49" s="60"/>
      <c r="X49" s="1"/>
      <c r="Y49" s="1"/>
      <c r="Z49" s="60"/>
      <c r="AA49" s="60"/>
    </row>
    <row r="50" spans="1:164" s="2" customFormat="1" ht="17.100000000000001" customHeight="1">
      <c r="A50" s="12" t="s">
        <v>36</v>
      </c>
      <c r="B50" s="56">
        <v>42892.1</v>
      </c>
      <c r="C50" s="56">
        <v>41436.5</v>
      </c>
      <c r="D50" s="4">
        <f t="shared" si="2"/>
        <v>0.9660636807244225</v>
      </c>
      <c r="E50" s="10">
        <v>15</v>
      </c>
      <c r="F50" s="5">
        <v>1</v>
      </c>
      <c r="G50" s="5">
        <v>10</v>
      </c>
      <c r="H50" s="40">
        <f t="shared" si="3"/>
        <v>0.97963820843465355</v>
      </c>
      <c r="I50" s="41">
        <v>35165</v>
      </c>
      <c r="J50" s="33">
        <f t="shared" si="4"/>
        <v>3196.818181818182</v>
      </c>
      <c r="K50" s="33">
        <f t="shared" si="15"/>
        <v>3131.7</v>
      </c>
      <c r="L50" s="33">
        <f t="shared" si="6"/>
        <v>-65.118181818182165</v>
      </c>
      <c r="M50" s="33">
        <v>513</v>
      </c>
      <c r="N50" s="33">
        <f t="shared" si="7"/>
        <v>3644.7</v>
      </c>
      <c r="O50" s="67"/>
      <c r="P50" s="67"/>
      <c r="Q50" s="67"/>
      <c r="R50" s="68"/>
      <c r="S50" s="33">
        <f t="shared" si="8"/>
        <v>3644.7</v>
      </c>
      <c r="T50" s="33"/>
      <c r="U50" s="33">
        <f t="shared" si="9"/>
        <v>3644.7</v>
      </c>
      <c r="V50" s="1"/>
      <c r="W50" s="60"/>
      <c r="X50" s="1"/>
      <c r="Y50" s="1"/>
      <c r="Z50" s="60"/>
      <c r="AA50" s="60"/>
    </row>
    <row r="51" spans="1:164" s="2" customFormat="1" ht="17.100000000000001" customHeight="1">
      <c r="A51" s="12" t="s">
        <v>37</v>
      </c>
      <c r="B51" s="56">
        <v>61743.3</v>
      </c>
      <c r="C51" s="56">
        <v>58920.6</v>
      </c>
      <c r="D51" s="4">
        <f t="shared" si="2"/>
        <v>0.95428329875468265</v>
      </c>
      <c r="E51" s="10">
        <v>15</v>
      </c>
      <c r="F51" s="5">
        <v>1</v>
      </c>
      <c r="G51" s="5">
        <v>10</v>
      </c>
      <c r="H51" s="40">
        <f t="shared" si="3"/>
        <v>0.97256997925280952</v>
      </c>
      <c r="I51" s="41">
        <v>75304</v>
      </c>
      <c r="J51" s="33">
        <f t="shared" si="4"/>
        <v>6845.818181818182</v>
      </c>
      <c r="K51" s="33">
        <f t="shared" si="15"/>
        <v>6658</v>
      </c>
      <c r="L51" s="33">
        <f t="shared" si="6"/>
        <v>-187.81818181818198</v>
      </c>
      <c r="M51" s="33">
        <v>1055.0999999999999</v>
      </c>
      <c r="N51" s="33">
        <f t="shared" si="7"/>
        <v>7713.1</v>
      </c>
      <c r="O51" s="67"/>
      <c r="P51" s="67"/>
      <c r="Q51" s="67"/>
      <c r="R51" s="68"/>
      <c r="S51" s="33">
        <f t="shared" si="8"/>
        <v>7713.1</v>
      </c>
      <c r="T51" s="33"/>
      <c r="U51" s="33">
        <f t="shared" si="9"/>
        <v>7713.1</v>
      </c>
      <c r="V51" s="1"/>
      <c r="W51" s="60"/>
      <c r="X51" s="1"/>
      <c r="Y51" s="1"/>
      <c r="Z51" s="60"/>
      <c r="AA51" s="60"/>
    </row>
    <row r="52" spans="1:164" s="2" customFormat="1" ht="17.100000000000001" customHeight="1">
      <c r="A52" s="12" t="s">
        <v>38</v>
      </c>
      <c r="B52" s="56">
        <v>15753.3</v>
      </c>
      <c r="C52" s="56">
        <v>19164.2</v>
      </c>
      <c r="D52" s="4">
        <f t="shared" si="2"/>
        <v>1.2016519713329905</v>
      </c>
      <c r="E52" s="10">
        <v>15</v>
      </c>
      <c r="F52" s="5">
        <v>1</v>
      </c>
      <c r="G52" s="5">
        <v>10</v>
      </c>
      <c r="H52" s="40">
        <f t="shared" si="3"/>
        <v>1.1209911827997943</v>
      </c>
      <c r="I52" s="41">
        <v>35659</v>
      </c>
      <c r="J52" s="33">
        <f t="shared" si="4"/>
        <v>3241.7272727272725</v>
      </c>
      <c r="K52" s="33">
        <f t="shared" si="15"/>
        <v>3633.9</v>
      </c>
      <c r="L52" s="33">
        <f t="shared" si="6"/>
        <v>392.17272727272757</v>
      </c>
      <c r="M52" s="33">
        <v>842.1</v>
      </c>
      <c r="N52" s="33">
        <f t="shared" si="7"/>
        <v>4476</v>
      </c>
      <c r="O52" s="68"/>
      <c r="P52" s="67"/>
      <c r="Q52" s="67"/>
      <c r="R52" s="68"/>
      <c r="S52" s="33">
        <f t="shared" si="8"/>
        <v>4476</v>
      </c>
      <c r="T52" s="33">
        <f>MIN(S52,615.6)</f>
        <v>615.6</v>
      </c>
      <c r="U52" s="33">
        <f t="shared" si="9"/>
        <v>3860.4</v>
      </c>
      <c r="V52" s="1"/>
      <c r="W52" s="60"/>
      <c r="X52" s="1"/>
      <c r="Y52" s="1"/>
      <c r="Z52" s="60"/>
      <c r="AA52" s="60"/>
    </row>
    <row r="53" spans="1:164" s="2" customFormat="1" ht="17.100000000000001" customHeight="1">
      <c r="A53" s="12" t="s">
        <v>2</v>
      </c>
      <c r="B53" s="56">
        <v>8646.2999999999993</v>
      </c>
      <c r="C53" s="56">
        <v>6845.5</v>
      </c>
      <c r="D53" s="4">
        <f t="shared" si="2"/>
        <v>0.79172594057573764</v>
      </c>
      <c r="E53" s="10">
        <v>15</v>
      </c>
      <c r="F53" s="5">
        <v>1</v>
      </c>
      <c r="G53" s="5">
        <v>10</v>
      </c>
      <c r="H53" s="40">
        <f t="shared" si="3"/>
        <v>0.87503556434544261</v>
      </c>
      <c r="I53" s="41">
        <v>32900</v>
      </c>
      <c r="J53" s="33">
        <f t="shared" si="4"/>
        <v>2990.909090909091</v>
      </c>
      <c r="K53" s="33">
        <f t="shared" si="15"/>
        <v>2617.1999999999998</v>
      </c>
      <c r="L53" s="33">
        <f t="shared" si="6"/>
        <v>-373.70909090909117</v>
      </c>
      <c r="M53" s="33">
        <v>592</v>
      </c>
      <c r="N53" s="33">
        <f t="shared" si="7"/>
        <v>3209.2</v>
      </c>
      <c r="O53" s="67"/>
      <c r="P53" s="67"/>
      <c r="Q53" s="67"/>
      <c r="R53" s="68"/>
      <c r="S53" s="33">
        <f t="shared" si="8"/>
        <v>3209.2</v>
      </c>
      <c r="T53" s="33">
        <f>MIN(S53,866.5)</f>
        <v>866.5</v>
      </c>
      <c r="U53" s="33">
        <f t="shared" si="9"/>
        <v>2342.6999999999998</v>
      </c>
      <c r="V53" s="1"/>
      <c r="W53" s="60"/>
      <c r="X53" s="1"/>
      <c r="Y53" s="1"/>
      <c r="Z53" s="60"/>
      <c r="AA53" s="60"/>
    </row>
    <row r="54" spans="1:164" s="2" customFormat="1" ht="17.100000000000001" customHeight="1">
      <c r="A54" s="12" t="s">
        <v>39</v>
      </c>
      <c r="B54" s="56">
        <v>6769.5</v>
      </c>
      <c r="C54" s="56">
        <v>6197.4</v>
      </c>
      <c r="D54" s="4">
        <f t="shared" si="2"/>
        <v>0.9154885885220474</v>
      </c>
      <c r="E54" s="10">
        <v>15</v>
      </c>
      <c r="F54" s="5">
        <v>1</v>
      </c>
      <c r="G54" s="5">
        <v>10</v>
      </c>
      <c r="H54" s="40">
        <f t="shared" si="3"/>
        <v>0.94929315311322848</v>
      </c>
      <c r="I54" s="41">
        <v>35463</v>
      </c>
      <c r="J54" s="33">
        <f t="shared" si="4"/>
        <v>3223.909090909091</v>
      </c>
      <c r="K54" s="33">
        <f t="shared" si="15"/>
        <v>3060.4</v>
      </c>
      <c r="L54" s="33">
        <f t="shared" si="6"/>
        <v>-163.5090909090909</v>
      </c>
      <c r="M54" s="33">
        <v>604.6</v>
      </c>
      <c r="N54" s="33">
        <f t="shared" si="7"/>
        <v>3665</v>
      </c>
      <c r="O54" s="68"/>
      <c r="P54" s="67"/>
      <c r="Q54" s="67"/>
      <c r="R54" s="68"/>
      <c r="S54" s="33">
        <f t="shared" si="8"/>
        <v>3665</v>
      </c>
      <c r="T54" s="33"/>
      <c r="U54" s="33">
        <f t="shared" si="9"/>
        <v>3665</v>
      </c>
      <c r="V54" s="1"/>
      <c r="W54" s="60"/>
      <c r="X54" s="1"/>
      <c r="Y54" s="1"/>
      <c r="Z54" s="60"/>
      <c r="AA54" s="60"/>
    </row>
    <row r="55" spans="1:164" s="2" customFormat="1" ht="17.100000000000001" customHeight="1">
      <c r="A55" s="12" t="s">
        <v>3</v>
      </c>
      <c r="B55" s="56">
        <v>7915.4</v>
      </c>
      <c r="C55" s="56">
        <v>7541.8</v>
      </c>
      <c r="D55" s="4">
        <f t="shared" si="2"/>
        <v>0.95280086919170237</v>
      </c>
      <c r="E55" s="10">
        <v>15</v>
      </c>
      <c r="F55" s="5">
        <v>1</v>
      </c>
      <c r="G55" s="5">
        <v>10</v>
      </c>
      <c r="H55" s="40">
        <f t="shared" si="3"/>
        <v>0.97168052151502138</v>
      </c>
      <c r="I55" s="41">
        <v>33094</v>
      </c>
      <c r="J55" s="33">
        <f t="shared" si="4"/>
        <v>3008.5454545454545</v>
      </c>
      <c r="K55" s="33">
        <f t="shared" si="15"/>
        <v>2923.3</v>
      </c>
      <c r="L55" s="33">
        <f t="shared" si="6"/>
        <v>-85.245454545454322</v>
      </c>
      <c r="M55" s="33">
        <v>599.5</v>
      </c>
      <c r="N55" s="33">
        <f t="shared" si="7"/>
        <v>3522.8</v>
      </c>
      <c r="O55" s="67"/>
      <c r="P55" s="67"/>
      <c r="Q55" s="67"/>
      <c r="R55" s="68"/>
      <c r="S55" s="33">
        <f t="shared" si="8"/>
        <v>3522.8</v>
      </c>
      <c r="T55" s="33"/>
      <c r="U55" s="33">
        <f t="shared" si="9"/>
        <v>3522.8</v>
      </c>
      <c r="V55" s="1"/>
      <c r="W55" s="60"/>
      <c r="X55" s="1"/>
      <c r="Y55" s="1"/>
      <c r="Z55" s="60"/>
      <c r="AA55" s="60"/>
    </row>
    <row r="56" spans="1:164" s="2" customFormat="1" ht="17.100000000000001" customHeight="1">
      <c r="A56" s="12" t="s">
        <v>40</v>
      </c>
      <c r="B56" s="56">
        <v>11904.9</v>
      </c>
      <c r="C56" s="56">
        <v>15045.4</v>
      </c>
      <c r="D56" s="4">
        <f t="shared" si="2"/>
        <v>1.2063798939932298</v>
      </c>
      <c r="E56" s="10">
        <v>15</v>
      </c>
      <c r="F56" s="5">
        <v>1</v>
      </c>
      <c r="G56" s="5">
        <v>10</v>
      </c>
      <c r="H56" s="40">
        <f t="shared" si="3"/>
        <v>1.1238279363959378</v>
      </c>
      <c r="I56" s="41">
        <v>43572</v>
      </c>
      <c r="J56" s="33">
        <f t="shared" si="4"/>
        <v>3961.090909090909</v>
      </c>
      <c r="K56" s="33">
        <f t="shared" si="15"/>
        <v>4451.6000000000004</v>
      </c>
      <c r="L56" s="33">
        <f t="shared" si="6"/>
        <v>490.50909090909136</v>
      </c>
      <c r="M56" s="33">
        <v>1001.1</v>
      </c>
      <c r="N56" s="33">
        <f t="shared" si="7"/>
        <v>5452.7</v>
      </c>
      <c r="O56" s="67"/>
      <c r="P56" s="67"/>
      <c r="Q56" s="67"/>
      <c r="R56" s="68"/>
      <c r="S56" s="33">
        <f t="shared" si="8"/>
        <v>5452.7</v>
      </c>
      <c r="T56" s="33"/>
      <c r="U56" s="33">
        <f t="shared" si="9"/>
        <v>5452.7</v>
      </c>
      <c r="V56" s="1"/>
      <c r="W56" s="60"/>
      <c r="X56" s="1"/>
      <c r="Y56" s="1"/>
      <c r="Z56" s="60"/>
      <c r="AA56" s="60"/>
    </row>
    <row r="57" spans="1:164" s="2" customFormat="1" ht="17.100000000000001" customHeight="1">
      <c r="A57" s="16" t="s">
        <v>41</v>
      </c>
      <c r="B57" s="35">
        <f>SUM(B58:B380)</f>
        <v>215376</v>
      </c>
      <c r="C57" s="35">
        <f>SUM(C58:C380)</f>
        <v>194121.60000000012</v>
      </c>
      <c r="D57" s="6">
        <f>IF(C57/B57&gt;1.2,IF((C57/B57-1.2)*0.1+1.2&gt;1.3,1.3,(C57/B57-1.2)*0.1+1.2),C57/B57)</f>
        <v>0.90131490973924733</v>
      </c>
      <c r="E57" s="15"/>
      <c r="F57" s="15"/>
      <c r="G57" s="15"/>
      <c r="H57" s="7"/>
      <c r="I57" s="19">
        <f>SUM(I58:I380)</f>
        <v>479865</v>
      </c>
      <c r="J57" s="32">
        <f t="shared" ref="J57:K57" si="16">SUM(J58:J380)</f>
        <v>43624.090909090846</v>
      </c>
      <c r="K57" s="32">
        <f t="shared" si="16"/>
        <v>39123.699999999997</v>
      </c>
      <c r="L57" s="32">
        <f>SUM(L58:L380)</f>
        <v>-4500.3909090909083</v>
      </c>
      <c r="M57" s="32">
        <f>SUM(M58:M380)</f>
        <v>4569.6000000000022</v>
      </c>
      <c r="N57" s="32">
        <f>SUM(N58:N380)</f>
        <v>43697.4</v>
      </c>
      <c r="O57" s="32"/>
      <c r="P57" s="32"/>
      <c r="Q57" s="32"/>
      <c r="R57" s="32"/>
      <c r="S57" s="32">
        <f t="shared" ref="S57:U57" si="17">SUM(S58:S380)</f>
        <v>43697.4</v>
      </c>
      <c r="T57" s="32">
        <f t="shared" si="17"/>
        <v>1967.6999999999998</v>
      </c>
      <c r="U57" s="32">
        <f t="shared" si="17"/>
        <v>41729.700000000019</v>
      </c>
      <c r="V57" s="1"/>
      <c r="W57" s="60"/>
      <c r="X57" s="1"/>
      <c r="Y57" s="1"/>
      <c r="Z57" s="60"/>
      <c r="AA57" s="60"/>
    </row>
    <row r="58" spans="1:164" s="2" customFormat="1" ht="16.5" customHeight="1">
      <c r="A58" s="17" t="s">
        <v>42</v>
      </c>
      <c r="B58" s="57"/>
      <c r="C58" s="5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33"/>
      <c r="V58" s="1"/>
      <c r="W58" s="60"/>
      <c r="X58" s="1"/>
      <c r="Y58" s="1"/>
      <c r="Z58" s="60"/>
      <c r="AA58" s="60"/>
    </row>
    <row r="59" spans="1:164" s="2" customFormat="1" ht="17.100000000000001" customHeight="1">
      <c r="A59" s="13" t="s">
        <v>43</v>
      </c>
      <c r="B59" s="56">
        <v>279.39999999999998</v>
      </c>
      <c r="C59" s="56">
        <v>163.9</v>
      </c>
      <c r="D59" s="4">
        <f t="shared" ref="D59:D122" si="18">IF(E59=0,0,IF(B59=0,1,IF(C59&lt;0,0,IF(C59/B59&gt;1.2,IF((C59/B59-1.2)*0.1+1.2&gt;1.3,1.3,(C59/B59-1.2)*0.1+1.2),C59/B59))))</f>
        <v>0.58661417322834652</v>
      </c>
      <c r="E59" s="10">
        <v>15</v>
      </c>
      <c r="F59" s="5">
        <v>1</v>
      </c>
      <c r="G59" s="5">
        <v>10</v>
      </c>
      <c r="H59" s="40">
        <f t="shared" ref="H59:H122" si="19">(D59*E59+F59*G59)/(E59+G59)</f>
        <v>0.75196850393700798</v>
      </c>
      <c r="I59" s="41">
        <v>1726</v>
      </c>
      <c r="J59" s="33">
        <f t="shared" ref="J59:J122" si="20">I59/11</f>
        <v>156.90909090909091</v>
      </c>
      <c r="K59" s="33">
        <f t="shared" ref="K59:K122" si="21">ROUND(H59*J59,1)</f>
        <v>118</v>
      </c>
      <c r="L59" s="33">
        <f t="shared" ref="L59:L122" si="22">K59-J59</f>
        <v>-38.909090909090907</v>
      </c>
      <c r="M59" s="33">
        <v>-76.099999999999994</v>
      </c>
      <c r="N59" s="33">
        <f t="shared" ref="N59:N122" si="23">IF((K59+M59)&gt;0,ROUND(K59+M59,1),0)</f>
        <v>41.9</v>
      </c>
      <c r="O59" s="67"/>
      <c r="P59" s="67"/>
      <c r="Q59" s="68"/>
      <c r="R59" s="68"/>
      <c r="S59" s="33">
        <f t="shared" ref="S59:S122" si="24">IF(OR(O59="+",P59="+",Q59="+",R59="+"),0,N59)</f>
        <v>41.9</v>
      </c>
      <c r="T59" s="33"/>
      <c r="U59" s="33">
        <f t="shared" ref="U59:U122" si="25">ROUND(S59-T59,1)</f>
        <v>41.9</v>
      </c>
      <c r="V59" s="1"/>
      <c r="W59" s="60"/>
      <c r="X59" s="1"/>
      <c r="Y59" s="1"/>
      <c r="Z59" s="60"/>
      <c r="AA59" s="60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9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9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9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9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9"/>
      <c r="FG59" s="8"/>
      <c r="FH59" s="8"/>
    </row>
    <row r="60" spans="1:164" s="2" customFormat="1" ht="17.100000000000001" customHeight="1">
      <c r="A60" s="13" t="s">
        <v>44</v>
      </c>
      <c r="B60" s="56">
        <v>1334.1</v>
      </c>
      <c r="C60" s="56">
        <v>1082.9000000000001</v>
      </c>
      <c r="D60" s="4">
        <f t="shared" si="18"/>
        <v>0.8117082677460461</v>
      </c>
      <c r="E60" s="10">
        <v>15</v>
      </c>
      <c r="F60" s="5">
        <v>1</v>
      </c>
      <c r="G60" s="5">
        <v>10</v>
      </c>
      <c r="H60" s="40">
        <f t="shared" si="19"/>
        <v>0.8870249606476277</v>
      </c>
      <c r="I60" s="41">
        <v>2007</v>
      </c>
      <c r="J60" s="33">
        <f t="shared" si="20"/>
        <v>182.45454545454547</v>
      </c>
      <c r="K60" s="33">
        <f t="shared" si="21"/>
        <v>161.80000000000001</v>
      </c>
      <c r="L60" s="33">
        <f t="shared" si="22"/>
        <v>-20.654545454545456</v>
      </c>
      <c r="M60" s="33">
        <v>-117.5</v>
      </c>
      <c r="N60" s="33">
        <f t="shared" si="23"/>
        <v>44.3</v>
      </c>
      <c r="O60" s="67"/>
      <c r="P60" s="67"/>
      <c r="Q60" s="68"/>
      <c r="R60" s="68"/>
      <c r="S60" s="33">
        <f t="shared" si="24"/>
        <v>44.3</v>
      </c>
      <c r="T60" s="33"/>
      <c r="U60" s="33">
        <f t="shared" si="25"/>
        <v>44.3</v>
      </c>
      <c r="V60" s="1"/>
      <c r="W60" s="60"/>
      <c r="X60" s="1"/>
      <c r="Y60" s="1"/>
      <c r="Z60" s="60"/>
      <c r="AA60" s="60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9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9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9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9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9"/>
      <c r="FG60" s="8"/>
      <c r="FH60" s="8"/>
    </row>
    <row r="61" spans="1:164" s="2" customFormat="1" ht="17.100000000000001" customHeight="1">
      <c r="A61" s="13" t="s">
        <v>45</v>
      </c>
      <c r="B61" s="56">
        <v>165</v>
      </c>
      <c r="C61" s="56">
        <v>132.5</v>
      </c>
      <c r="D61" s="4">
        <f t="shared" si="18"/>
        <v>0.80303030303030298</v>
      </c>
      <c r="E61" s="10">
        <v>15</v>
      </c>
      <c r="F61" s="5">
        <v>1</v>
      </c>
      <c r="G61" s="5">
        <v>10</v>
      </c>
      <c r="H61" s="40">
        <f t="shared" si="19"/>
        <v>0.88181818181818183</v>
      </c>
      <c r="I61" s="41">
        <v>1829</v>
      </c>
      <c r="J61" s="33">
        <f t="shared" si="20"/>
        <v>166.27272727272728</v>
      </c>
      <c r="K61" s="33">
        <f t="shared" si="21"/>
        <v>146.6</v>
      </c>
      <c r="L61" s="33">
        <f t="shared" si="22"/>
        <v>-19.672727272727286</v>
      </c>
      <c r="M61" s="33">
        <v>-96.6</v>
      </c>
      <c r="N61" s="33">
        <f t="shared" si="23"/>
        <v>50</v>
      </c>
      <c r="O61" s="67"/>
      <c r="P61" s="67"/>
      <c r="Q61" s="68"/>
      <c r="R61" s="68"/>
      <c r="S61" s="33">
        <f t="shared" si="24"/>
        <v>50</v>
      </c>
      <c r="T61" s="33"/>
      <c r="U61" s="33">
        <f t="shared" si="25"/>
        <v>50</v>
      </c>
      <c r="V61" s="1"/>
      <c r="W61" s="60"/>
      <c r="X61" s="1"/>
      <c r="Y61" s="1"/>
      <c r="Z61" s="60"/>
      <c r="AA61" s="60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9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9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9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9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9"/>
      <c r="FG61" s="8"/>
      <c r="FH61" s="8"/>
    </row>
    <row r="62" spans="1:164" s="2" customFormat="1" ht="17.100000000000001" customHeight="1">
      <c r="A62" s="13" t="s">
        <v>46</v>
      </c>
      <c r="B62" s="56">
        <v>42.9</v>
      </c>
      <c r="C62" s="56">
        <v>111.6</v>
      </c>
      <c r="D62" s="4">
        <f t="shared" si="18"/>
        <v>1.3</v>
      </c>
      <c r="E62" s="10">
        <v>15</v>
      </c>
      <c r="F62" s="5">
        <v>1</v>
      </c>
      <c r="G62" s="5">
        <v>10</v>
      </c>
      <c r="H62" s="40">
        <f t="shared" si="19"/>
        <v>1.18</v>
      </c>
      <c r="I62" s="41">
        <v>1055</v>
      </c>
      <c r="J62" s="33">
        <f t="shared" si="20"/>
        <v>95.909090909090907</v>
      </c>
      <c r="K62" s="33">
        <f t="shared" si="21"/>
        <v>113.2</v>
      </c>
      <c r="L62" s="33">
        <f t="shared" si="22"/>
        <v>17.290909090909096</v>
      </c>
      <c r="M62" s="33">
        <v>-68.3</v>
      </c>
      <c r="N62" s="33">
        <f t="shared" si="23"/>
        <v>44.9</v>
      </c>
      <c r="O62" s="67"/>
      <c r="P62" s="67"/>
      <c r="Q62" s="68"/>
      <c r="R62" s="68"/>
      <c r="S62" s="33">
        <f t="shared" si="24"/>
        <v>44.9</v>
      </c>
      <c r="T62" s="33"/>
      <c r="U62" s="33">
        <f t="shared" si="25"/>
        <v>44.9</v>
      </c>
      <c r="V62" s="1"/>
      <c r="W62" s="60"/>
      <c r="X62" s="1"/>
      <c r="Y62" s="1"/>
      <c r="Z62" s="60"/>
      <c r="AA62" s="60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9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9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9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9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9"/>
      <c r="FG62" s="8"/>
      <c r="FH62" s="8"/>
    </row>
    <row r="63" spans="1:164" s="2" customFormat="1" ht="17.100000000000001" customHeight="1">
      <c r="A63" s="13" t="s">
        <v>47</v>
      </c>
      <c r="B63" s="56">
        <v>114.4</v>
      </c>
      <c r="C63" s="56">
        <v>144.19999999999999</v>
      </c>
      <c r="D63" s="4">
        <f t="shared" si="18"/>
        <v>1.2060489510489509</v>
      </c>
      <c r="E63" s="10">
        <v>15</v>
      </c>
      <c r="F63" s="5">
        <v>1</v>
      </c>
      <c r="G63" s="5">
        <v>10</v>
      </c>
      <c r="H63" s="40">
        <f t="shared" si="19"/>
        <v>1.1236293706293705</v>
      </c>
      <c r="I63" s="41">
        <v>2476</v>
      </c>
      <c r="J63" s="33">
        <f t="shared" si="20"/>
        <v>225.09090909090909</v>
      </c>
      <c r="K63" s="33">
        <f t="shared" si="21"/>
        <v>252.9</v>
      </c>
      <c r="L63" s="33">
        <f t="shared" si="22"/>
        <v>27.809090909090912</v>
      </c>
      <c r="M63" s="33">
        <v>-144.4</v>
      </c>
      <c r="N63" s="33">
        <f t="shared" si="23"/>
        <v>108.5</v>
      </c>
      <c r="O63" s="67"/>
      <c r="P63" s="67"/>
      <c r="Q63" s="68"/>
      <c r="R63" s="68"/>
      <c r="S63" s="33">
        <f t="shared" si="24"/>
        <v>108.5</v>
      </c>
      <c r="T63" s="33"/>
      <c r="U63" s="33">
        <f t="shared" si="25"/>
        <v>108.5</v>
      </c>
      <c r="V63" s="1"/>
      <c r="W63" s="60"/>
      <c r="X63" s="1"/>
      <c r="Y63" s="1"/>
      <c r="Z63" s="60"/>
      <c r="AA63" s="60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9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9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9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9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9"/>
      <c r="FG63" s="8"/>
      <c r="FH63" s="8"/>
    </row>
    <row r="64" spans="1:164" s="2" customFormat="1" ht="17.100000000000001" customHeight="1">
      <c r="A64" s="17" t="s">
        <v>48</v>
      </c>
      <c r="B64" s="57"/>
      <c r="C64" s="5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33"/>
      <c r="V64" s="1"/>
      <c r="W64" s="60"/>
      <c r="X64" s="1"/>
      <c r="Y64" s="1"/>
      <c r="Z64" s="60"/>
      <c r="AA64" s="60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9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9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9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9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9"/>
      <c r="FG64" s="8"/>
      <c r="FH64" s="8"/>
    </row>
    <row r="65" spans="1:164" s="2" customFormat="1" ht="17.100000000000001" customHeight="1">
      <c r="A65" s="13" t="s">
        <v>49</v>
      </c>
      <c r="B65" s="56">
        <v>9580.6</v>
      </c>
      <c r="C65" s="56">
        <v>7638.1</v>
      </c>
      <c r="D65" s="4">
        <f t="shared" si="18"/>
        <v>0.79724651900716026</v>
      </c>
      <c r="E65" s="10">
        <v>15</v>
      </c>
      <c r="F65" s="5">
        <v>1</v>
      </c>
      <c r="G65" s="5">
        <v>10</v>
      </c>
      <c r="H65" s="40">
        <f t="shared" si="19"/>
        <v>0.87834791140429613</v>
      </c>
      <c r="I65" s="41">
        <v>57</v>
      </c>
      <c r="J65" s="33">
        <f t="shared" si="20"/>
        <v>5.1818181818181817</v>
      </c>
      <c r="K65" s="33">
        <f t="shared" si="21"/>
        <v>4.5999999999999996</v>
      </c>
      <c r="L65" s="33">
        <f t="shared" si="22"/>
        <v>-0.58181818181818201</v>
      </c>
      <c r="M65" s="33">
        <v>0.5</v>
      </c>
      <c r="N65" s="33">
        <f t="shared" si="23"/>
        <v>5.0999999999999996</v>
      </c>
      <c r="O65" s="67"/>
      <c r="P65" s="67"/>
      <c r="Q65" s="68"/>
      <c r="R65" s="68"/>
      <c r="S65" s="33">
        <f t="shared" si="24"/>
        <v>5.0999999999999996</v>
      </c>
      <c r="T65" s="33"/>
      <c r="U65" s="33">
        <f t="shared" si="25"/>
        <v>5.0999999999999996</v>
      </c>
      <c r="V65" s="1"/>
      <c r="W65" s="60"/>
      <c r="X65" s="1"/>
      <c r="Y65" s="1"/>
      <c r="Z65" s="60"/>
      <c r="AA65" s="60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9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9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9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9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9"/>
      <c r="FG65" s="8"/>
      <c r="FH65" s="8"/>
    </row>
    <row r="66" spans="1:164" s="2" customFormat="1" ht="17.100000000000001" customHeight="1">
      <c r="A66" s="13" t="s">
        <v>50</v>
      </c>
      <c r="B66" s="56">
        <v>64</v>
      </c>
      <c r="C66" s="56">
        <v>87.2</v>
      </c>
      <c r="D66" s="4">
        <f t="shared" si="18"/>
        <v>1.2162500000000001</v>
      </c>
      <c r="E66" s="10">
        <v>15</v>
      </c>
      <c r="F66" s="5">
        <v>1</v>
      </c>
      <c r="G66" s="5">
        <v>10</v>
      </c>
      <c r="H66" s="40">
        <f t="shared" si="19"/>
        <v>1.12975</v>
      </c>
      <c r="I66" s="41">
        <v>887</v>
      </c>
      <c r="J66" s="33">
        <f t="shared" si="20"/>
        <v>80.63636363636364</v>
      </c>
      <c r="K66" s="33">
        <f t="shared" si="21"/>
        <v>91.1</v>
      </c>
      <c r="L66" s="33">
        <f t="shared" si="22"/>
        <v>10.463636363636354</v>
      </c>
      <c r="M66" s="33">
        <v>-1.2</v>
      </c>
      <c r="N66" s="33">
        <f t="shared" si="23"/>
        <v>89.9</v>
      </c>
      <c r="O66" s="67"/>
      <c r="P66" s="67"/>
      <c r="Q66" s="68"/>
      <c r="R66" s="68"/>
      <c r="S66" s="33">
        <f t="shared" si="24"/>
        <v>89.9</v>
      </c>
      <c r="T66" s="33"/>
      <c r="U66" s="33">
        <f t="shared" si="25"/>
        <v>89.9</v>
      </c>
      <c r="V66" s="1"/>
      <c r="W66" s="60"/>
      <c r="X66" s="1"/>
      <c r="Y66" s="1"/>
      <c r="Z66" s="60"/>
      <c r="AA66" s="60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9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9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9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9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9"/>
      <c r="FG66" s="8"/>
      <c r="FH66" s="8"/>
    </row>
    <row r="67" spans="1:164" s="2" customFormat="1" ht="17.100000000000001" customHeight="1">
      <c r="A67" s="13" t="s">
        <v>51</v>
      </c>
      <c r="B67" s="56">
        <v>557.5</v>
      </c>
      <c r="C67" s="56">
        <v>485.5</v>
      </c>
      <c r="D67" s="4">
        <f t="shared" si="18"/>
        <v>0.87085201793721978</v>
      </c>
      <c r="E67" s="10">
        <v>15</v>
      </c>
      <c r="F67" s="5">
        <v>1</v>
      </c>
      <c r="G67" s="5">
        <v>10</v>
      </c>
      <c r="H67" s="40">
        <f t="shared" si="19"/>
        <v>0.92251121076233189</v>
      </c>
      <c r="I67" s="41">
        <v>186</v>
      </c>
      <c r="J67" s="33">
        <f t="shared" si="20"/>
        <v>16.90909090909091</v>
      </c>
      <c r="K67" s="33">
        <f t="shared" si="21"/>
        <v>15.6</v>
      </c>
      <c r="L67" s="33">
        <f t="shared" si="22"/>
        <v>-1.3090909090909104</v>
      </c>
      <c r="M67" s="33">
        <v>0</v>
      </c>
      <c r="N67" s="33">
        <f t="shared" si="23"/>
        <v>15.6</v>
      </c>
      <c r="O67" s="67"/>
      <c r="P67" s="67"/>
      <c r="Q67" s="68"/>
      <c r="R67" s="68"/>
      <c r="S67" s="33">
        <f t="shared" si="24"/>
        <v>15.6</v>
      </c>
      <c r="T67" s="33"/>
      <c r="U67" s="33">
        <f t="shared" si="25"/>
        <v>15.6</v>
      </c>
      <c r="V67" s="1"/>
      <c r="W67" s="60"/>
      <c r="X67" s="1"/>
      <c r="Y67" s="1"/>
      <c r="Z67" s="60"/>
      <c r="AA67" s="60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9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9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9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9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9"/>
      <c r="FG67" s="8"/>
      <c r="FH67" s="8"/>
    </row>
    <row r="68" spans="1:164" s="2" customFormat="1" ht="17.100000000000001" customHeight="1">
      <c r="A68" s="13" t="s">
        <v>52</v>
      </c>
      <c r="B68" s="56">
        <v>71.900000000000006</v>
      </c>
      <c r="C68" s="56">
        <v>59.5</v>
      </c>
      <c r="D68" s="4">
        <f t="shared" si="18"/>
        <v>0.82753824756606387</v>
      </c>
      <c r="E68" s="10">
        <v>15</v>
      </c>
      <c r="F68" s="5">
        <v>1</v>
      </c>
      <c r="G68" s="5">
        <v>10</v>
      </c>
      <c r="H68" s="40">
        <f t="shared" si="19"/>
        <v>0.89652294853963843</v>
      </c>
      <c r="I68" s="41">
        <v>1399</v>
      </c>
      <c r="J68" s="33">
        <f t="shared" si="20"/>
        <v>127.18181818181819</v>
      </c>
      <c r="K68" s="33">
        <f t="shared" si="21"/>
        <v>114</v>
      </c>
      <c r="L68" s="33">
        <f t="shared" si="22"/>
        <v>-13.181818181818187</v>
      </c>
      <c r="M68" s="33">
        <v>3.8</v>
      </c>
      <c r="N68" s="33">
        <f t="shared" si="23"/>
        <v>117.8</v>
      </c>
      <c r="O68" s="67"/>
      <c r="P68" s="67"/>
      <c r="Q68" s="68"/>
      <c r="R68" s="68"/>
      <c r="S68" s="33">
        <f t="shared" si="24"/>
        <v>117.8</v>
      </c>
      <c r="T68" s="33"/>
      <c r="U68" s="33">
        <f t="shared" si="25"/>
        <v>117.8</v>
      </c>
      <c r="V68" s="1"/>
      <c r="W68" s="60"/>
      <c r="X68" s="1"/>
      <c r="Y68" s="1"/>
      <c r="Z68" s="60"/>
      <c r="AA68" s="60"/>
      <c r="AB68" s="8"/>
      <c r="AC68" s="8"/>
      <c r="AD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9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9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9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9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9"/>
      <c r="FG68" s="8"/>
      <c r="FH68" s="8"/>
    </row>
    <row r="69" spans="1:164" s="2" customFormat="1" ht="17.100000000000001" customHeight="1">
      <c r="A69" s="13" t="s">
        <v>53</v>
      </c>
      <c r="B69" s="56">
        <v>53.4</v>
      </c>
      <c r="C69" s="56">
        <v>132.5</v>
      </c>
      <c r="D69" s="4">
        <f t="shared" si="18"/>
        <v>1.3</v>
      </c>
      <c r="E69" s="10">
        <v>15</v>
      </c>
      <c r="F69" s="5">
        <v>1</v>
      </c>
      <c r="G69" s="5">
        <v>10</v>
      </c>
      <c r="H69" s="40">
        <f t="shared" si="19"/>
        <v>1.18</v>
      </c>
      <c r="I69" s="41">
        <v>1633</v>
      </c>
      <c r="J69" s="33">
        <f t="shared" si="20"/>
        <v>148.45454545454547</v>
      </c>
      <c r="K69" s="33">
        <f t="shared" si="21"/>
        <v>175.2</v>
      </c>
      <c r="L69" s="33">
        <f t="shared" si="22"/>
        <v>26.745454545454521</v>
      </c>
      <c r="M69" s="33">
        <v>15.8</v>
      </c>
      <c r="N69" s="33">
        <f t="shared" si="23"/>
        <v>191</v>
      </c>
      <c r="O69" s="67"/>
      <c r="P69" s="67"/>
      <c r="Q69" s="68"/>
      <c r="R69" s="68"/>
      <c r="S69" s="33">
        <f t="shared" si="24"/>
        <v>191</v>
      </c>
      <c r="T69" s="33"/>
      <c r="U69" s="33">
        <f t="shared" si="25"/>
        <v>191</v>
      </c>
      <c r="V69" s="1"/>
      <c r="W69" s="60"/>
      <c r="X69" s="1"/>
      <c r="Y69" s="1"/>
      <c r="Z69" s="60"/>
      <c r="AA69" s="60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9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9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9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9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9"/>
      <c r="FG69" s="8"/>
      <c r="FH69" s="8"/>
    </row>
    <row r="70" spans="1:164" s="2" customFormat="1" ht="17.100000000000001" customHeight="1">
      <c r="A70" s="13" t="s">
        <v>54</v>
      </c>
      <c r="B70" s="56">
        <v>73.400000000000006</v>
      </c>
      <c r="C70" s="56">
        <v>98</v>
      </c>
      <c r="D70" s="4">
        <f t="shared" si="18"/>
        <v>1.2135149863760217</v>
      </c>
      <c r="E70" s="10">
        <v>15</v>
      </c>
      <c r="F70" s="5">
        <v>1</v>
      </c>
      <c r="G70" s="5">
        <v>10</v>
      </c>
      <c r="H70" s="40">
        <f t="shared" si="19"/>
        <v>1.1281089918256131</v>
      </c>
      <c r="I70" s="41">
        <v>1089</v>
      </c>
      <c r="J70" s="33">
        <f t="shared" si="20"/>
        <v>99</v>
      </c>
      <c r="K70" s="33">
        <f t="shared" si="21"/>
        <v>111.7</v>
      </c>
      <c r="L70" s="33">
        <f t="shared" si="22"/>
        <v>12.700000000000003</v>
      </c>
      <c r="M70" s="33">
        <v>22</v>
      </c>
      <c r="N70" s="33">
        <f t="shared" si="23"/>
        <v>133.69999999999999</v>
      </c>
      <c r="O70" s="67"/>
      <c r="P70" s="67"/>
      <c r="Q70" s="68"/>
      <c r="R70" s="68"/>
      <c r="S70" s="33">
        <f t="shared" si="24"/>
        <v>133.69999999999999</v>
      </c>
      <c r="T70" s="33"/>
      <c r="U70" s="33">
        <f t="shared" si="25"/>
        <v>133.69999999999999</v>
      </c>
      <c r="V70" s="1"/>
      <c r="W70" s="60"/>
      <c r="X70" s="1"/>
      <c r="Y70" s="1"/>
      <c r="Z70" s="60"/>
      <c r="AA70" s="60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9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9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9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9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9"/>
      <c r="FG70" s="8"/>
      <c r="FH70" s="8"/>
    </row>
    <row r="71" spans="1:164" s="2" customFormat="1" ht="17.100000000000001" customHeight="1">
      <c r="A71" s="13" t="s">
        <v>55</v>
      </c>
      <c r="B71" s="56">
        <v>207</v>
      </c>
      <c r="C71" s="56">
        <v>71.099999999999994</v>
      </c>
      <c r="D71" s="4">
        <f t="shared" si="18"/>
        <v>0.34347826086956518</v>
      </c>
      <c r="E71" s="10">
        <v>15</v>
      </c>
      <c r="F71" s="5">
        <v>1</v>
      </c>
      <c r="G71" s="5">
        <v>10</v>
      </c>
      <c r="H71" s="40">
        <f t="shared" si="19"/>
        <v>0.60608695652173905</v>
      </c>
      <c r="I71" s="41">
        <v>1437</v>
      </c>
      <c r="J71" s="33">
        <f t="shared" si="20"/>
        <v>130.63636363636363</v>
      </c>
      <c r="K71" s="33">
        <f t="shared" si="21"/>
        <v>79.2</v>
      </c>
      <c r="L71" s="33">
        <f t="shared" si="22"/>
        <v>-51.436363636363623</v>
      </c>
      <c r="M71" s="33">
        <v>-0.3</v>
      </c>
      <c r="N71" s="33">
        <f t="shared" si="23"/>
        <v>78.900000000000006</v>
      </c>
      <c r="O71" s="67"/>
      <c r="P71" s="67"/>
      <c r="Q71" s="68"/>
      <c r="R71" s="68"/>
      <c r="S71" s="33">
        <f t="shared" si="24"/>
        <v>78.900000000000006</v>
      </c>
      <c r="T71" s="33"/>
      <c r="U71" s="33">
        <f t="shared" si="25"/>
        <v>78.900000000000006</v>
      </c>
      <c r="V71" s="1"/>
      <c r="W71" s="60"/>
      <c r="X71" s="1"/>
      <c r="Y71" s="1"/>
      <c r="Z71" s="60"/>
      <c r="AA71" s="60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9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9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9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9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9"/>
      <c r="FG71" s="8"/>
      <c r="FH71" s="8"/>
    </row>
    <row r="72" spans="1:164" s="2" customFormat="1" ht="17.100000000000001" customHeight="1">
      <c r="A72" s="13" t="s">
        <v>56</v>
      </c>
      <c r="B72" s="56">
        <v>864.4</v>
      </c>
      <c r="C72" s="56">
        <v>1064.7</v>
      </c>
      <c r="D72" s="4">
        <f t="shared" si="18"/>
        <v>1.203172142526608</v>
      </c>
      <c r="E72" s="10">
        <v>15</v>
      </c>
      <c r="F72" s="5">
        <v>1</v>
      </c>
      <c r="G72" s="5">
        <v>10</v>
      </c>
      <c r="H72" s="40">
        <f t="shared" si="19"/>
        <v>1.1219032855159647</v>
      </c>
      <c r="I72" s="41">
        <v>77</v>
      </c>
      <c r="J72" s="33">
        <f t="shared" si="20"/>
        <v>7</v>
      </c>
      <c r="K72" s="33">
        <f t="shared" si="21"/>
        <v>7.9</v>
      </c>
      <c r="L72" s="33">
        <f t="shared" si="22"/>
        <v>0.90000000000000036</v>
      </c>
      <c r="M72" s="33">
        <v>0.3</v>
      </c>
      <c r="N72" s="33">
        <f t="shared" si="23"/>
        <v>8.1999999999999993</v>
      </c>
      <c r="O72" s="67"/>
      <c r="P72" s="67"/>
      <c r="Q72" s="68"/>
      <c r="R72" s="68"/>
      <c r="S72" s="33">
        <f t="shared" si="24"/>
        <v>8.1999999999999993</v>
      </c>
      <c r="T72" s="33"/>
      <c r="U72" s="33">
        <f t="shared" si="25"/>
        <v>8.1999999999999993</v>
      </c>
      <c r="V72" s="1"/>
      <c r="W72" s="60"/>
      <c r="X72" s="1"/>
      <c r="Y72" s="1"/>
      <c r="Z72" s="60"/>
      <c r="AA72" s="60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9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9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9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9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9"/>
      <c r="FG72" s="8"/>
      <c r="FH72" s="8"/>
    </row>
    <row r="73" spans="1:164" s="2" customFormat="1" ht="17.100000000000001" customHeight="1">
      <c r="A73" s="13" t="s">
        <v>57</v>
      </c>
      <c r="B73" s="56">
        <v>307.89999999999998</v>
      </c>
      <c r="C73" s="56">
        <v>334.5</v>
      </c>
      <c r="D73" s="4">
        <f t="shared" si="18"/>
        <v>1.0863916856122118</v>
      </c>
      <c r="E73" s="10">
        <v>15</v>
      </c>
      <c r="F73" s="5">
        <v>1</v>
      </c>
      <c r="G73" s="5">
        <v>10</v>
      </c>
      <c r="H73" s="40">
        <f t="shared" si="19"/>
        <v>1.0518350113673269</v>
      </c>
      <c r="I73" s="41">
        <v>852</v>
      </c>
      <c r="J73" s="33">
        <f t="shared" si="20"/>
        <v>77.454545454545453</v>
      </c>
      <c r="K73" s="33">
        <f t="shared" si="21"/>
        <v>81.5</v>
      </c>
      <c r="L73" s="33">
        <f t="shared" si="22"/>
        <v>4.0454545454545467</v>
      </c>
      <c r="M73" s="33">
        <v>0.3</v>
      </c>
      <c r="N73" s="33">
        <f t="shared" si="23"/>
        <v>81.8</v>
      </c>
      <c r="O73" s="67"/>
      <c r="P73" s="67"/>
      <c r="Q73" s="68"/>
      <c r="R73" s="68"/>
      <c r="S73" s="33">
        <f t="shared" si="24"/>
        <v>81.8</v>
      </c>
      <c r="T73" s="33"/>
      <c r="U73" s="33">
        <f t="shared" si="25"/>
        <v>81.8</v>
      </c>
      <c r="V73" s="1"/>
      <c r="W73" s="60"/>
      <c r="X73" s="1"/>
      <c r="Y73" s="1"/>
      <c r="Z73" s="60"/>
      <c r="AA73" s="60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9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9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9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9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9"/>
      <c r="FG73" s="8"/>
      <c r="FH73" s="8"/>
    </row>
    <row r="74" spans="1:164" s="2" customFormat="1" ht="17.100000000000001" customHeight="1">
      <c r="A74" s="13" t="s">
        <v>58</v>
      </c>
      <c r="B74" s="56">
        <v>172.4</v>
      </c>
      <c r="C74" s="56">
        <v>153.30000000000001</v>
      </c>
      <c r="D74" s="4">
        <f t="shared" si="18"/>
        <v>0.88921113689095133</v>
      </c>
      <c r="E74" s="10">
        <v>15</v>
      </c>
      <c r="F74" s="5">
        <v>1</v>
      </c>
      <c r="G74" s="5">
        <v>10</v>
      </c>
      <c r="H74" s="40">
        <f t="shared" si="19"/>
        <v>0.9335266821345708</v>
      </c>
      <c r="I74" s="41">
        <v>974</v>
      </c>
      <c r="J74" s="33">
        <f t="shared" si="20"/>
        <v>88.545454545454547</v>
      </c>
      <c r="K74" s="33">
        <f t="shared" si="21"/>
        <v>82.7</v>
      </c>
      <c r="L74" s="33">
        <f t="shared" si="22"/>
        <v>-5.8454545454545439</v>
      </c>
      <c r="M74" s="33">
        <v>-1.3</v>
      </c>
      <c r="N74" s="33">
        <f t="shared" si="23"/>
        <v>81.400000000000006</v>
      </c>
      <c r="O74" s="67"/>
      <c r="P74" s="67"/>
      <c r="Q74" s="68"/>
      <c r="R74" s="68"/>
      <c r="S74" s="33">
        <f t="shared" si="24"/>
        <v>81.400000000000006</v>
      </c>
      <c r="T74" s="33"/>
      <c r="U74" s="33">
        <f t="shared" si="25"/>
        <v>81.400000000000006</v>
      </c>
      <c r="V74" s="1"/>
      <c r="W74" s="60"/>
      <c r="X74" s="1"/>
      <c r="Y74" s="1"/>
      <c r="Z74" s="60"/>
      <c r="AA74" s="60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9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9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9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9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9"/>
      <c r="FG74" s="8"/>
      <c r="FH74" s="8"/>
    </row>
    <row r="75" spans="1:164" s="2" customFormat="1" ht="17.100000000000001" customHeight="1">
      <c r="A75" s="13" t="s">
        <v>59</v>
      </c>
      <c r="B75" s="56">
        <v>60.9</v>
      </c>
      <c r="C75" s="56">
        <v>63.6</v>
      </c>
      <c r="D75" s="4">
        <f t="shared" si="18"/>
        <v>1.0443349753694582</v>
      </c>
      <c r="E75" s="10">
        <v>15</v>
      </c>
      <c r="F75" s="5">
        <v>1</v>
      </c>
      <c r="G75" s="5">
        <v>10</v>
      </c>
      <c r="H75" s="40">
        <f t="shared" si="19"/>
        <v>1.0266009852216749</v>
      </c>
      <c r="I75" s="41">
        <v>1010</v>
      </c>
      <c r="J75" s="33">
        <f t="shared" si="20"/>
        <v>91.818181818181813</v>
      </c>
      <c r="K75" s="33">
        <f t="shared" si="21"/>
        <v>94.3</v>
      </c>
      <c r="L75" s="33">
        <f t="shared" si="22"/>
        <v>2.4818181818181841</v>
      </c>
      <c r="M75" s="33">
        <v>-1.4</v>
      </c>
      <c r="N75" s="33">
        <f t="shared" si="23"/>
        <v>92.9</v>
      </c>
      <c r="O75" s="67"/>
      <c r="P75" s="67"/>
      <c r="Q75" s="68"/>
      <c r="R75" s="68"/>
      <c r="S75" s="33">
        <f t="shared" si="24"/>
        <v>92.9</v>
      </c>
      <c r="T75" s="33"/>
      <c r="U75" s="33">
        <f t="shared" si="25"/>
        <v>92.9</v>
      </c>
      <c r="V75" s="1"/>
      <c r="W75" s="60"/>
      <c r="X75" s="1"/>
      <c r="Y75" s="1"/>
      <c r="Z75" s="60"/>
      <c r="AA75" s="60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9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9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9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9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9"/>
      <c r="FG75" s="8"/>
      <c r="FH75" s="8"/>
    </row>
    <row r="76" spans="1:164" s="2" customFormat="1" ht="17.100000000000001" customHeight="1">
      <c r="A76" s="13" t="s">
        <v>60</v>
      </c>
      <c r="B76" s="56">
        <v>202.4</v>
      </c>
      <c r="C76" s="56">
        <v>54.3</v>
      </c>
      <c r="D76" s="4">
        <f t="shared" si="18"/>
        <v>0.2682806324110672</v>
      </c>
      <c r="E76" s="10">
        <v>15</v>
      </c>
      <c r="F76" s="5">
        <v>1</v>
      </c>
      <c r="G76" s="5">
        <v>10</v>
      </c>
      <c r="H76" s="40">
        <f t="shared" si="19"/>
        <v>0.56096837944664035</v>
      </c>
      <c r="I76" s="41">
        <v>1421</v>
      </c>
      <c r="J76" s="33">
        <f t="shared" si="20"/>
        <v>129.18181818181819</v>
      </c>
      <c r="K76" s="33">
        <f t="shared" si="21"/>
        <v>72.5</v>
      </c>
      <c r="L76" s="33">
        <f t="shared" si="22"/>
        <v>-56.681818181818187</v>
      </c>
      <c r="M76" s="33">
        <v>32.9</v>
      </c>
      <c r="N76" s="33">
        <f t="shared" si="23"/>
        <v>105.4</v>
      </c>
      <c r="O76" s="67"/>
      <c r="P76" s="67"/>
      <c r="Q76" s="68"/>
      <c r="R76" s="68"/>
      <c r="S76" s="33">
        <f t="shared" si="24"/>
        <v>105.4</v>
      </c>
      <c r="T76" s="33"/>
      <c r="U76" s="33">
        <f t="shared" si="25"/>
        <v>105.4</v>
      </c>
      <c r="V76" s="1"/>
      <c r="W76" s="60"/>
      <c r="X76" s="1"/>
      <c r="Y76" s="1"/>
      <c r="Z76" s="60"/>
      <c r="AA76" s="60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9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9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9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9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9"/>
      <c r="FG76" s="8"/>
      <c r="FH76" s="8"/>
    </row>
    <row r="77" spans="1:164" s="2" customFormat="1" ht="17.100000000000001" customHeight="1">
      <c r="A77" s="17" t="s">
        <v>61</v>
      </c>
      <c r="B77" s="57"/>
      <c r="C77" s="5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33"/>
      <c r="V77" s="1"/>
      <c r="W77" s="60"/>
      <c r="X77" s="1"/>
      <c r="Y77" s="1"/>
      <c r="Z77" s="60"/>
      <c r="AA77" s="60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9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9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9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9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9"/>
      <c r="FG77" s="8"/>
      <c r="FH77" s="8"/>
    </row>
    <row r="78" spans="1:164" s="2" customFormat="1" ht="17.100000000000001" customHeight="1">
      <c r="A78" s="13" t="s">
        <v>62</v>
      </c>
      <c r="B78" s="56">
        <v>472.1</v>
      </c>
      <c r="C78" s="56">
        <v>204.7</v>
      </c>
      <c r="D78" s="4">
        <f t="shared" si="18"/>
        <v>0.4335945774200381</v>
      </c>
      <c r="E78" s="10">
        <v>15</v>
      </c>
      <c r="F78" s="5">
        <v>1</v>
      </c>
      <c r="G78" s="5">
        <v>10</v>
      </c>
      <c r="H78" s="40">
        <f t="shared" si="19"/>
        <v>0.66015674645202282</v>
      </c>
      <c r="I78" s="41">
        <v>2289</v>
      </c>
      <c r="J78" s="33">
        <f t="shared" si="20"/>
        <v>208.09090909090909</v>
      </c>
      <c r="K78" s="33">
        <f t="shared" si="21"/>
        <v>137.4</v>
      </c>
      <c r="L78" s="33">
        <f t="shared" si="22"/>
        <v>-70.690909090909088</v>
      </c>
      <c r="M78" s="33">
        <v>-7.9</v>
      </c>
      <c r="N78" s="33">
        <f t="shared" si="23"/>
        <v>129.5</v>
      </c>
      <c r="O78" s="67"/>
      <c r="P78" s="67"/>
      <c r="Q78" s="68"/>
      <c r="R78" s="68"/>
      <c r="S78" s="33">
        <f t="shared" si="24"/>
        <v>129.5</v>
      </c>
      <c r="T78" s="33"/>
      <c r="U78" s="33">
        <f t="shared" si="25"/>
        <v>129.5</v>
      </c>
      <c r="V78" s="1"/>
      <c r="W78" s="60"/>
      <c r="X78" s="1"/>
      <c r="Y78" s="1"/>
      <c r="Z78" s="60"/>
      <c r="AA78" s="60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9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9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9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9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9"/>
      <c r="FG78" s="8"/>
      <c r="FH78" s="8"/>
    </row>
    <row r="79" spans="1:164" s="2" customFormat="1" ht="17.100000000000001" customHeight="1">
      <c r="A79" s="13" t="s">
        <v>63</v>
      </c>
      <c r="B79" s="56">
        <v>1093.0999999999999</v>
      </c>
      <c r="C79" s="56">
        <v>1371.9</v>
      </c>
      <c r="D79" s="4">
        <f t="shared" si="18"/>
        <v>1.2055054432348367</v>
      </c>
      <c r="E79" s="10">
        <v>15</v>
      </c>
      <c r="F79" s="5">
        <v>1</v>
      </c>
      <c r="G79" s="5">
        <v>10</v>
      </c>
      <c r="H79" s="40">
        <f t="shared" si="19"/>
        <v>1.1233032659409019</v>
      </c>
      <c r="I79" s="41">
        <v>1814</v>
      </c>
      <c r="J79" s="33">
        <f t="shared" si="20"/>
        <v>164.90909090909091</v>
      </c>
      <c r="K79" s="33">
        <f t="shared" si="21"/>
        <v>185.2</v>
      </c>
      <c r="L79" s="33">
        <f t="shared" si="22"/>
        <v>20.290909090909082</v>
      </c>
      <c r="M79" s="33">
        <v>1.2</v>
      </c>
      <c r="N79" s="33">
        <f t="shared" si="23"/>
        <v>186.4</v>
      </c>
      <c r="O79" s="67"/>
      <c r="P79" s="67"/>
      <c r="Q79" s="68"/>
      <c r="R79" s="68"/>
      <c r="S79" s="33">
        <f t="shared" si="24"/>
        <v>186.4</v>
      </c>
      <c r="T79" s="33"/>
      <c r="U79" s="33">
        <f t="shared" si="25"/>
        <v>186.4</v>
      </c>
      <c r="V79" s="1"/>
      <c r="W79" s="60"/>
      <c r="X79" s="1"/>
      <c r="Y79" s="1"/>
      <c r="Z79" s="60"/>
      <c r="AA79" s="60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9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9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9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9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9"/>
      <c r="FG79" s="8"/>
      <c r="FH79" s="8"/>
    </row>
    <row r="80" spans="1:164" s="2" customFormat="1" ht="17.100000000000001" customHeight="1">
      <c r="A80" s="13" t="s">
        <v>64</v>
      </c>
      <c r="B80" s="56">
        <v>554.1</v>
      </c>
      <c r="C80" s="56">
        <v>132.30000000000001</v>
      </c>
      <c r="D80" s="4">
        <f t="shared" si="18"/>
        <v>0.23876556578234975</v>
      </c>
      <c r="E80" s="10">
        <v>15</v>
      </c>
      <c r="F80" s="5">
        <v>1</v>
      </c>
      <c r="G80" s="5">
        <v>10</v>
      </c>
      <c r="H80" s="40">
        <f t="shared" si="19"/>
        <v>0.54325933946940985</v>
      </c>
      <c r="I80" s="41">
        <v>2179</v>
      </c>
      <c r="J80" s="33">
        <f t="shared" si="20"/>
        <v>198.09090909090909</v>
      </c>
      <c r="K80" s="33">
        <f t="shared" si="21"/>
        <v>107.6</v>
      </c>
      <c r="L80" s="33">
        <f t="shared" si="22"/>
        <v>-90.490909090909099</v>
      </c>
      <c r="M80" s="33">
        <v>10.9</v>
      </c>
      <c r="N80" s="33">
        <f t="shared" si="23"/>
        <v>118.5</v>
      </c>
      <c r="O80" s="67"/>
      <c r="P80" s="67"/>
      <c r="Q80" s="68"/>
      <c r="R80" s="68"/>
      <c r="S80" s="33">
        <f t="shared" si="24"/>
        <v>118.5</v>
      </c>
      <c r="T80" s="33"/>
      <c r="U80" s="33">
        <f t="shared" si="25"/>
        <v>118.5</v>
      </c>
      <c r="V80" s="1"/>
      <c r="W80" s="60"/>
      <c r="X80" s="1"/>
      <c r="Y80" s="1"/>
      <c r="Z80" s="60"/>
      <c r="AA80" s="60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9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9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9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9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9"/>
      <c r="FG80" s="8"/>
      <c r="FH80" s="8"/>
    </row>
    <row r="81" spans="1:164" s="2" customFormat="1" ht="17.100000000000001" customHeight="1">
      <c r="A81" s="13" t="s">
        <v>65</v>
      </c>
      <c r="B81" s="56">
        <v>675.2</v>
      </c>
      <c r="C81" s="56">
        <v>0</v>
      </c>
      <c r="D81" s="4">
        <f t="shared" si="18"/>
        <v>0</v>
      </c>
      <c r="E81" s="10">
        <v>15</v>
      </c>
      <c r="F81" s="5">
        <v>1</v>
      </c>
      <c r="G81" s="5">
        <v>10</v>
      </c>
      <c r="H81" s="40">
        <f t="shared" si="19"/>
        <v>0.4</v>
      </c>
      <c r="I81" s="41">
        <v>972</v>
      </c>
      <c r="J81" s="33">
        <f t="shared" si="20"/>
        <v>88.36363636363636</v>
      </c>
      <c r="K81" s="33">
        <f t="shared" si="21"/>
        <v>35.299999999999997</v>
      </c>
      <c r="L81" s="33">
        <f t="shared" si="22"/>
        <v>-53.063636363636363</v>
      </c>
      <c r="M81" s="33">
        <v>-8</v>
      </c>
      <c r="N81" s="33">
        <f t="shared" si="23"/>
        <v>27.3</v>
      </c>
      <c r="O81" s="67"/>
      <c r="P81" s="67"/>
      <c r="Q81" s="68"/>
      <c r="R81" s="68"/>
      <c r="S81" s="33">
        <f t="shared" si="24"/>
        <v>27.3</v>
      </c>
      <c r="T81" s="33"/>
      <c r="U81" s="33">
        <f t="shared" si="25"/>
        <v>27.3</v>
      </c>
      <c r="V81" s="1"/>
      <c r="W81" s="60"/>
      <c r="X81" s="1"/>
      <c r="Y81" s="1"/>
      <c r="Z81" s="60"/>
      <c r="AA81" s="60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9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9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9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9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9"/>
      <c r="FG81" s="8"/>
      <c r="FH81" s="8"/>
    </row>
    <row r="82" spans="1:164" s="2" customFormat="1" ht="17.100000000000001" customHeight="1">
      <c r="A82" s="13" t="s">
        <v>66</v>
      </c>
      <c r="B82" s="56">
        <v>107</v>
      </c>
      <c r="C82" s="56">
        <v>496.6</v>
      </c>
      <c r="D82" s="4">
        <f t="shared" si="18"/>
        <v>1.3</v>
      </c>
      <c r="E82" s="10">
        <v>15</v>
      </c>
      <c r="F82" s="5">
        <v>1</v>
      </c>
      <c r="G82" s="5">
        <v>10</v>
      </c>
      <c r="H82" s="40">
        <f t="shared" si="19"/>
        <v>1.18</v>
      </c>
      <c r="I82" s="41">
        <v>2602</v>
      </c>
      <c r="J82" s="33">
        <f t="shared" si="20"/>
        <v>236.54545454545453</v>
      </c>
      <c r="K82" s="33">
        <f t="shared" si="21"/>
        <v>279.10000000000002</v>
      </c>
      <c r="L82" s="33">
        <f t="shared" si="22"/>
        <v>42.55454545454549</v>
      </c>
      <c r="M82" s="33">
        <v>3.7</v>
      </c>
      <c r="N82" s="33">
        <f t="shared" si="23"/>
        <v>282.8</v>
      </c>
      <c r="O82" s="67"/>
      <c r="P82" s="67"/>
      <c r="Q82" s="68"/>
      <c r="R82" s="68"/>
      <c r="S82" s="33">
        <f t="shared" si="24"/>
        <v>282.8</v>
      </c>
      <c r="T82" s="33"/>
      <c r="U82" s="33">
        <f t="shared" si="25"/>
        <v>282.8</v>
      </c>
      <c r="V82" s="1"/>
      <c r="W82" s="60"/>
      <c r="X82" s="1"/>
      <c r="Y82" s="1"/>
      <c r="Z82" s="60"/>
      <c r="AA82" s="60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9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9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9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9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9"/>
      <c r="FG82" s="8"/>
      <c r="FH82" s="8"/>
    </row>
    <row r="83" spans="1:164" s="2" customFormat="1" ht="17.100000000000001" customHeight="1">
      <c r="A83" s="17" t="s">
        <v>67</v>
      </c>
      <c r="B83" s="57"/>
      <c r="C83" s="57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33"/>
      <c r="V83" s="1"/>
      <c r="W83" s="60"/>
      <c r="X83" s="1"/>
      <c r="Y83" s="1"/>
      <c r="Z83" s="60"/>
      <c r="AA83" s="60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9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9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9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9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9"/>
      <c r="FG83" s="8"/>
      <c r="FH83" s="8"/>
    </row>
    <row r="84" spans="1:164" s="2" customFormat="1" ht="17.100000000000001" customHeight="1">
      <c r="A84" s="13" t="s">
        <v>68</v>
      </c>
      <c r="B84" s="56">
        <v>222.9</v>
      </c>
      <c r="C84" s="56">
        <v>183.9</v>
      </c>
      <c r="D84" s="4">
        <f t="shared" si="18"/>
        <v>0.82503364737550466</v>
      </c>
      <c r="E84" s="10">
        <v>15</v>
      </c>
      <c r="F84" s="5">
        <v>1</v>
      </c>
      <c r="G84" s="5">
        <v>10</v>
      </c>
      <c r="H84" s="40">
        <f t="shared" si="19"/>
        <v>0.89502018842530273</v>
      </c>
      <c r="I84" s="41">
        <v>602</v>
      </c>
      <c r="J84" s="33">
        <f t="shared" si="20"/>
        <v>54.727272727272727</v>
      </c>
      <c r="K84" s="33">
        <f t="shared" si="21"/>
        <v>49</v>
      </c>
      <c r="L84" s="33">
        <f t="shared" si="22"/>
        <v>-5.7272727272727266</v>
      </c>
      <c r="M84" s="33">
        <v>5.6</v>
      </c>
      <c r="N84" s="33">
        <f t="shared" si="23"/>
        <v>54.6</v>
      </c>
      <c r="O84" s="67"/>
      <c r="P84" s="67"/>
      <c r="Q84" s="68"/>
      <c r="R84" s="68"/>
      <c r="S84" s="33">
        <f t="shared" si="24"/>
        <v>54.6</v>
      </c>
      <c r="T84" s="33"/>
      <c r="U84" s="33">
        <f t="shared" si="25"/>
        <v>54.6</v>
      </c>
      <c r="V84" s="1"/>
      <c r="W84" s="60"/>
      <c r="X84" s="1"/>
      <c r="Y84" s="1"/>
      <c r="Z84" s="60"/>
      <c r="AA84" s="60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9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9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9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9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9"/>
      <c r="FG84" s="8"/>
      <c r="FH84" s="8"/>
    </row>
    <row r="85" spans="1:164" s="2" customFormat="1" ht="17.100000000000001" customHeight="1">
      <c r="A85" s="13" t="s">
        <v>69</v>
      </c>
      <c r="B85" s="56">
        <v>2312.4</v>
      </c>
      <c r="C85" s="56">
        <v>1848.2</v>
      </c>
      <c r="D85" s="4">
        <f t="shared" si="18"/>
        <v>0.79925618405120225</v>
      </c>
      <c r="E85" s="10">
        <v>15</v>
      </c>
      <c r="F85" s="5">
        <v>1</v>
      </c>
      <c r="G85" s="5">
        <v>10</v>
      </c>
      <c r="H85" s="40">
        <f t="shared" si="19"/>
        <v>0.87955371043072139</v>
      </c>
      <c r="I85" s="41">
        <v>570</v>
      </c>
      <c r="J85" s="33">
        <f t="shared" si="20"/>
        <v>51.81818181818182</v>
      </c>
      <c r="K85" s="33">
        <f t="shared" si="21"/>
        <v>45.6</v>
      </c>
      <c r="L85" s="33">
        <f t="shared" si="22"/>
        <v>-6.2181818181818187</v>
      </c>
      <c r="M85" s="33">
        <v>9.4</v>
      </c>
      <c r="N85" s="33">
        <f t="shared" si="23"/>
        <v>55</v>
      </c>
      <c r="O85" s="67"/>
      <c r="P85" s="67"/>
      <c r="Q85" s="68"/>
      <c r="R85" s="68"/>
      <c r="S85" s="33">
        <f t="shared" si="24"/>
        <v>55</v>
      </c>
      <c r="T85" s="33"/>
      <c r="U85" s="33">
        <f t="shared" si="25"/>
        <v>55</v>
      </c>
      <c r="V85" s="1"/>
      <c r="W85" s="60"/>
      <c r="X85" s="1"/>
      <c r="Y85" s="1"/>
      <c r="Z85" s="60"/>
      <c r="AA85" s="60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9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9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9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9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9"/>
      <c r="FG85" s="8"/>
      <c r="FH85" s="8"/>
    </row>
    <row r="86" spans="1:164" s="2" customFormat="1" ht="17.100000000000001" customHeight="1">
      <c r="A86" s="13" t="s">
        <v>70</v>
      </c>
      <c r="B86" s="56">
        <v>43.1</v>
      </c>
      <c r="C86" s="56">
        <v>36.6</v>
      </c>
      <c r="D86" s="4">
        <f t="shared" si="18"/>
        <v>0.84918793503480283</v>
      </c>
      <c r="E86" s="10">
        <v>15</v>
      </c>
      <c r="F86" s="5">
        <v>1</v>
      </c>
      <c r="G86" s="5">
        <v>10</v>
      </c>
      <c r="H86" s="40">
        <f t="shared" si="19"/>
        <v>0.90951276102088174</v>
      </c>
      <c r="I86" s="41">
        <v>849</v>
      </c>
      <c r="J86" s="33">
        <f t="shared" si="20"/>
        <v>77.181818181818187</v>
      </c>
      <c r="K86" s="33">
        <f t="shared" si="21"/>
        <v>70.2</v>
      </c>
      <c r="L86" s="33">
        <f t="shared" si="22"/>
        <v>-6.9818181818181841</v>
      </c>
      <c r="M86" s="33">
        <v>7.9</v>
      </c>
      <c r="N86" s="33">
        <f t="shared" si="23"/>
        <v>78.099999999999994</v>
      </c>
      <c r="O86" s="67"/>
      <c r="P86" s="67"/>
      <c r="Q86" s="68"/>
      <c r="R86" s="68"/>
      <c r="S86" s="33">
        <f t="shared" si="24"/>
        <v>78.099999999999994</v>
      </c>
      <c r="T86" s="33"/>
      <c r="U86" s="33">
        <f t="shared" si="25"/>
        <v>78.099999999999994</v>
      </c>
      <c r="V86" s="1"/>
      <c r="W86" s="60"/>
      <c r="X86" s="1"/>
      <c r="Y86" s="1"/>
      <c r="Z86" s="60"/>
      <c r="AA86" s="60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9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9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9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9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9"/>
      <c r="FG86" s="8"/>
      <c r="FH86" s="8"/>
    </row>
    <row r="87" spans="1:164" s="2" customFormat="1" ht="17.100000000000001" customHeight="1">
      <c r="A87" s="13" t="s">
        <v>71</v>
      </c>
      <c r="B87" s="56">
        <v>146.1</v>
      </c>
      <c r="C87" s="56">
        <v>134.19999999999999</v>
      </c>
      <c r="D87" s="4">
        <f t="shared" si="18"/>
        <v>0.91854893908281998</v>
      </c>
      <c r="E87" s="10">
        <v>15</v>
      </c>
      <c r="F87" s="5">
        <v>1</v>
      </c>
      <c r="G87" s="5">
        <v>10</v>
      </c>
      <c r="H87" s="40">
        <f t="shared" si="19"/>
        <v>0.95112936344969201</v>
      </c>
      <c r="I87" s="41">
        <v>1096</v>
      </c>
      <c r="J87" s="33">
        <f t="shared" si="20"/>
        <v>99.63636363636364</v>
      </c>
      <c r="K87" s="33">
        <f t="shared" si="21"/>
        <v>94.8</v>
      </c>
      <c r="L87" s="33">
        <f t="shared" si="22"/>
        <v>-4.8363636363636431</v>
      </c>
      <c r="M87" s="33">
        <v>17.5</v>
      </c>
      <c r="N87" s="33">
        <f t="shared" si="23"/>
        <v>112.3</v>
      </c>
      <c r="O87" s="67"/>
      <c r="P87" s="67"/>
      <c r="Q87" s="68"/>
      <c r="R87" s="68"/>
      <c r="S87" s="33">
        <f t="shared" si="24"/>
        <v>112.3</v>
      </c>
      <c r="T87" s="33"/>
      <c r="U87" s="33">
        <f t="shared" si="25"/>
        <v>112.3</v>
      </c>
      <c r="V87" s="1"/>
      <c r="W87" s="60"/>
      <c r="X87" s="1"/>
      <c r="Y87" s="1"/>
      <c r="Z87" s="60"/>
      <c r="AA87" s="60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9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9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9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9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9"/>
      <c r="FG87" s="8"/>
      <c r="FH87" s="8"/>
    </row>
    <row r="88" spans="1:164" s="2" customFormat="1" ht="17.100000000000001" customHeight="1">
      <c r="A88" s="13" t="s">
        <v>72</v>
      </c>
      <c r="B88" s="56">
        <v>231.6</v>
      </c>
      <c r="C88" s="56">
        <v>263.3</v>
      </c>
      <c r="D88" s="4">
        <f t="shared" si="18"/>
        <v>1.136873920552677</v>
      </c>
      <c r="E88" s="10">
        <v>15</v>
      </c>
      <c r="F88" s="5">
        <v>1</v>
      </c>
      <c r="G88" s="5">
        <v>10</v>
      </c>
      <c r="H88" s="40">
        <f t="shared" si="19"/>
        <v>1.0821243523316062</v>
      </c>
      <c r="I88" s="41">
        <v>433</v>
      </c>
      <c r="J88" s="33">
        <f t="shared" si="20"/>
        <v>39.363636363636367</v>
      </c>
      <c r="K88" s="33">
        <f t="shared" si="21"/>
        <v>42.6</v>
      </c>
      <c r="L88" s="33">
        <f t="shared" si="22"/>
        <v>3.2363636363636346</v>
      </c>
      <c r="M88" s="33">
        <v>4.7</v>
      </c>
      <c r="N88" s="33">
        <f t="shared" si="23"/>
        <v>47.3</v>
      </c>
      <c r="O88" s="67"/>
      <c r="P88" s="67"/>
      <c r="Q88" s="68"/>
      <c r="R88" s="68"/>
      <c r="S88" s="33">
        <f t="shared" si="24"/>
        <v>47.3</v>
      </c>
      <c r="T88" s="33"/>
      <c r="U88" s="33">
        <f t="shared" si="25"/>
        <v>47.3</v>
      </c>
      <c r="V88" s="1"/>
      <c r="W88" s="60"/>
      <c r="X88" s="1"/>
      <c r="Y88" s="1"/>
      <c r="Z88" s="60"/>
      <c r="AA88" s="60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9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9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9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9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9"/>
      <c r="FG88" s="8"/>
      <c r="FH88" s="8"/>
    </row>
    <row r="89" spans="1:164" s="2" customFormat="1" ht="17.100000000000001" customHeight="1">
      <c r="A89" s="13" t="s">
        <v>73</v>
      </c>
      <c r="B89" s="56">
        <v>210.1</v>
      </c>
      <c r="C89" s="56">
        <v>42.2</v>
      </c>
      <c r="D89" s="4">
        <f t="shared" si="18"/>
        <v>0.20085673488814851</v>
      </c>
      <c r="E89" s="10">
        <v>15</v>
      </c>
      <c r="F89" s="5">
        <v>1</v>
      </c>
      <c r="G89" s="5">
        <v>10</v>
      </c>
      <c r="H89" s="40">
        <f t="shared" si="19"/>
        <v>0.52051404093288911</v>
      </c>
      <c r="I89" s="41">
        <v>1576</v>
      </c>
      <c r="J89" s="33">
        <f t="shared" si="20"/>
        <v>143.27272727272728</v>
      </c>
      <c r="K89" s="33">
        <f t="shared" si="21"/>
        <v>74.599999999999994</v>
      </c>
      <c r="L89" s="33">
        <f t="shared" si="22"/>
        <v>-68.672727272727286</v>
      </c>
      <c r="M89" s="33">
        <v>39.200000000000003</v>
      </c>
      <c r="N89" s="33">
        <f t="shared" si="23"/>
        <v>113.8</v>
      </c>
      <c r="O89" s="67"/>
      <c r="P89" s="67"/>
      <c r="Q89" s="68"/>
      <c r="R89" s="68"/>
      <c r="S89" s="33">
        <f t="shared" si="24"/>
        <v>113.8</v>
      </c>
      <c r="T89" s="33"/>
      <c r="U89" s="33">
        <f t="shared" si="25"/>
        <v>113.8</v>
      </c>
      <c r="V89" s="1"/>
      <c r="W89" s="60"/>
      <c r="X89" s="1"/>
      <c r="Y89" s="1"/>
      <c r="Z89" s="60"/>
      <c r="AA89" s="60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9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9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9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9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9"/>
      <c r="FG89" s="8"/>
      <c r="FH89" s="8"/>
    </row>
    <row r="90" spans="1:164" s="2" customFormat="1" ht="17.100000000000001" customHeight="1">
      <c r="A90" s="13" t="s">
        <v>74</v>
      </c>
      <c r="B90" s="56">
        <v>72.3</v>
      </c>
      <c r="C90" s="56">
        <v>0</v>
      </c>
      <c r="D90" s="4">
        <f t="shared" si="18"/>
        <v>0</v>
      </c>
      <c r="E90" s="10">
        <v>15</v>
      </c>
      <c r="F90" s="5">
        <v>1</v>
      </c>
      <c r="G90" s="5">
        <v>10</v>
      </c>
      <c r="H90" s="40">
        <f t="shared" si="19"/>
        <v>0.4</v>
      </c>
      <c r="I90" s="41">
        <v>1537</v>
      </c>
      <c r="J90" s="33">
        <f t="shared" si="20"/>
        <v>139.72727272727272</v>
      </c>
      <c r="K90" s="33">
        <f t="shared" si="21"/>
        <v>55.9</v>
      </c>
      <c r="L90" s="33">
        <f t="shared" si="22"/>
        <v>-83.827272727272714</v>
      </c>
      <c r="M90" s="33">
        <v>14.2</v>
      </c>
      <c r="N90" s="33">
        <f t="shared" si="23"/>
        <v>70.099999999999994</v>
      </c>
      <c r="O90" s="67"/>
      <c r="P90" s="67"/>
      <c r="Q90" s="68"/>
      <c r="R90" s="68"/>
      <c r="S90" s="33">
        <f t="shared" si="24"/>
        <v>70.099999999999994</v>
      </c>
      <c r="T90" s="33"/>
      <c r="U90" s="33">
        <f t="shared" si="25"/>
        <v>70.099999999999994</v>
      </c>
      <c r="V90" s="1"/>
      <c r="W90" s="60"/>
      <c r="X90" s="1"/>
      <c r="Y90" s="1"/>
      <c r="Z90" s="60"/>
      <c r="AA90" s="60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9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9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9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9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9"/>
      <c r="FG90" s="8"/>
      <c r="FH90" s="8"/>
    </row>
    <row r="91" spans="1:164" s="2" customFormat="1" ht="17.100000000000001" customHeight="1">
      <c r="A91" s="13" t="s">
        <v>75</v>
      </c>
      <c r="B91" s="56">
        <v>184.4</v>
      </c>
      <c r="C91" s="56">
        <v>1254.0999999999999</v>
      </c>
      <c r="D91" s="4">
        <f t="shared" si="18"/>
        <v>1.3</v>
      </c>
      <c r="E91" s="10">
        <v>15</v>
      </c>
      <c r="F91" s="5">
        <v>1</v>
      </c>
      <c r="G91" s="5">
        <v>10</v>
      </c>
      <c r="H91" s="40">
        <f t="shared" si="19"/>
        <v>1.18</v>
      </c>
      <c r="I91" s="41">
        <v>749</v>
      </c>
      <c r="J91" s="33">
        <f t="shared" si="20"/>
        <v>68.090909090909093</v>
      </c>
      <c r="K91" s="33">
        <f t="shared" si="21"/>
        <v>80.3</v>
      </c>
      <c r="L91" s="33">
        <f t="shared" si="22"/>
        <v>12.209090909090904</v>
      </c>
      <c r="M91" s="33">
        <v>8.6999999999999993</v>
      </c>
      <c r="N91" s="33">
        <f t="shared" si="23"/>
        <v>89</v>
      </c>
      <c r="O91" s="67"/>
      <c r="P91" s="67"/>
      <c r="Q91" s="68"/>
      <c r="R91" s="68"/>
      <c r="S91" s="33">
        <f t="shared" si="24"/>
        <v>89</v>
      </c>
      <c r="T91" s="33"/>
      <c r="U91" s="33">
        <f t="shared" si="25"/>
        <v>89</v>
      </c>
      <c r="V91" s="1"/>
      <c r="W91" s="60"/>
      <c r="X91" s="1"/>
      <c r="Y91" s="1"/>
      <c r="Z91" s="60"/>
      <c r="AA91" s="60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9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9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9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9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9"/>
      <c r="FG91" s="8"/>
      <c r="FH91" s="8"/>
    </row>
    <row r="92" spans="1:164" s="2" customFormat="1" ht="17.100000000000001" customHeight="1">
      <c r="A92" s="17" t="s">
        <v>76</v>
      </c>
      <c r="B92" s="57"/>
      <c r="C92" s="57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33"/>
      <c r="V92" s="1"/>
      <c r="W92" s="60"/>
      <c r="X92" s="1"/>
      <c r="Y92" s="1"/>
      <c r="Z92" s="60"/>
      <c r="AA92" s="60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9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9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9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9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9"/>
      <c r="FG92" s="8"/>
      <c r="FH92" s="8"/>
    </row>
    <row r="93" spans="1:164" s="2" customFormat="1" ht="17.100000000000001" customHeight="1">
      <c r="A93" s="13" t="s">
        <v>77</v>
      </c>
      <c r="B93" s="56">
        <v>346.8</v>
      </c>
      <c r="C93" s="56">
        <v>481.2</v>
      </c>
      <c r="D93" s="4">
        <f t="shared" si="18"/>
        <v>1.2187543252595154</v>
      </c>
      <c r="E93" s="10">
        <v>15</v>
      </c>
      <c r="F93" s="5">
        <v>1</v>
      </c>
      <c r="G93" s="5">
        <v>10</v>
      </c>
      <c r="H93" s="40">
        <f t="shared" si="19"/>
        <v>1.1312525951557093</v>
      </c>
      <c r="I93" s="41">
        <v>1663</v>
      </c>
      <c r="J93" s="33">
        <f t="shared" si="20"/>
        <v>151.18181818181819</v>
      </c>
      <c r="K93" s="33">
        <f t="shared" si="21"/>
        <v>171</v>
      </c>
      <c r="L93" s="33">
        <f t="shared" si="22"/>
        <v>19.818181818181813</v>
      </c>
      <c r="M93" s="33">
        <v>16.5</v>
      </c>
      <c r="N93" s="33">
        <f t="shared" si="23"/>
        <v>187.5</v>
      </c>
      <c r="O93" s="67"/>
      <c r="P93" s="67"/>
      <c r="Q93" s="68"/>
      <c r="R93" s="68"/>
      <c r="S93" s="33">
        <f t="shared" si="24"/>
        <v>187.5</v>
      </c>
      <c r="T93" s="33"/>
      <c r="U93" s="33">
        <f t="shared" si="25"/>
        <v>187.5</v>
      </c>
      <c r="V93" s="1"/>
      <c r="W93" s="60"/>
      <c r="X93" s="1"/>
      <c r="Y93" s="1"/>
      <c r="Z93" s="60"/>
      <c r="AA93" s="60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9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9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9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9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9"/>
      <c r="FG93" s="8"/>
      <c r="FH93" s="8"/>
    </row>
    <row r="94" spans="1:164" s="2" customFormat="1" ht="17.100000000000001" customHeight="1">
      <c r="A94" s="42" t="s">
        <v>78</v>
      </c>
      <c r="B94" s="56">
        <v>1679.8</v>
      </c>
      <c r="C94" s="56">
        <v>1420.6</v>
      </c>
      <c r="D94" s="4">
        <f t="shared" si="18"/>
        <v>0.84569591618049766</v>
      </c>
      <c r="E94" s="10">
        <v>15</v>
      </c>
      <c r="F94" s="5">
        <v>1</v>
      </c>
      <c r="G94" s="5">
        <v>10</v>
      </c>
      <c r="H94" s="40">
        <f t="shared" si="19"/>
        <v>0.90741754970829858</v>
      </c>
      <c r="I94" s="41">
        <v>1148</v>
      </c>
      <c r="J94" s="33">
        <f t="shared" si="20"/>
        <v>104.36363636363636</v>
      </c>
      <c r="K94" s="33">
        <f t="shared" si="21"/>
        <v>94.7</v>
      </c>
      <c r="L94" s="33">
        <f t="shared" si="22"/>
        <v>-9.6636363636363569</v>
      </c>
      <c r="M94" s="33">
        <v>11</v>
      </c>
      <c r="N94" s="33">
        <f t="shared" si="23"/>
        <v>105.7</v>
      </c>
      <c r="O94" s="67"/>
      <c r="P94" s="67"/>
      <c r="Q94" s="68"/>
      <c r="R94" s="68"/>
      <c r="S94" s="33">
        <f t="shared" si="24"/>
        <v>105.7</v>
      </c>
      <c r="T94" s="33"/>
      <c r="U94" s="33">
        <f t="shared" si="25"/>
        <v>105.7</v>
      </c>
      <c r="V94" s="1"/>
      <c r="W94" s="60"/>
      <c r="X94" s="1"/>
      <c r="Y94" s="1"/>
      <c r="Z94" s="60"/>
      <c r="AA94" s="60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9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9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9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9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9"/>
      <c r="FG94" s="8"/>
      <c r="FH94" s="8"/>
    </row>
    <row r="95" spans="1:164" s="2" customFormat="1" ht="17.100000000000001" customHeight="1">
      <c r="A95" s="13" t="s">
        <v>79</v>
      </c>
      <c r="B95" s="56">
        <v>74.5</v>
      </c>
      <c r="C95" s="56">
        <v>46.9</v>
      </c>
      <c r="D95" s="4">
        <f t="shared" si="18"/>
        <v>0.62953020134228188</v>
      </c>
      <c r="E95" s="10">
        <v>15</v>
      </c>
      <c r="F95" s="5">
        <v>1</v>
      </c>
      <c r="G95" s="5">
        <v>10</v>
      </c>
      <c r="H95" s="40">
        <f t="shared" si="19"/>
        <v>0.77771812080536906</v>
      </c>
      <c r="I95" s="41">
        <v>2926</v>
      </c>
      <c r="J95" s="33">
        <f t="shared" si="20"/>
        <v>266</v>
      </c>
      <c r="K95" s="33">
        <f t="shared" si="21"/>
        <v>206.9</v>
      </c>
      <c r="L95" s="33">
        <f t="shared" si="22"/>
        <v>-59.099999999999994</v>
      </c>
      <c r="M95" s="33">
        <v>42.9</v>
      </c>
      <c r="N95" s="33">
        <f t="shared" si="23"/>
        <v>249.8</v>
      </c>
      <c r="O95" s="67"/>
      <c r="P95" s="67"/>
      <c r="Q95" s="68"/>
      <c r="R95" s="68"/>
      <c r="S95" s="33">
        <f t="shared" si="24"/>
        <v>249.8</v>
      </c>
      <c r="T95" s="33"/>
      <c r="U95" s="33">
        <f t="shared" si="25"/>
        <v>249.8</v>
      </c>
      <c r="V95" s="1"/>
      <c r="W95" s="60"/>
      <c r="X95" s="1"/>
      <c r="Y95" s="1"/>
      <c r="Z95" s="60"/>
      <c r="AA95" s="60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9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9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9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9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9"/>
      <c r="FG95" s="8"/>
      <c r="FH95" s="8"/>
    </row>
    <row r="96" spans="1:164" s="2" customFormat="1" ht="17.100000000000001" customHeight="1">
      <c r="A96" s="13" t="s">
        <v>80</v>
      </c>
      <c r="B96" s="56">
        <v>162.30000000000001</v>
      </c>
      <c r="C96" s="56">
        <v>145.1</v>
      </c>
      <c r="D96" s="4">
        <f t="shared" si="18"/>
        <v>0.89402341343191616</v>
      </c>
      <c r="E96" s="10">
        <v>15</v>
      </c>
      <c r="F96" s="5">
        <v>1</v>
      </c>
      <c r="G96" s="5">
        <v>10</v>
      </c>
      <c r="H96" s="40">
        <f t="shared" si="19"/>
        <v>0.93641404805914963</v>
      </c>
      <c r="I96" s="41">
        <v>2933</v>
      </c>
      <c r="J96" s="33">
        <f t="shared" si="20"/>
        <v>266.63636363636363</v>
      </c>
      <c r="K96" s="33">
        <f t="shared" si="21"/>
        <v>249.7</v>
      </c>
      <c r="L96" s="33">
        <f t="shared" si="22"/>
        <v>-16.936363636363637</v>
      </c>
      <c r="M96" s="33">
        <v>16.5</v>
      </c>
      <c r="N96" s="33">
        <f t="shared" si="23"/>
        <v>266.2</v>
      </c>
      <c r="O96" s="67"/>
      <c r="P96" s="67"/>
      <c r="Q96" s="68"/>
      <c r="R96" s="68"/>
      <c r="S96" s="33">
        <f t="shared" si="24"/>
        <v>266.2</v>
      </c>
      <c r="T96" s="33"/>
      <c r="U96" s="33">
        <f t="shared" si="25"/>
        <v>266.2</v>
      </c>
      <c r="V96" s="1"/>
      <c r="W96" s="60"/>
      <c r="X96" s="1"/>
      <c r="Y96" s="1"/>
      <c r="Z96" s="60"/>
      <c r="AA96" s="60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9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9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9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9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9"/>
      <c r="FG96" s="8"/>
      <c r="FH96" s="8"/>
    </row>
    <row r="97" spans="1:164" s="2" customFormat="1" ht="17.100000000000001" customHeight="1">
      <c r="A97" s="13" t="s">
        <v>81</v>
      </c>
      <c r="B97" s="56">
        <v>74.900000000000006</v>
      </c>
      <c r="C97" s="56">
        <v>105.8</v>
      </c>
      <c r="D97" s="4">
        <f t="shared" si="18"/>
        <v>1.2212550066755674</v>
      </c>
      <c r="E97" s="10">
        <v>15</v>
      </c>
      <c r="F97" s="5">
        <v>1</v>
      </c>
      <c r="G97" s="5">
        <v>10</v>
      </c>
      <c r="H97" s="40">
        <f t="shared" si="19"/>
        <v>1.1327530040053404</v>
      </c>
      <c r="I97" s="41">
        <v>2065</v>
      </c>
      <c r="J97" s="33">
        <f t="shared" si="20"/>
        <v>187.72727272727272</v>
      </c>
      <c r="K97" s="33">
        <f t="shared" si="21"/>
        <v>212.6</v>
      </c>
      <c r="L97" s="33">
        <f t="shared" si="22"/>
        <v>24.872727272727275</v>
      </c>
      <c r="M97" s="33">
        <v>36.200000000000003</v>
      </c>
      <c r="N97" s="33">
        <f t="shared" si="23"/>
        <v>248.8</v>
      </c>
      <c r="O97" s="67"/>
      <c r="P97" s="67"/>
      <c r="Q97" s="68"/>
      <c r="R97" s="68"/>
      <c r="S97" s="33">
        <f t="shared" si="24"/>
        <v>248.8</v>
      </c>
      <c r="T97" s="33"/>
      <c r="U97" s="33">
        <f t="shared" si="25"/>
        <v>248.8</v>
      </c>
      <c r="V97" s="1"/>
      <c r="W97" s="60"/>
      <c r="X97" s="1"/>
      <c r="Y97" s="1"/>
      <c r="Z97" s="60"/>
      <c r="AA97" s="60"/>
      <c r="AB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9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9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9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9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9"/>
      <c r="FG97" s="8"/>
      <c r="FH97" s="8"/>
    </row>
    <row r="98" spans="1:164" s="2" customFormat="1" ht="17.100000000000001" customHeight="1">
      <c r="A98" s="13" t="s">
        <v>82</v>
      </c>
      <c r="B98" s="56">
        <v>99.3</v>
      </c>
      <c r="C98" s="56">
        <v>75.5</v>
      </c>
      <c r="D98" s="4">
        <f t="shared" si="18"/>
        <v>0.76032225579053381</v>
      </c>
      <c r="E98" s="10">
        <v>15</v>
      </c>
      <c r="F98" s="5">
        <v>1</v>
      </c>
      <c r="G98" s="5">
        <v>10</v>
      </c>
      <c r="H98" s="40">
        <f t="shared" si="19"/>
        <v>0.85619335347432024</v>
      </c>
      <c r="I98" s="41">
        <v>1735</v>
      </c>
      <c r="J98" s="33">
        <f t="shared" si="20"/>
        <v>157.72727272727272</v>
      </c>
      <c r="K98" s="33">
        <f t="shared" si="21"/>
        <v>135</v>
      </c>
      <c r="L98" s="33">
        <f t="shared" si="22"/>
        <v>-22.72727272727272</v>
      </c>
      <c r="M98" s="33">
        <v>6</v>
      </c>
      <c r="N98" s="33">
        <f t="shared" si="23"/>
        <v>141</v>
      </c>
      <c r="O98" s="67"/>
      <c r="P98" s="67"/>
      <c r="Q98" s="68"/>
      <c r="R98" s="68"/>
      <c r="S98" s="33">
        <f t="shared" si="24"/>
        <v>141</v>
      </c>
      <c r="T98" s="33"/>
      <c r="U98" s="33">
        <f t="shared" si="25"/>
        <v>141</v>
      </c>
      <c r="V98" s="1"/>
      <c r="W98" s="60"/>
      <c r="X98" s="1"/>
      <c r="Y98" s="1"/>
      <c r="Z98" s="60"/>
      <c r="AA98" s="60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9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9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9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9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9"/>
      <c r="FG98" s="8"/>
      <c r="FH98" s="8"/>
    </row>
    <row r="99" spans="1:164" s="2" customFormat="1" ht="17.100000000000001" customHeight="1">
      <c r="A99" s="13" t="s">
        <v>83</v>
      </c>
      <c r="B99" s="56">
        <v>38.4</v>
      </c>
      <c r="C99" s="56">
        <v>20.3</v>
      </c>
      <c r="D99" s="4">
        <f t="shared" si="18"/>
        <v>0.52864583333333337</v>
      </c>
      <c r="E99" s="10">
        <v>15</v>
      </c>
      <c r="F99" s="5">
        <v>1</v>
      </c>
      <c r="G99" s="5">
        <v>10</v>
      </c>
      <c r="H99" s="40">
        <f t="shared" si="19"/>
        <v>0.71718749999999998</v>
      </c>
      <c r="I99" s="41">
        <v>2058</v>
      </c>
      <c r="J99" s="33">
        <f t="shared" si="20"/>
        <v>187.09090909090909</v>
      </c>
      <c r="K99" s="33">
        <f t="shared" si="21"/>
        <v>134.19999999999999</v>
      </c>
      <c r="L99" s="33">
        <f t="shared" si="22"/>
        <v>-52.890909090909105</v>
      </c>
      <c r="M99" s="33">
        <v>15.4</v>
      </c>
      <c r="N99" s="33">
        <f t="shared" si="23"/>
        <v>149.6</v>
      </c>
      <c r="O99" s="67"/>
      <c r="P99" s="67"/>
      <c r="Q99" s="68"/>
      <c r="R99" s="68"/>
      <c r="S99" s="33">
        <f t="shared" si="24"/>
        <v>149.6</v>
      </c>
      <c r="T99" s="33"/>
      <c r="U99" s="33">
        <f t="shared" si="25"/>
        <v>149.6</v>
      </c>
      <c r="V99" s="1"/>
      <c r="W99" s="60"/>
      <c r="X99" s="1"/>
      <c r="Y99" s="1"/>
      <c r="Z99" s="60"/>
      <c r="AA99" s="60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9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9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9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9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9"/>
      <c r="FG99" s="8"/>
      <c r="FH99" s="8"/>
    </row>
    <row r="100" spans="1:164" s="2" customFormat="1" ht="17.100000000000001" customHeight="1">
      <c r="A100" s="13" t="s">
        <v>84</v>
      </c>
      <c r="B100" s="56">
        <v>44.5</v>
      </c>
      <c r="C100" s="56">
        <v>123.4</v>
      </c>
      <c r="D100" s="4">
        <f t="shared" si="18"/>
        <v>1.3</v>
      </c>
      <c r="E100" s="10">
        <v>15</v>
      </c>
      <c r="F100" s="5">
        <v>1</v>
      </c>
      <c r="G100" s="5">
        <v>10</v>
      </c>
      <c r="H100" s="40">
        <f t="shared" si="19"/>
        <v>1.18</v>
      </c>
      <c r="I100" s="41">
        <v>2038</v>
      </c>
      <c r="J100" s="33">
        <f t="shared" si="20"/>
        <v>185.27272727272728</v>
      </c>
      <c r="K100" s="33">
        <f t="shared" si="21"/>
        <v>218.6</v>
      </c>
      <c r="L100" s="33">
        <f t="shared" si="22"/>
        <v>33.327272727272714</v>
      </c>
      <c r="M100" s="33">
        <v>3.4</v>
      </c>
      <c r="N100" s="33">
        <f t="shared" si="23"/>
        <v>222</v>
      </c>
      <c r="O100" s="67"/>
      <c r="P100" s="67"/>
      <c r="Q100" s="68"/>
      <c r="R100" s="68"/>
      <c r="S100" s="33">
        <f t="shared" si="24"/>
        <v>222</v>
      </c>
      <c r="T100" s="33"/>
      <c r="U100" s="33">
        <f t="shared" si="25"/>
        <v>222</v>
      </c>
      <c r="V100" s="1"/>
      <c r="W100" s="60"/>
      <c r="X100" s="1"/>
      <c r="Y100" s="1"/>
      <c r="Z100" s="60"/>
      <c r="AA100" s="60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9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9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9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9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9"/>
      <c r="FG100" s="8"/>
      <c r="FH100" s="8"/>
    </row>
    <row r="101" spans="1:164" s="2" customFormat="1" ht="17.100000000000001" customHeight="1">
      <c r="A101" s="13" t="s">
        <v>85</v>
      </c>
      <c r="B101" s="56">
        <v>287.3</v>
      </c>
      <c r="C101" s="56">
        <v>254.1</v>
      </c>
      <c r="D101" s="4">
        <f t="shared" si="18"/>
        <v>0.88444135050469885</v>
      </c>
      <c r="E101" s="10">
        <v>15</v>
      </c>
      <c r="F101" s="5">
        <v>1</v>
      </c>
      <c r="G101" s="5">
        <v>10</v>
      </c>
      <c r="H101" s="40">
        <f t="shared" si="19"/>
        <v>0.93066481030281933</v>
      </c>
      <c r="I101" s="41">
        <v>2093</v>
      </c>
      <c r="J101" s="33">
        <f t="shared" si="20"/>
        <v>190.27272727272728</v>
      </c>
      <c r="K101" s="33">
        <f t="shared" si="21"/>
        <v>177.1</v>
      </c>
      <c r="L101" s="33">
        <f t="shared" si="22"/>
        <v>-13.172727272727286</v>
      </c>
      <c r="M101" s="33">
        <v>18.8</v>
      </c>
      <c r="N101" s="33">
        <f t="shared" si="23"/>
        <v>195.9</v>
      </c>
      <c r="O101" s="67"/>
      <c r="P101" s="67"/>
      <c r="Q101" s="68"/>
      <c r="R101" s="68"/>
      <c r="S101" s="33">
        <f t="shared" si="24"/>
        <v>195.9</v>
      </c>
      <c r="T101" s="33"/>
      <c r="U101" s="33">
        <f t="shared" si="25"/>
        <v>195.9</v>
      </c>
      <c r="V101" s="1"/>
      <c r="W101" s="60"/>
      <c r="X101" s="1"/>
      <c r="Y101" s="1"/>
      <c r="Z101" s="60"/>
      <c r="AA101" s="60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9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9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9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9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9"/>
      <c r="FG101" s="8"/>
      <c r="FH101" s="8"/>
    </row>
    <row r="102" spans="1:164" s="2" customFormat="1" ht="17.100000000000001" customHeight="1">
      <c r="A102" s="17" t="s">
        <v>86</v>
      </c>
      <c r="B102" s="57"/>
      <c r="C102" s="57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33"/>
      <c r="V102" s="1"/>
      <c r="W102" s="60"/>
      <c r="X102" s="1"/>
      <c r="Y102" s="1"/>
      <c r="Z102" s="60"/>
      <c r="AA102" s="60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9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9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9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9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9"/>
      <c r="FG102" s="8"/>
      <c r="FH102" s="8"/>
    </row>
    <row r="103" spans="1:164" s="2" customFormat="1" ht="17.100000000000001" customHeight="1">
      <c r="A103" s="13" t="s">
        <v>87</v>
      </c>
      <c r="B103" s="56">
        <v>28.9</v>
      </c>
      <c r="C103" s="56">
        <v>15.1</v>
      </c>
      <c r="D103" s="4">
        <f t="shared" si="18"/>
        <v>0.52249134948096887</v>
      </c>
      <c r="E103" s="10">
        <v>15</v>
      </c>
      <c r="F103" s="5">
        <v>1</v>
      </c>
      <c r="G103" s="5">
        <v>10</v>
      </c>
      <c r="H103" s="40">
        <f t="shared" si="19"/>
        <v>0.71349480968858137</v>
      </c>
      <c r="I103" s="41">
        <v>1063</v>
      </c>
      <c r="J103" s="33">
        <f t="shared" si="20"/>
        <v>96.63636363636364</v>
      </c>
      <c r="K103" s="33">
        <f t="shared" si="21"/>
        <v>68.900000000000006</v>
      </c>
      <c r="L103" s="33">
        <f t="shared" si="22"/>
        <v>-27.736363636363635</v>
      </c>
      <c r="M103" s="33">
        <v>14.3</v>
      </c>
      <c r="N103" s="33">
        <f t="shared" si="23"/>
        <v>83.2</v>
      </c>
      <c r="O103" s="67"/>
      <c r="P103" s="67"/>
      <c r="Q103" s="68"/>
      <c r="R103" s="68"/>
      <c r="S103" s="33">
        <f t="shared" si="24"/>
        <v>83.2</v>
      </c>
      <c r="T103" s="33"/>
      <c r="U103" s="33">
        <f t="shared" si="25"/>
        <v>83.2</v>
      </c>
      <c r="V103" s="1"/>
      <c r="W103" s="60"/>
      <c r="X103" s="1"/>
      <c r="Y103" s="1"/>
      <c r="Z103" s="60"/>
      <c r="AA103" s="60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9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9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9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9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9"/>
      <c r="FG103" s="8"/>
      <c r="FH103" s="8"/>
    </row>
    <row r="104" spans="1:164" s="2" customFormat="1" ht="16.5" customHeight="1">
      <c r="A104" s="13" t="s">
        <v>88</v>
      </c>
      <c r="B104" s="56">
        <v>1892.7</v>
      </c>
      <c r="C104" s="56">
        <v>1490.2</v>
      </c>
      <c r="D104" s="4">
        <f t="shared" si="18"/>
        <v>0.78734083584297565</v>
      </c>
      <c r="E104" s="10">
        <v>15</v>
      </c>
      <c r="F104" s="5">
        <v>1</v>
      </c>
      <c r="G104" s="5">
        <v>10</v>
      </c>
      <c r="H104" s="40">
        <f t="shared" si="19"/>
        <v>0.87240450150578541</v>
      </c>
      <c r="I104" s="41">
        <v>2348</v>
      </c>
      <c r="J104" s="33">
        <f t="shared" si="20"/>
        <v>213.45454545454547</v>
      </c>
      <c r="K104" s="33">
        <f t="shared" si="21"/>
        <v>186.2</v>
      </c>
      <c r="L104" s="33">
        <f t="shared" si="22"/>
        <v>-27.254545454545479</v>
      </c>
      <c r="M104" s="33">
        <v>12.6</v>
      </c>
      <c r="N104" s="33">
        <f t="shared" si="23"/>
        <v>198.8</v>
      </c>
      <c r="O104" s="67"/>
      <c r="P104" s="67"/>
      <c r="Q104" s="68"/>
      <c r="R104" s="68"/>
      <c r="S104" s="33">
        <f t="shared" si="24"/>
        <v>198.8</v>
      </c>
      <c r="T104" s="33"/>
      <c r="U104" s="33">
        <f t="shared" si="25"/>
        <v>198.8</v>
      </c>
      <c r="V104" s="1"/>
      <c r="W104" s="60"/>
      <c r="X104" s="1"/>
      <c r="Y104" s="1"/>
      <c r="Z104" s="60"/>
      <c r="AA104" s="60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9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9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9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9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9"/>
      <c r="FG104" s="8"/>
      <c r="FH104" s="8"/>
    </row>
    <row r="105" spans="1:164" s="2" customFormat="1" ht="17.100000000000001" customHeight="1">
      <c r="A105" s="13" t="s">
        <v>89</v>
      </c>
      <c r="B105" s="56">
        <v>365.1</v>
      </c>
      <c r="C105" s="56">
        <v>189.6</v>
      </c>
      <c r="D105" s="4">
        <f t="shared" si="18"/>
        <v>0.51930977814297452</v>
      </c>
      <c r="E105" s="10">
        <v>15</v>
      </c>
      <c r="F105" s="5">
        <v>1</v>
      </c>
      <c r="G105" s="5">
        <v>10</v>
      </c>
      <c r="H105" s="40">
        <f t="shared" si="19"/>
        <v>0.71158586688578462</v>
      </c>
      <c r="I105" s="41">
        <v>1143</v>
      </c>
      <c r="J105" s="33">
        <f t="shared" si="20"/>
        <v>103.90909090909091</v>
      </c>
      <c r="K105" s="33">
        <f t="shared" si="21"/>
        <v>73.900000000000006</v>
      </c>
      <c r="L105" s="33">
        <f t="shared" si="22"/>
        <v>-30.009090909090901</v>
      </c>
      <c r="M105" s="33">
        <v>18</v>
      </c>
      <c r="N105" s="33">
        <f t="shared" si="23"/>
        <v>91.9</v>
      </c>
      <c r="O105" s="67"/>
      <c r="P105" s="67"/>
      <c r="Q105" s="68"/>
      <c r="R105" s="68"/>
      <c r="S105" s="33">
        <f t="shared" si="24"/>
        <v>91.9</v>
      </c>
      <c r="T105" s="33"/>
      <c r="U105" s="33">
        <f t="shared" si="25"/>
        <v>91.9</v>
      </c>
      <c r="V105" s="1"/>
      <c r="W105" s="60"/>
      <c r="X105" s="1"/>
      <c r="Y105" s="1"/>
      <c r="Z105" s="60"/>
      <c r="AA105" s="60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9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9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9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9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9"/>
      <c r="FG105" s="8"/>
      <c r="FH105" s="8"/>
    </row>
    <row r="106" spans="1:164" s="2" customFormat="1" ht="17.100000000000001" customHeight="1">
      <c r="A106" s="13" t="s">
        <v>90</v>
      </c>
      <c r="B106" s="56">
        <v>56.8</v>
      </c>
      <c r="C106" s="56">
        <v>76.400000000000006</v>
      </c>
      <c r="D106" s="4">
        <f t="shared" si="18"/>
        <v>1.2145070422535211</v>
      </c>
      <c r="E106" s="10">
        <v>15</v>
      </c>
      <c r="F106" s="5">
        <v>1</v>
      </c>
      <c r="G106" s="5">
        <v>10</v>
      </c>
      <c r="H106" s="40">
        <f t="shared" si="19"/>
        <v>1.1287042253521127</v>
      </c>
      <c r="I106" s="41">
        <v>1226</v>
      </c>
      <c r="J106" s="33">
        <f t="shared" si="20"/>
        <v>111.45454545454545</v>
      </c>
      <c r="K106" s="33">
        <f t="shared" si="21"/>
        <v>125.8</v>
      </c>
      <c r="L106" s="33">
        <f t="shared" si="22"/>
        <v>14.345454545454544</v>
      </c>
      <c r="M106" s="33">
        <v>12.1</v>
      </c>
      <c r="N106" s="33">
        <f t="shared" si="23"/>
        <v>137.9</v>
      </c>
      <c r="O106" s="67"/>
      <c r="P106" s="67"/>
      <c r="Q106" s="68"/>
      <c r="R106" s="68"/>
      <c r="S106" s="33">
        <f t="shared" si="24"/>
        <v>137.9</v>
      </c>
      <c r="T106" s="33"/>
      <c r="U106" s="33">
        <f t="shared" si="25"/>
        <v>137.9</v>
      </c>
      <c r="V106" s="1"/>
      <c r="W106" s="60"/>
      <c r="X106" s="1"/>
      <c r="Y106" s="1"/>
      <c r="Z106" s="60"/>
      <c r="AA106" s="60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9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9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9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9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9"/>
      <c r="FG106" s="8"/>
      <c r="FH106" s="8"/>
    </row>
    <row r="107" spans="1:164" s="2" customFormat="1" ht="17.100000000000001" customHeight="1">
      <c r="A107" s="13" t="s">
        <v>91</v>
      </c>
      <c r="B107" s="56">
        <v>69.7</v>
      </c>
      <c r="C107" s="56">
        <v>153.69999999999999</v>
      </c>
      <c r="D107" s="4">
        <f t="shared" si="18"/>
        <v>1.3</v>
      </c>
      <c r="E107" s="10">
        <v>15</v>
      </c>
      <c r="F107" s="5">
        <v>1</v>
      </c>
      <c r="G107" s="5">
        <v>10</v>
      </c>
      <c r="H107" s="40">
        <f t="shared" si="19"/>
        <v>1.18</v>
      </c>
      <c r="I107" s="41">
        <v>1766</v>
      </c>
      <c r="J107" s="33">
        <f t="shared" si="20"/>
        <v>160.54545454545453</v>
      </c>
      <c r="K107" s="33">
        <f t="shared" si="21"/>
        <v>189.4</v>
      </c>
      <c r="L107" s="33">
        <f t="shared" si="22"/>
        <v>28.854545454545473</v>
      </c>
      <c r="M107" s="33">
        <v>-1.3</v>
      </c>
      <c r="N107" s="33">
        <f t="shared" si="23"/>
        <v>188.1</v>
      </c>
      <c r="O107" s="67"/>
      <c r="P107" s="67"/>
      <c r="Q107" s="68"/>
      <c r="R107" s="68"/>
      <c r="S107" s="33">
        <f t="shared" si="24"/>
        <v>188.1</v>
      </c>
      <c r="T107" s="33"/>
      <c r="U107" s="33">
        <f t="shared" si="25"/>
        <v>188.1</v>
      </c>
      <c r="V107" s="1"/>
      <c r="W107" s="60"/>
      <c r="X107" s="1"/>
      <c r="Y107" s="1"/>
      <c r="Z107" s="60"/>
      <c r="AA107" s="60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9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9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9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9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9"/>
      <c r="FG107" s="8"/>
      <c r="FH107" s="8"/>
    </row>
    <row r="108" spans="1:164" s="2" customFormat="1" ht="17.100000000000001" customHeight="1">
      <c r="A108" s="13" t="s">
        <v>92</v>
      </c>
      <c r="B108" s="56">
        <v>104.4</v>
      </c>
      <c r="C108" s="56">
        <v>48.6</v>
      </c>
      <c r="D108" s="4">
        <f t="shared" si="18"/>
        <v>0.46551724137931033</v>
      </c>
      <c r="E108" s="10">
        <v>15</v>
      </c>
      <c r="F108" s="5">
        <v>1</v>
      </c>
      <c r="G108" s="5">
        <v>10</v>
      </c>
      <c r="H108" s="40">
        <f t="shared" si="19"/>
        <v>0.67931034482758623</v>
      </c>
      <c r="I108" s="41">
        <v>1271</v>
      </c>
      <c r="J108" s="33">
        <f t="shared" si="20"/>
        <v>115.54545454545455</v>
      </c>
      <c r="K108" s="33">
        <f t="shared" si="21"/>
        <v>78.5</v>
      </c>
      <c r="L108" s="33">
        <f t="shared" si="22"/>
        <v>-37.045454545454547</v>
      </c>
      <c r="M108" s="33">
        <v>7</v>
      </c>
      <c r="N108" s="33">
        <f t="shared" si="23"/>
        <v>85.5</v>
      </c>
      <c r="O108" s="67"/>
      <c r="P108" s="67"/>
      <c r="Q108" s="68"/>
      <c r="R108" s="68"/>
      <c r="S108" s="33">
        <f t="shared" si="24"/>
        <v>85.5</v>
      </c>
      <c r="T108" s="33"/>
      <c r="U108" s="33">
        <f t="shared" si="25"/>
        <v>85.5</v>
      </c>
      <c r="V108" s="1"/>
      <c r="W108" s="60"/>
      <c r="X108" s="1"/>
      <c r="Y108" s="1"/>
      <c r="Z108" s="60"/>
      <c r="AA108" s="60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9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9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9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9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9"/>
      <c r="FG108" s="8"/>
      <c r="FH108" s="8"/>
    </row>
    <row r="109" spans="1:164" s="2" customFormat="1" ht="17.100000000000001" customHeight="1">
      <c r="A109" s="13" t="s">
        <v>93</v>
      </c>
      <c r="B109" s="56">
        <v>98.3</v>
      </c>
      <c r="C109" s="56">
        <v>111.9</v>
      </c>
      <c r="D109" s="4">
        <f t="shared" si="18"/>
        <v>1.138351983723296</v>
      </c>
      <c r="E109" s="10">
        <v>15</v>
      </c>
      <c r="F109" s="5">
        <v>1</v>
      </c>
      <c r="G109" s="5">
        <v>10</v>
      </c>
      <c r="H109" s="40">
        <f t="shared" si="19"/>
        <v>1.0830111902339776</v>
      </c>
      <c r="I109" s="41">
        <v>1832</v>
      </c>
      <c r="J109" s="33">
        <f t="shared" si="20"/>
        <v>166.54545454545453</v>
      </c>
      <c r="K109" s="33">
        <f t="shared" si="21"/>
        <v>180.4</v>
      </c>
      <c r="L109" s="33">
        <f t="shared" si="22"/>
        <v>13.854545454545473</v>
      </c>
      <c r="M109" s="33">
        <v>5.3</v>
      </c>
      <c r="N109" s="33">
        <f t="shared" si="23"/>
        <v>185.7</v>
      </c>
      <c r="O109" s="67"/>
      <c r="P109" s="67"/>
      <c r="Q109" s="68"/>
      <c r="R109" s="68"/>
      <c r="S109" s="33">
        <f t="shared" si="24"/>
        <v>185.7</v>
      </c>
      <c r="T109" s="33"/>
      <c r="U109" s="33">
        <f t="shared" si="25"/>
        <v>185.7</v>
      </c>
      <c r="V109" s="1"/>
      <c r="W109" s="60"/>
      <c r="X109" s="1"/>
      <c r="Y109" s="1"/>
      <c r="Z109" s="60"/>
      <c r="AA109" s="60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9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9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9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9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9"/>
      <c r="FG109" s="8"/>
      <c r="FH109" s="8"/>
    </row>
    <row r="110" spans="1:164" s="2" customFormat="1" ht="17.100000000000001" customHeight="1">
      <c r="A110" s="13" t="s">
        <v>94</v>
      </c>
      <c r="B110" s="56">
        <v>158.5</v>
      </c>
      <c r="C110" s="56">
        <v>310.5</v>
      </c>
      <c r="D110" s="4">
        <f t="shared" si="18"/>
        <v>1.2758990536277601</v>
      </c>
      <c r="E110" s="10">
        <v>15</v>
      </c>
      <c r="F110" s="5">
        <v>1</v>
      </c>
      <c r="G110" s="5">
        <v>10</v>
      </c>
      <c r="H110" s="40">
        <f t="shared" si="19"/>
        <v>1.1655394321766561</v>
      </c>
      <c r="I110" s="41">
        <v>1823</v>
      </c>
      <c r="J110" s="33">
        <f t="shared" si="20"/>
        <v>165.72727272727272</v>
      </c>
      <c r="K110" s="33">
        <f t="shared" si="21"/>
        <v>193.2</v>
      </c>
      <c r="L110" s="33">
        <f t="shared" si="22"/>
        <v>27.472727272727269</v>
      </c>
      <c r="M110" s="33">
        <v>-1.3</v>
      </c>
      <c r="N110" s="33">
        <f t="shared" si="23"/>
        <v>191.9</v>
      </c>
      <c r="O110" s="67"/>
      <c r="P110" s="67"/>
      <c r="Q110" s="68"/>
      <c r="R110" s="68"/>
      <c r="S110" s="33">
        <f t="shared" si="24"/>
        <v>191.9</v>
      </c>
      <c r="T110" s="33"/>
      <c r="U110" s="33">
        <f t="shared" si="25"/>
        <v>191.9</v>
      </c>
      <c r="V110" s="1"/>
      <c r="W110" s="60"/>
      <c r="X110" s="1"/>
      <c r="Y110" s="1"/>
      <c r="Z110" s="60"/>
      <c r="AA110" s="60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9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9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9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9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9"/>
      <c r="FG110" s="8"/>
      <c r="FH110" s="8"/>
    </row>
    <row r="111" spans="1:164" s="2" customFormat="1" ht="17.100000000000001" customHeight="1">
      <c r="A111" s="13" t="s">
        <v>95</v>
      </c>
      <c r="B111" s="56">
        <v>210.2</v>
      </c>
      <c r="C111" s="56">
        <v>189.3</v>
      </c>
      <c r="D111" s="4">
        <f t="shared" si="18"/>
        <v>0.90057088487155101</v>
      </c>
      <c r="E111" s="10">
        <v>15</v>
      </c>
      <c r="F111" s="5">
        <v>1</v>
      </c>
      <c r="G111" s="5">
        <v>10</v>
      </c>
      <c r="H111" s="40">
        <f t="shared" si="19"/>
        <v>0.94034253092293052</v>
      </c>
      <c r="I111" s="41">
        <v>1262</v>
      </c>
      <c r="J111" s="33">
        <f t="shared" si="20"/>
        <v>114.72727272727273</v>
      </c>
      <c r="K111" s="33">
        <f t="shared" si="21"/>
        <v>107.9</v>
      </c>
      <c r="L111" s="33">
        <f t="shared" si="22"/>
        <v>-6.827272727272728</v>
      </c>
      <c r="M111" s="33">
        <v>9.9</v>
      </c>
      <c r="N111" s="33">
        <f t="shared" si="23"/>
        <v>117.8</v>
      </c>
      <c r="O111" s="67"/>
      <c r="P111" s="67"/>
      <c r="Q111" s="68"/>
      <c r="R111" s="68"/>
      <c r="S111" s="33">
        <f t="shared" si="24"/>
        <v>117.8</v>
      </c>
      <c r="T111" s="33"/>
      <c r="U111" s="33">
        <f t="shared" si="25"/>
        <v>117.8</v>
      </c>
      <c r="V111" s="1"/>
      <c r="W111" s="60"/>
      <c r="X111" s="1"/>
      <c r="Y111" s="1"/>
      <c r="Z111" s="60"/>
      <c r="AA111" s="60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9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9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9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9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9"/>
      <c r="FG111" s="8"/>
      <c r="FH111" s="8"/>
    </row>
    <row r="112" spans="1:164" s="2" customFormat="1" ht="17.100000000000001" customHeight="1">
      <c r="A112" s="13" t="s">
        <v>96</v>
      </c>
      <c r="B112" s="56">
        <v>73.099999999999994</v>
      </c>
      <c r="C112" s="56">
        <v>103.1</v>
      </c>
      <c r="D112" s="4">
        <f t="shared" si="18"/>
        <v>1.2210396716826266</v>
      </c>
      <c r="E112" s="10">
        <v>15</v>
      </c>
      <c r="F112" s="5">
        <v>1</v>
      </c>
      <c r="G112" s="5">
        <v>10</v>
      </c>
      <c r="H112" s="40">
        <f t="shared" si="19"/>
        <v>1.1326238030095761</v>
      </c>
      <c r="I112" s="41">
        <v>1798</v>
      </c>
      <c r="J112" s="33">
        <f t="shared" si="20"/>
        <v>163.45454545454547</v>
      </c>
      <c r="K112" s="33">
        <f t="shared" si="21"/>
        <v>185.1</v>
      </c>
      <c r="L112" s="33">
        <f t="shared" si="22"/>
        <v>21.645454545454527</v>
      </c>
      <c r="M112" s="33">
        <v>1</v>
      </c>
      <c r="N112" s="33">
        <f t="shared" si="23"/>
        <v>186.1</v>
      </c>
      <c r="O112" s="67"/>
      <c r="P112" s="67"/>
      <c r="Q112" s="68"/>
      <c r="R112" s="68"/>
      <c r="S112" s="33">
        <f t="shared" si="24"/>
        <v>186.1</v>
      </c>
      <c r="T112" s="33"/>
      <c r="U112" s="33">
        <f t="shared" si="25"/>
        <v>186.1</v>
      </c>
      <c r="V112" s="1"/>
      <c r="W112" s="60"/>
      <c r="X112" s="1"/>
      <c r="Y112" s="1"/>
      <c r="Z112" s="60"/>
      <c r="AA112" s="60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9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9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9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9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9"/>
      <c r="FG112" s="8"/>
      <c r="FH112" s="8"/>
    </row>
    <row r="113" spans="1:164" s="2" customFormat="1" ht="17.100000000000001" customHeight="1">
      <c r="A113" s="42" t="s">
        <v>97</v>
      </c>
      <c r="B113" s="56">
        <v>243</v>
      </c>
      <c r="C113" s="56">
        <v>45.6</v>
      </c>
      <c r="D113" s="4">
        <f t="shared" si="18"/>
        <v>0.18765432098765433</v>
      </c>
      <c r="E113" s="10">
        <v>15</v>
      </c>
      <c r="F113" s="5">
        <v>1</v>
      </c>
      <c r="G113" s="5">
        <v>10</v>
      </c>
      <c r="H113" s="40">
        <f t="shared" si="19"/>
        <v>0.5125925925925926</v>
      </c>
      <c r="I113" s="41">
        <v>905</v>
      </c>
      <c r="J113" s="33">
        <f t="shared" si="20"/>
        <v>82.272727272727266</v>
      </c>
      <c r="K113" s="33">
        <f t="shared" si="21"/>
        <v>42.2</v>
      </c>
      <c r="L113" s="33">
        <f t="shared" si="22"/>
        <v>-40.072727272727263</v>
      </c>
      <c r="M113" s="33">
        <v>3.6</v>
      </c>
      <c r="N113" s="33">
        <f t="shared" si="23"/>
        <v>45.8</v>
      </c>
      <c r="O113" s="67"/>
      <c r="P113" s="67"/>
      <c r="Q113" s="68"/>
      <c r="R113" s="68"/>
      <c r="S113" s="33">
        <f t="shared" si="24"/>
        <v>45.8</v>
      </c>
      <c r="T113" s="33"/>
      <c r="U113" s="33">
        <f t="shared" si="25"/>
        <v>45.8</v>
      </c>
      <c r="V113" s="1"/>
      <c r="W113" s="60"/>
      <c r="X113" s="1"/>
      <c r="Y113" s="1"/>
      <c r="Z113" s="60"/>
      <c r="AA113" s="60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9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9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9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9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9"/>
      <c r="FG113" s="8"/>
      <c r="FH113" s="8"/>
    </row>
    <row r="114" spans="1:164" s="2" customFormat="1" ht="17.100000000000001" customHeight="1">
      <c r="A114" s="13" t="s">
        <v>98</v>
      </c>
      <c r="B114" s="56">
        <v>109.5</v>
      </c>
      <c r="C114" s="56">
        <v>97</v>
      </c>
      <c r="D114" s="4">
        <f t="shared" si="18"/>
        <v>0.88584474885844744</v>
      </c>
      <c r="E114" s="10">
        <v>15</v>
      </c>
      <c r="F114" s="5">
        <v>1</v>
      </c>
      <c r="G114" s="5">
        <v>10</v>
      </c>
      <c r="H114" s="40">
        <f t="shared" si="19"/>
        <v>0.93150684931506844</v>
      </c>
      <c r="I114" s="41">
        <v>1162</v>
      </c>
      <c r="J114" s="33">
        <f t="shared" si="20"/>
        <v>105.63636363636364</v>
      </c>
      <c r="K114" s="33">
        <f t="shared" si="21"/>
        <v>98.4</v>
      </c>
      <c r="L114" s="33">
        <f t="shared" si="22"/>
        <v>-7.2363636363636346</v>
      </c>
      <c r="M114" s="33">
        <v>9.5</v>
      </c>
      <c r="N114" s="33">
        <f t="shared" si="23"/>
        <v>107.9</v>
      </c>
      <c r="O114" s="67"/>
      <c r="P114" s="67"/>
      <c r="Q114" s="68"/>
      <c r="R114" s="68"/>
      <c r="S114" s="33">
        <f t="shared" si="24"/>
        <v>107.9</v>
      </c>
      <c r="T114" s="33"/>
      <c r="U114" s="33">
        <f t="shared" si="25"/>
        <v>107.9</v>
      </c>
      <c r="V114" s="1"/>
      <c r="W114" s="60"/>
      <c r="X114" s="1"/>
      <c r="Y114" s="1"/>
      <c r="Z114" s="60"/>
      <c r="AA114" s="60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9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9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9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9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9"/>
      <c r="FG114" s="8"/>
      <c r="FH114" s="8"/>
    </row>
    <row r="115" spans="1:164" s="2" customFormat="1" ht="17.100000000000001" customHeight="1">
      <c r="A115" s="13" t="s">
        <v>99</v>
      </c>
      <c r="B115" s="56">
        <v>101.5</v>
      </c>
      <c r="C115" s="56">
        <v>90.4</v>
      </c>
      <c r="D115" s="4">
        <f t="shared" si="18"/>
        <v>0.89064039408867002</v>
      </c>
      <c r="E115" s="10">
        <v>15</v>
      </c>
      <c r="F115" s="5">
        <v>1</v>
      </c>
      <c r="G115" s="5">
        <v>10</v>
      </c>
      <c r="H115" s="40">
        <f t="shared" si="19"/>
        <v>0.93438423645320201</v>
      </c>
      <c r="I115" s="41">
        <v>881</v>
      </c>
      <c r="J115" s="33">
        <f t="shared" si="20"/>
        <v>80.090909090909093</v>
      </c>
      <c r="K115" s="33">
        <f t="shared" si="21"/>
        <v>74.8</v>
      </c>
      <c r="L115" s="33">
        <f t="shared" si="22"/>
        <v>-5.2909090909090963</v>
      </c>
      <c r="M115" s="33">
        <v>-0.6</v>
      </c>
      <c r="N115" s="33">
        <f t="shared" si="23"/>
        <v>74.2</v>
      </c>
      <c r="O115" s="67"/>
      <c r="P115" s="67"/>
      <c r="Q115" s="68"/>
      <c r="R115" s="68"/>
      <c r="S115" s="33">
        <f t="shared" si="24"/>
        <v>74.2</v>
      </c>
      <c r="T115" s="33"/>
      <c r="U115" s="33">
        <f t="shared" si="25"/>
        <v>74.2</v>
      </c>
      <c r="V115" s="1"/>
      <c r="W115" s="60"/>
      <c r="X115" s="1"/>
      <c r="Y115" s="1"/>
      <c r="Z115" s="60"/>
      <c r="AA115" s="60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9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9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9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9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9"/>
      <c r="FG115" s="8"/>
      <c r="FH115" s="8"/>
    </row>
    <row r="116" spans="1:164" s="2" customFormat="1" ht="17.100000000000001" customHeight="1">
      <c r="A116" s="17" t="s">
        <v>100</v>
      </c>
      <c r="B116" s="57"/>
      <c r="C116" s="5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33"/>
      <c r="V116" s="1"/>
      <c r="W116" s="60"/>
      <c r="X116" s="1"/>
      <c r="Y116" s="1"/>
      <c r="Z116" s="60"/>
      <c r="AA116" s="60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9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9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9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9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9"/>
      <c r="FG116" s="8"/>
      <c r="FH116" s="8"/>
    </row>
    <row r="117" spans="1:164" s="2" customFormat="1" ht="15.6" customHeight="1">
      <c r="A117" s="13" t="s">
        <v>101</v>
      </c>
      <c r="B117" s="56">
        <v>3717.2</v>
      </c>
      <c r="C117" s="56">
        <v>3804.5</v>
      </c>
      <c r="D117" s="4">
        <f t="shared" si="18"/>
        <v>1.0234854191326805</v>
      </c>
      <c r="E117" s="10">
        <v>15</v>
      </c>
      <c r="F117" s="5">
        <v>1</v>
      </c>
      <c r="G117" s="5">
        <v>10</v>
      </c>
      <c r="H117" s="40">
        <f t="shared" si="19"/>
        <v>1.0140912514796083</v>
      </c>
      <c r="I117" s="41">
        <v>2731</v>
      </c>
      <c r="J117" s="33">
        <f t="shared" si="20"/>
        <v>248.27272727272728</v>
      </c>
      <c r="K117" s="33">
        <f t="shared" si="21"/>
        <v>251.8</v>
      </c>
      <c r="L117" s="33">
        <f t="shared" si="22"/>
        <v>3.5272727272727309</v>
      </c>
      <c r="M117" s="33">
        <v>44.5</v>
      </c>
      <c r="N117" s="33">
        <f t="shared" si="23"/>
        <v>296.3</v>
      </c>
      <c r="O117" s="67"/>
      <c r="P117" s="67"/>
      <c r="Q117" s="68"/>
      <c r="R117" s="68"/>
      <c r="S117" s="33">
        <f t="shared" si="24"/>
        <v>296.3</v>
      </c>
      <c r="T117" s="33"/>
      <c r="U117" s="33">
        <f t="shared" si="25"/>
        <v>296.3</v>
      </c>
      <c r="V117" s="1"/>
      <c r="W117" s="60"/>
      <c r="X117" s="1"/>
      <c r="Y117" s="1"/>
      <c r="Z117" s="60"/>
      <c r="AA117" s="60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9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9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9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9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9"/>
      <c r="FG117" s="8"/>
      <c r="FH117" s="8"/>
    </row>
    <row r="118" spans="1:164" s="2" customFormat="1" ht="17.100000000000001" customHeight="1">
      <c r="A118" s="13" t="s">
        <v>102</v>
      </c>
      <c r="B118" s="56">
        <v>2020.3</v>
      </c>
      <c r="C118" s="56">
        <v>2299.4</v>
      </c>
      <c r="D118" s="4">
        <f t="shared" si="18"/>
        <v>1.1381477998317082</v>
      </c>
      <c r="E118" s="10">
        <v>15</v>
      </c>
      <c r="F118" s="5">
        <v>1</v>
      </c>
      <c r="G118" s="5">
        <v>10</v>
      </c>
      <c r="H118" s="40">
        <f t="shared" si="19"/>
        <v>1.0828886798990249</v>
      </c>
      <c r="I118" s="41">
        <v>2643</v>
      </c>
      <c r="J118" s="33">
        <f t="shared" si="20"/>
        <v>240.27272727272728</v>
      </c>
      <c r="K118" s="33">
        <f t="shared" si="21"/>
        <v>260.2</v>
      </c>
      <c r="L118" s="33">
        <f t="shared" si="22"/>
        <v>19.927272727272708</v>
      </c>
      <c r="M118" s="33">
        <v>36</v>
      </c>
      <c r="N118" s="33">
        <f t="shared" si="23"/>
        <v>296.2</v>
      </c>
      <c r="O118" s="67"/>
      <c r="P118" s="67"/>
      <c r="Q118" s="68"/>
      <c r="R118" s="68"/>
      <c r="S118" s="33">
        <f t="shared" si="24"/>
        <v>296.2</v>
      </c>
      <c r="T118" s="33">
        <f>MIN(S118,21.4)</f>
        <v>21.4</v>
      </c>
      <c r="U118" s="33">
        <f t="shared" si="25"/>
        <v>274.8</v>
      </c>
      <c r="V118" s="1"/>
      <c r="W118" s="60"/>
      <c r="X118" s="1"/>
      <c r="Y118" s="1"/>
      <c r="Z118" s="60"/>
      <c r="AA118" s="60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9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9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9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9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9"/>
      <c r="FG118" s="8"/>
      <c r="FH118" s="8"/>
    </row>
    <row r="119" spans="1:164" s="2" customFormat="1" ht="17.100000000000001" customHeight="1">
      <c r="A119" s="13" t="s">
        <v>103</v>
      </c>
      <c r="B119" s="56">
        <v>3440.1</v>
      </c>
      <c r="C119" s="56">
        <v>0</v>
      </c>
      <c r="D119" s="4">
        <f t="shared" si="18"/>
        <v>0</v>
      </c>
      <c r="E119" s="10">
        <v>15</v>
      </c>
      <c r="F119" s="5">
        <v>1</v>
      </c>
      <c r="G119" s="5">
        <v>10</v>
      </c>
      <c r="H119" s="40">
        <f t="shared" si="19"/>
        <v>0.4</v>
      </c>
      <c r="I119" s="41">
        <v>4087</v>
      </c>
      <c r="J119" s="33">
        <f t="shared" si="20"/>
        <v>371.54545454545456</v>
      </c>
      <c r="K119" s="33">
        <f t="shared" si="21"/>
        <v>148.6</v>
      </c>
      <c r="L119" s="33">
        <f t="shared" si="22"/>
        <v>-222.94545454545457</v>
      </c>
      <c r="M119" s="33">
        <v>100.7</v>
      </c>
      <c r="N119" s="33">
        <f t="shared" si="23"/>
        <v>249.3</v>
      </c>
      <c r="O119" s="67"/>
      <c r="P119" s="67"/>
      <c r="Q119" s="68"/>
      <c r="R119" s="68"/>
      <c r="S119" s="33">
        <f t="shared" si="24"/>
        <v>249.3</v>
      </c>
      <c r="T119" s="33"/>
      <c r="U119" s="33">
        <f t="shared" si="25"/>
        <v>249.3</v>
      </c>
      <c r="V119" s="1"/>
      <c r="W119" s="60"/>
      <c r="X119" s="1"/>
      <c r="Y119" s="1"/>
      <c r="Z119" s="60"/>
      <c r="AA119" s="60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9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9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9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9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9"/>
      <c r="FG119" s="8"/>
      <c r="FH119" s="8"/>
    </row>
    <row r="120" spans="1:164" s="2" customFormat="1" ht="17.100000000000001" customHeight="1">
      <c r="A120" s="13" t="s">
        <v>104</v>
      </c>
      <c r="B120" s="56">
        <v>3590.5</v>
      </c>
      <c r="C120" s="56">
        <v>3967.5</v>
      </c>
      <c r="D120" s="4">
        <f t="shared" si="18"/>
        <v>1.1049993037181451</v>
      </c>
      <c r="E120" s="10">
        <v>15</v>
      </c>
      <c r="F120" s="5">
        <v>1</v>
      </c>
      <c r="G120" s="5">
        <v>10</v>
      </c>
      <c r="H120" s="40">
        <f t="shared" si="19"/>
        <v>1.0629995822308871</v>
      </c>
      <c r="I120" s="41">
        <v>2735</v>
      </c>
      <c r="J120" s="33">
        <f t="shared" si="20"/>
        <v>248.63636363636363</v>
      </c>
      <c r="K120" s="33">
        <f t="shared" si="21"/>
        <v>264.3</v>
      </c>
      <c r="L120" s="33">
        <f t="shared" si="22"/>
        <v>15.663636363636385</v>
      </c>
      <c r="M120" s="33">
        <v>63.4</v>
      </c>
      <c r="N120" s="33">
        <f t="shared" si="23"/>
        <v>327.7</v>
      </c>
      <c r="O120" s="67"/>
      <c r="P120" s="67"/>
      <c r="Q120" s="68"/>
      <c r="R120" s="68"/>
      <c r="S120" s="33">
        <f t="shared" si="24"/>
        <v>327.7</v>
      </c>
      <c r="T120" s="33"/>
      <c r="U120" s="33">
        <f t="shared" si="25"/>
        <v>327.7</v>
      </c>
      <c r="V120" s="1"/>
      <c r="W120" s="60"/>
      <c r="X120" s="1"/>
      <c r="Y120" s="1"/>
      <c r="Z120" s="60"/>
      <c r="AA120" s="60"/>
      <c r="AB120" s="8"/>
      <c r="AC120" s="8"/>
      <c r="AD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9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9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9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9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9"/>
      <c r="FG120" s="8"/>
      <c r="FH120" s="8"/>
    </row>
    <row r="121" spans="1:164" s="2" customFormat="1" ht="17.100000000000001" customHeight="1">
      <c r="A121" s="13" t="s">
        <v>105</v>
      </c>
      <c r="B121" s="56">
        <v>3988.2</v>
      </c>
      <c r="C121" s="56">
        <v>7234.5</v>
      </c>
      <c r="D121" s="4">
        <f t="shared" si="18"/>
        <v>1.2613976229878141</v>
      </c>
      <c r="E121" s="10">
        <v>15</v>
      </c>
      <c r="F121" s="5">
        <v>1</v>
      </c>
      <c r="G121" s="5">
        <v>10</v>
      </c>
      <c r="H121" s="40">
        <f t="shared" si="19"/>
        <v>1.1568385737926885</v>
      </c>
      <c r="I121" s="41">
        <v>3172</v>
      </c>
      <c r="J121" s="33">
        <f t="shared" si="20"/>
        <v>288.36363636363637</v>
      </c>
      <c r="K121" s="33">
        <f t="shared" si="21"/>
        <v>333.6</v>
      </c>
      <c r="L121" s="33">
        <f t="shared" si="22"/>
        <v>45.236363636363649</v>
      </c>
      <c r="M121" s="33">
        <v>59.5</v>
      </c>
      <c r="N121" s="33">
        <f t="shared" si="23"/>
        <v>393.1</v>
      </c>
      <c r="O121" s="67"/>
      <c r="P121" s="67"/>
      <c r="Q121" s="68"/>
      <c r="R121" s="68"/>
      <c r="S121" s="33">
        <f t="shared" si="24"/>
        <v>393.1</v>
      </c>
      <c r="T121" s="33"/>
      <c r="U121" s="33">
        <f t="shared" si="25"/>
        <v>393.1</v>
      </c>
      <c r="V121" s="1"/>
      <c r="W121" s="60"/>
      <c r="X121" s="1"/>
      <c r="Y121" s="1"/>
      <c r="Z121" s="60"/>
      <c r="AA121" s="60"/>
      <c r="AB121" s="8"/>
      <c r="AC121" s="8"/>
      <c r="AD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9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9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9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9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9"/>
      <c r="FG121" s="8"/>
      <c r="FH121" s="8"/>
    </row>
    <row r="122" spans="1:164" s="2" customFormat="1" ht="17.100000000000001" customHeight="1">
      <c r="A122" s="13" t="s">
        <v>106</v>
      </c>
      <c r="B122" s="56">
        <v>1781.8</v>
      </c>
      <c r="C122" s="56">
        <v>1795.2</v>
      </c>
      <c r="D122" s="4">
        <f t="shared" si="18"/>
        <v>1.0075204849029071</v>
      </c>
      <c r="E122" s="10">
        <v>15</v>
      </c>
      <c r="F122" s="5">
        <v>1</v>
      </c>
      <c r="G122" s="5">
        <v>10</v>
      </c>
      <c r="H122" s="40">
        <f t="shared" si="19"/>
        <v>1.0045122909417443</v>
      </c>
      <c r="I122" s="41">
        <v>4202</v>
      </c>
      <c r="J122" s="33">
        <f t="shared" si="20"/>
        <v>382</v>
      </c>
      <c r="K122" s="33">
        <f t="shared" si="21"/>
        <v>383.7</v>
      </c>
      <c r="L122" s="33">
        <f t="shared" si="22"/>
        <v>1.6999999999999886</v>
      </c>
      <c r="M122" s="33">
        <v>78.400000000000006</v>
      </c>
      <c r="N122" s="33">
        <f t="shared" si="23"/>
        <v>462.1</v>
      </c>
      <c r="O122" s="67"/>
      <c r="P122" s="67"/>
      <c r="Q122" s="68"/>
      <c r="R122" s="68"/>
      <c r="S122" s="33">
        <f t="shared" si="24"/>
        <v>462.1</v>
      </c>
      <c r="T122" s="33"/>
      <c r="U122" s="33">
        <f t="shared" si="25"/>
        <v>462.1</v>
      </c>
      <c r="V122" s="1"/>
      <c r="W122" s="60"/>
      <c r="X122" s="1"/>
      <c r="Y122" s="1"/>
      <c r="Z122" s="60"/>
      <c r="AA122" s="60"/>
      <c r="AB122" s="8"/>
      <c r="AC122" s="8"/>
      <c r="AD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9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9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9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9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9"/>
      <c r="FG122" s="8"/>
      <c r="FH122" s="8"/>
    </row>
    <row r="123" spans="1:164" s="2" customFormat="1" ht="17.100000000000001" customHeight="1">
      <c r="A123" s="13" t="s">
        <v>107</v>
      </c>
      <c r="B123" s="56">
        <v>520</v>
      </c>
      <c r="C123" s="56">
        <v>263</v>
      </c>
      <c r="D123" s="4">
        <f t="shared" ref="D123:D186" si="26">IF(E123=0,0,IF(B123=0,1,IF(C123&lt;0,0,IF(C123/B123&gt;1.2,IF((C123/B123-1.2)*0.1+1.2&gt;1.3,1.3,(C123/B123-1.2)*0.1+1.2),C123/B123))))</f>
        <v>0.50576923076923075</v>
      </c>
      <c r="E123" s="10">
        <v>15</v>
      </c>
      <c r="F123" s="5">
        <v>1</v>
      </c>
      <c r="G123" s="5">
        <v>10</v>
      </c>
      <c r="H123" s="40">
        <f t="shared" ref="H123:H186" si="27">(D123*E123+F123*G123)/(E123+G123)</f>
        <v>0.70346153846153836</v>
      </c>
      <c r="I123" s="41">
        <v>4073</v>
      </c>
      <c r="J123" s="33">
        <f t="shared" ref="J123:J186" si="28">I123/11</f>
        <v>370.27272727272725</v>
      </c>
      <c r="K123" s="33">
        <f t="shared" ref="K123:K186" si="29">ROUND(H123*J123,1)</f>
        <v>260.5</v>
      </c>
      <c r="L123" s="33">
        <f t="shared" ref="L123:L186" si="30">K123-J123</f>
        <v>-109.77272727272725</v>
      </c>
      <c r="M123" s="33">
        <v>54</v>
      </c>
      <c r="N123" s="33">
        <f t="shared" ref="N123:N186" si="31">IF((K123+M123)&gt;0,ROUND(K123+M123,1),0)</f>
        <v>314.5</v>
      </c>
      <c r="O123" s="67"/>
      <c r="P123" s="67"/>
      <c r="Q123" s="68"/>
      <c r="R123" s="68"/>
      <c r="S123" s="33">
        <f t="shared" ref="S123:S186" si="32">IF(OR(O123="+",P123="+",Q123="+",R123="+"),0,N123)</f>
        <v>314.5</v>
      </c>
      <c r="T123" s="33"/>
      <c r="U123" s="33">
        <f t="shared" ref="U123:U186" si="33">ROUND(S123-T123,1)</f>
        <v>314.5</v>
      </c>
      <c r="V123" s="1"/>
      <c r="W123" s="60"/>
      <c r="X123" s="1"/>
      <c r="Y123" s="1"/>
      <c r="Z123" s="60"/>
      <c r="AA123" s="60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9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9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9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9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9"/>
      <c r="FG123" s="8"/>
      <c r="FH123" s="8"/>
    </row>
    <row r="124" spans="1:164" s="2" customFormat="1" ht="17.100000000000001" customHeight="1">
      <c r="A124" s="13" t="s">
        <v>108</v>
      </c>
      <c r="B124" s="56">
        <v>1361.1</v>
      </c>
      <c r="C124" s="56">
        <v>1149</v>
      </c>
      <c r="D124" s="4">
        <f t="shared" si="26"/>
        <v>0.84417015649107341</v>
      </c>
      <c r="E124" s="10">
        <v>15</v>
      </c>
      <c r="F124" s="5">
        <v>1</v>
      </c>
      <c r="G124" s="5">
        <v>10</v>
      </c>
      <c r="H124" s="40">
        <f t="shared" si="27"/>
        <v>0.90650209389464409</v>
      </c>
      <c r="I124" s="41">
        <v>2703</v>
      </c>
      <c r="J124" s="33">
        <f t="shared" si="28"/>
        <v>245.72727272727272</v>
      </c>
      <c r="K124" s="33">
        <f t="shared" si="29"/>
        <v>222.8</v>
      </c>
      <c r="L124" s="33">
        <f t="shared" si="30"/>
        <v>-22.927272727272708</v>
      </c>
      <c r="M124" s="33">
        <v>62.8</v>
      </c>
      <c r="N124" s="33">
        <f t="shared" si="31"/>
        <v>285.60000000000002</v>
      </c>
      <c r="O124" s="67"/>
      <c r="P124" s="67"/>
      <c r="Q124" s="68"/>
      <c r="R124" s="68"/>
      <c r="S124" s="33">
        <f t="shared" si="32"/>
        <v>285.60000000000002</v>
      </c>
      <c r="T124" s="33"/>
      <c r="U124" s="33">
        <f t="shared" si="33"/>
        <v>285.60000000000002</v>
      </c>
      <c r="V124" s="1"/>
      <c r="W124" s="60"/>
      <c r="X124" s="1"/>
      <c r="Y124" s="1"/>
      <c r="Z124" s="60"/>
      <c r="AA124" s="60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9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9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9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9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9"/>
      <c r="FG124" s="8"/>
      <c r="FH124" s="8"/>
    </row>
    <row r="125" spans="1:164" s="2" customFormat="1" ht="17.100000000000001" customHeight="1">
      <c r="A125" s="13" t="s">
        <v>109</v>
      </c>
      <c r="B125" s="56">
        <v>1511.8</v>
      </c>
      <c r="C125" s="56">
        <v>880.8</v>
      </c>
      <c r="D125" s="4">
        <f t="shared" si="26"/>
        <v>0.58261674824712262</v>
      </c>
      <c r="E125" s="10">
        <v>15</v>
      </c>
      <c r="F125" s="5">
        <v>1</v>
      </c>
      <c r="G125" s="5">
        <v>10</v>
      </c>
      <c r="H125" s="40">
        <f t="shared" si="27"/>
        <v>0.7495700489482735</v>
      </c>
      <c r="I125" s="41">
        <v>6846</v>
      </c>
      <c r="J125" s="33">
        <f t="shared" si="28"/>
        <v>622.36363636363637</v>
      </c>
      <c r="K125" s="33">
        <f t="shared" si="29"/>
        <v>466.5</v>
      </c>
      <c r="L125" s="33">
        <f t="shared" si="30"/>
        <v>-155.86363636363637</v>
      </c>
      <c r="M125" s="33">
        <v>145.69999999999999</v>
      </c>
      <c r="N125" s="33">
        <f t="shared" si="31"/>
        <v>612.20000000000005</v>
      </c>
      <c r="O125" s="67"/>
      <c r="P125" s="67"/>
      <c r="Q125" s="68"/>
      <c r="R125" s="68"/>
      <c r="S125" s="33">
        <f t="shared" si="32"/>
        <v>612.20000000000005</v>
      </c>
      <c r="T125" s="33"/>
      <c r="U125" s="33">
        <f t="shared" si="33"/>
        <v>612.20000000000005</v>
      </c>
      <c r="V125" s="1"/>
      <c r="W125" s="60"/>
      <c r="X125" s="1"/>
      <c r="Y125" s="1"/>
      <c r="Z125" s="60"/>
      <c r="AA125" s="60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9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9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9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9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9"/>
      <c r="FG125" s="8"/>
      <c r="FH125" s="8"/>
    </row>
    <row r="126" spans="1:164" s="2" customFormat="1" ht="17.100000000000001" customHeight="1">
      <c r="A126" s="13" t="s">
        <v>110</v>
      </c>
      <c r="B126" s="56">
        <v>2958.8</v>
      </c>
      <c r="C126" s="56">
        <v>2583.5</v>
      </c>
      <c r="D126" s="4">
        <f t="shared" si="26"/>
        <v>0.87315803704204398</v>
      </c>
      <c r="E126" s="10">
        <v>15</v>
      </c>
      <c r="F126" s="5">
        <v>1</v>
      </c>
      <c r="G126" s="5">
        <v>10</v>
      </c>
      <c r="H126" s="40">
        <f t="shared" si="27"/>
        <v>0.92389482222522645</v>
      </c>
      <c r="I126" s="41">
        <v>0</v>
      </c>
      <c r="J126" s="33">
        <f t="shared" si="28"/>
        <v>0</v>
      </c>
      <c r="K126" s="33">
        <f t="shared" si="29"/>
        <v>0</v>
      </c>
      <c r="L126" s="33">
        <f t="shared" si="30"/>
        <v>0</v>
      </c>
      <c r="M126" s="33">
        <v>0</v>
      </c>
      <c r="N126" s="33">
        <f t="shared" si="31"/>
        <v>0</v>
      </c>
      <c r="O126" s="67"/>
      <c r="P126" s="67"/>
      <c r="Q126" s="68"/>
      <c r="R126" s="68"/>
      <c r="S126" s="33">
        <f t="shared" si="32"/>
        <v>0</v>
      </c>
      <c r="T126" s="33"/>
      <c r="U126" s="33">
        <f t="shared" si="33"/>
        <v>0</v>
      </c>
      <c r="V126" s="1"/>
      <c r="W126" s="60"/>
      <c r="X126" s="1"/>
      <c r="Y126" s="1"/>
      <c r="Z126" s="60"/>
      <c r="AA126" s="60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9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9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9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9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9"/>
      <c r="FG126" s="8"/>
      <c r="FH126" s="8"/>
    </row>
    <row r="127" spans="1:164" s="2" customFormat="1" ht="16.5" customHeight="1">
      <c r="A127" s="13" t="s">
        <v>111</v>
      </c>
      <c r="B127" s="56">
        <v>22564.3</v>
      </c>
      <c r="C127" s="56">
        <v>15609.2</v>
      </c>
      <c r="D127" s="4">
        <f t="shared" si="26"/>
        <v>0.69176531068989511</v>
      </c>
      <c r="E127" s="10">
        <v>15</v>
      </c>
      <c r="F127" s="5">
        <v>1</v>
      </c>
      <c r="G127" s="5">
        <v>10</v>
      </c>
      <c r="H127" s="40">
        <f t="shared" si="27"/>
        <v>0.81505918641393704</v>
      </c>
      <c r="I127" s="41">
        <v>5588</v>
      </c>
      <c r="J127" s="33">
        <f t="shared" si="28"/>
        <v>508</v>
      </c>
      <c r="K127" s="33">
        <f t="shared" si="29"/>
        <v>414.1</v>
      </c>
      <c r="L127" s="33">
        <f t="shared" si="30"/>
        <v>-93.899999999999977</v>
      </c>
      <c r="M127" s="33">
        <v>73.8</v>
      </c>
      <c r="N127" s="33">
        <f t="shared" si="31"/>
        <v>487.9</v>
      </c>
      <c r="O127" s="67"/>
      <c r="P127" s="67"/>
      <c r="Q127" s="68"/>
      <c r="R127" s="68"/>
      <c r="S127" s="33">
        <f t="shared" si="32"/>
        <v>487.9</v>
      </c>
      <c r="T127" s="33"/>
      <c r="U127" s="33">
        <f t="shared" si="33"/>
        <v>487.9</v>
      </c>
      <c r="V127" s="1"/>
      <c r="W127" s="60"/>
      <c r="X127" s="1"/>
      <c r="Y127" s="1"/>
      <c r="Z127" s="60"/>
      <c r="AA127" s="60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9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9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9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9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9"/>
      <c r="FG127" s="8"/>
      <c r="FH127" s="8"/>
    </row>
    <row r="128" spans="1:164" s="2" customFormat="1" ht="16.5" customHeight="1">
      <c r="A128" s="13" t="s">
        <v>112</v>
      </c>
      <c r="B128" s="56">
        <v>1180.7</v>
      </c>
      <c r="C128" s="56">
        <v>727.3</v>
      </c>
      <c r="D128" s="4">
        <f t="shared" si="26"/>
        <v>0.61599051410180394</v>
      </c>
      <c r="E128" s="10">
        <v>15</v>
      </c>
      <c r="F128" s="5">
        <v>1</v>
      </c>
      <c r="G128" s="5">
        <v>10</v>
      </c>
      <c r="H128" s="40">
        <f t="shared" si="27"/>
        <v>0.76959430846108234</v>
      </c>
      <c r="I128" s="41">
        <v>2066</v>
      </c>
      <c r="J128" s="33">
        <f t="shared" si="28"/>
        <v>187.81818181818181</v>
      </c>
      <c r="K128" s="33">
        <f t="shared" si="29"/>
        <v>144.5</v>
      </c>
      <c r="L128" s="33">
        <f t="shared" si="30"/>
        <v>-43.318181818181813</v>
      </c>
      <c r="M128" s="33">
        <v>53.7</v>
      </c>
      <c r="N128" s="33">
        <f t="shared" si="31"/>
        <v>198.2</v>
      </c>
      <c r="O128" s="67"/>
      <c r="P128" s="67"/>
      <c r="Q128" s="68"/>
      <c r="R128" s="68"/>
      <c r="S128" s="33">
        <f t="shared" si="32"/>
        <v>198.2</v>
      </c>
      <c r="T128" s="33"/>
      <c r="U128" s="33">
        <f t="shared" si="33"/>
        <v>198.2</v>
      </c>
      <c r="V128" s="1"/>
      <c r="W128" s="60"/>
      <c r="X128" s="1"/>
      <c r="Y128" s="1"/>
      <c r="Z128" s="60"/>
      <c r="AA128" s="60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9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9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9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9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9"/>
      <c r="FG128" s="8"/>
      <c r="FH128" s="8"/>
    </row>
    <row r="129" spans="1:164" s="2" customFormat="1" ht="17.100000000000001" customHeight="1">
      <c r="A129" s="13" t="s">
        <v>113</v>
      </c>
      <c r="B129" s="56">
        <v>215.9</v>
      </c>
      <c r="C129" s="56">
        <v>87.5</v>
      </c>
      <c r="D129" s="4">
        <f t="shared" si="26"/>
        <v>0.40528022232515054</v>
      </c>
      <c r="E129" s="10">
        <v>15</v>
      </c>
      <c r="F129" s="5">
        <v>1</v>
      </c>
      <c r="G129" s="5">
        <v>10</v>
      </c>
      <c r="H129" s="40">
        <f t="shared" si="27"/>
        <v>0.64316813339509027</v>
      </c>
      <c r="I129" s="41">
        <v>4217</v>
      </c>
      <c r="J129" s="33">
        <f t="shared" si="28"/>
        <v>383.36363636363637</v>
      </c>
      <c r="K129" s="33">
        <f t="shared" si="29"/>
        <v>246.6</v>
      </c>
      <c r="L129" s="33">
        <f t="shared" si="30"/>
        <v>-136.76363636363638</v>
      </c>
      <c r="M129" s="33">
        <v>98.1</v>
      </c>
      <c r="N129" s="33">
        <f t="shared" si="31"/>
        <v>344.7</v>
      </c>
      <c r="O129" s="67"/>
      <c r="P129" s="67"/>
      <c r="Q129" s="68"/>
      <c r="R129" s="68"/>
      <c r="S129" s="33">
        <f t="shared" si="32"/>
        <v>344.7</v>
      </c>
      <c r="T129" s="33"/>
      <c r="U129" s="33">
        <f t="shared" si="33"/>
        <v>344.7</v>
      </c>
      <c r="V129" s="1"/>
      <c r="W129" s="60"/>
      <c r="X129" s="1"/>
      <c r="Y129" s="1"/>
      <c r="Z129" s="60"/>
      <c r="AA129" s="60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9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9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9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9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9"/>
      <c r="FG129" s="8"/>
      <c r="FH129" s="8"/>
    </row>
    <row r="130" spans="1:164" s="2" customFormat="1" ht="17.100000000000001" customHeight="1">
      <c r="A130" s="13" t="s">
        <v>114</v>
      </c>
      <c r="B130" s="56">
        <v>606.29999999999995</v>
      </c>
      <c r="C130" s="56">
        <v>262.60000000000002</v>
      </c>
      <c r="D130" s="4">
        <f t="shared" si="26"/>
        <v>0.43311891802737923</v>
      </c>
      <c r="E130" s="10">
        <v>15</v>
      </c>
      <c r="F130" s="5">
        <v>1</v>
      </c>
      <c r="G130" s="5">
        <v>10</v>
      </c>
      <c r="H130" s="40">
        <f t="shared" si="27"/>
        <v>0.65987135081642745</v>
      </c>
      <c r="I130" s="41">
        <v>2620</v>
      </c>
      <c r="J130" s="33">
        <f t="shared" si="28"/>
        <v>238.18181818181819</v>
      </c>
      <c r="K130" s="33">
        <f t="shared" si="29"/>
        <v>157.19999999999999</v>
      </c>
      <c r="L130" s="33">
        <f t="shared" si="30"/>
        <v>-80.981818181818198</v>
      </c>
      <c r="M130" s="33">
        <v>53.3</v>
      </c>
      <c r="N130" s="33">
        <f t="shared" si="31"/>
        <v>210.5</v>
      </c>
      <c r="O130" s="67"/>
      <c r="P130" s="67"/>
      <c r="Q130" s="68"/>
      <c r="R130" s="68"/>
      <c r="S130" s="33">
        <f t="shared" si="32"/>
        <v>210.5</v>
      </c>
      <c r="T130" s="33"/>
      <c r="U130" s="33">
        <f t="shared" si="33"/>
        <v>210.5</v>
      </c>
      <c r="V130" s="1"/>
      <c r="W130" s="60"/>
      <c r="X130" s="1"/>
      <c r="Y130" s="1"/>
      <c r="Z130" s="60"/>
      <c r="AA130" s="60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9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9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9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9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9"/>
      <c r="FG130" s="8"/>
      <c r="FH130" s="8"/>
    </row>
    <row r="131" spans="1:164" s="2" customFormat="1" ht="17.100000000000001" customHeight="1">
      <c r="A131" s="13" t="s">
        <v>115</v>
      </c>
      <c r="B131" s="56">
        <v>1291.8</v>
      </c>
      <c r="C131" s="56">
        <v>4194.3999999999996</v>
      </c>
      <c r="D131" s="4">
        <f t="shared" si="26"/>
        <v>1.3</v>
      </c>
      <c r="E131" s="10">
        <v>15</v>
      </c>
      <c r="F131" s="5">
        <v>1</v>
      </c>
      <c r="G131" s="5">
        <v>10</v>
      </c>
      <c r="H131" s="40">
        <f t="shared" si="27"/>
        <v>1.18</v>
      </c>
      <c r="I131" s="41">
        <v>3344</v>
      </c>
      <c r="J131" s="33">
        <f t="shared" si="28"/>
        <v>304</v>
      </c>
      <c r="K131" s="33">
        <f t="shared" si="29"/>
        <v>358.7</v>
      </c>
      <c r="L131" s="33">
        <f t="shared" si="30"/>
        <v>54.699999999999989</v>
      </c>
      <c r="M131" s="33">
        <v>41.9</v>
      </c>
      <c r="N131" s="33">
        <f t="shared" si="31"/>
        <v>400.6</v>
      </c>
      <c r="O131" s="67"/>
      <c r="P131" s="67"/>
      <c r="Q131" s="68"/>
      <c r="R131" s="68"/>
      <c r="S131" s="33">
        <f t="shared" si="32"/>
        <v>400.6</v>
      </c>
      <c r="T131" s="33">
        <f>MIN(S131,64.8)</f>
        <v>64.8</v>
      </c>
      <c r="U131" s="33">
        <f t="shared" si="33"/>
        <v>335.8</v>
      </c>
      <c r="V131" s="1"/>
      <c r="W131" s="60"/>
      <c r="X131" s="1"/>
      <c r="Y131" s="1"/>
      <c r="Z131" s="60"/>
      <c r="AA131" s="60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9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9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9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9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9"/>
      <c r="FG131" s="8"/>
      <c r="FH131" s="8"/>
    </row>
    <row r="132" spans="1:164" s="2" customFormat="1" ht="17.100000000000001" customHeight="1">
      <c r="A132" s="17" t="s">
        <v>116</v>
      </c>
      <c r="B132" s="57"/>
      <c r="C132" s="5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33"/>
      <c r="V132" s="1"/>
      <c r="W132" s="60"/>
      <c r="X132" s="1"/>
      <c r="Y132" s="1"/>
      <c r="Z132" s="60"/>
      <c r="AA132" s="60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9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9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9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9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9"/>
      <c r="FG132" s="8"/>
      <c r="FH132" s="8"/>
    </row>
    <row r="133" spans="1:164" s="2" customFormat="1" ht="17.100000000000001" customHeight="1">
      <c r="A133" s="13" t="s">
        <v>117</v>
      </c>
      <c r="B133" s="56">
        <v>187.4</v>
      </c>
      <c r="C133" s="56">
        <v>45.8</v>
      </c>
      <c r="D133" s="4">
        <f t="shared" si="26"/>
        <v>0.24439701173959444</v>
      </c>
      <c r="E133" s="10">
        <v>15</v>
      </c>
      <c r="F133" s="5">
        <v>1</v>
      </c>
      <c r="G133" s="5">
        <v>10</v>
      </c>
      <c r="H133" s="40">
        <f t="shared" si="27"/>
        <v>0.54663820704375665</v>
      </c>
      <c r="I133" s="41">
        <v>1404</v>
      </c>
      <c r="J133" s="33">
        <f t="shared" si="28"/>
        <v>127.63636363636364</v>
      </c>
      <c r="K133" s="33">
        <f t="shared" si="29"/>
        <v>69.8</v>
      </c>
      <c r="L133" s="33">
        <f t="shared" si="30"/>
        <v>-57.836363636363643</v>
      </c>
      <c r="M133" s="33">
        <v>23.8</v>
      </c>
      <c r="N133" s="33">
        <f t="shared" si="31"/>
        <v>93.6</v>
      </c>
      <c r="O133" s="67"/>
      <c r="P133" s="67"/>
      <c r="Q133" s="68"/>
      <c r="R133" s="68"/>
      <c r="S133" s="33">
        <f t="shared" si="32"/>
        <v>93.6</v>
      </c>
      <c r="T133" s="33"/>
      <c r="U133" s="33">
        <f t="shared" si="33"/>
        <v>93.6</v>
      </c>
      <c r="V133" s="1"/>
      <c r="W133" s="60"/>
      <c r="X133" s="1"/>
      <c r="Y133" s="1"/>
      <c r="Z133" s="60"/>
      <c r="AA133" s="60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9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9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9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9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9"/>
      <c r="FG133" s="8"/>
      <c r="FH133" s="8"/>
    </row>
    <row r="134" spans="1:164" s="2" customFormat="1" ht="17.100000000000001" customHeight="1">
      <c r="A134" s="13" t="s">
        <v>118</v>
      </c>
      <c r="B134" s="56">
        <v>798.6</v>
      </c>
      <c r="C134" s="56">
        <v>673.2</v>
      </c>
      <c r="D134" s="4">
        <f t="shared" si="26"/>
        <v>0.84297520661157033</v>
      </c>
      <c r="E134" s="10">
        <v>15</v>
      </c>
      <c r="F134" s="5">
        <v>1</v>
      </c>
      <c r="G134" s="5">
        <v>10</v>
      </c>
      <c r="H134" s="40">
        <f t="shared" si="27"/>
        <v>0.90578512396694222</v>
      </c>
      <c r="I134" s="41">
        <v>572</v>
      </c>
      <c r="J134" s="33">
        <f t="shared" si="28"/>
        <v>52</v>
      </c>
      <c r="K134" s="33">
        <f t="shared" si="29"/>
        <v>47.1</v>
      </c>
      <c r="L134" s="33">
        <f t="shared" si="30"/>
        <v>-4.8999999999999986</v>
      </c>
      <c r="M134" s="33">
        <v>11.3</v>
      </c>
      <c r="N134" s="33">
        <f t="shared" si="31"/>
        <v>58.4</v>
      </c>
      <c r="O134" s="67"/>
      <c r="P134" s="67"/>
      <c r="Q134" s="68"/>
      <c r="R134" s="68"/>
      <c r="S134" s="33">
        <f t="shared" si="32"/>
        <v>58.4</v>
      </c>
      <c r="T134" s="33"/>
      <c r="U134" s="33">
        <f t="shared" si="33"/>
        <v>58.4</v>
      </c>
      <c r="V134" s="1"/>
      <c r="W134" s="60"/>
      <c r="X134" s="1"/>
      <c r="Y134" s="1"/>
      <c r="Z134" s="60"/>
      <c r="AA134" s="60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9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9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9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9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9"/>
      <c r="FG134" s="8"/>
      <c r="FH134" s="8"/>
    </row>
    <row r="135" spans="1:164" s="2" customFormat="1" ht="17.100000000000001" customHeight="1">
      <c r="A135" s="13" t="s">
        <v>119</v>
      </c>
      <c r="B135" s="56">
        <v>47.2</v>
      </c>
      <c r="C135" s="56">
        <v>372.1</v>
      </c>
      <c r="D135" s="4">
        <f t="shared" si="26"/>
        <v>1.3</v>
      </c>
      <c r="E135" s="10">
        <v>15</v>
      </c>
      <c r="F135" s="5">
        <v>1</v>
      </c>
      <c r="G135" s="5">
        <v>10</v>
      </c>
      <c r="H135" s="40">
        <f t="shared" si="27"/>
        <v>1.18</v>
      </c>
      <c r="I135" s="41">
        <v>1147</v>
      </c>
      <c r="J135" s="33">
        <f t="shared" si="28"/>
        <v>104.27272727272727</v>
      </c>
      <c r="K135" s="33">
        <f t="shared" si="29"/>
        <v>123</v>
      </c>
      <c r="L135" s="33">
        <f t="shared" si="30"/>
        <v>18.727272727272734</v>
      </c>
      <c r="M135" s="33">
        <v>26.3</v>
      </c>
      <c r="N135" s="33">
        <f t="shared" si="31"/>
        <v>149.30000000000001</v>
      </c>
      <c r="O135" s="67"/>
      <c r="P135" s="67"/>
      <c r="Q135" s="68"/>
      <c r="R135" s="68"/>
      <c r="S135" s="33">
        <f t="shared" si="32"/>
        <v>149.30000000000001</v>
      </c>
      <c r="T135" s="33"/>
      <c r="U135" s="33">
        <f t="shared" si="33"/>
        <v>149.30000000000001</v>
      </c>
      <c r="V135" s="1"/>
      <c r="W135" s="60"/>
      <c r="X135" s="1"/>
      <c r="Y135" s="1"/>
      <c r="Z135" s="60"/>
      <c r="AA135" s="60"/>
      <c r="AB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9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9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9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9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9"/>
      <c r="FG135" s="8"/>
      <c r="FH135" s="8"/>
    </row>
    <row r="136" spans="1:164" s="2" customFormat="1" ht="16.5" customHeight="1">
      <c r="A136" s="13" t="s">
        <v>120</v>
      </c>
      <c r="B136" s="56">
        <v>68.599999999999994</v>
      </c>
      <c r="C136" s="56">
        <v>119.4</v>
      </c>
      <c r="D136" s="4">
        <f t="shared" si="26"/>
        <v>1.2540524781341107</v>
      </c>
      <c r="E136" s="10">
        <v>15</v>
      </c>
      <c r="F136" s="5">
        <v>1</v>
      </c>
      <c r="G136" s="5">
        <v>10</v>
      </c>
      <c r="H136" s="40">
        <f t="shared" si="27"/>
        <v>1.1524314868804664</v>
      </c>
      <c r="I136" s="41">
        <v>1588</v>
      </c>
      <c r="J136" s="33">
        <f t="shared" si="28"/>
        <v>144.36363636363637</v>
      </c>
      <c r="K136" s="33">
        <f t="shared" si="29"/>
        <v>166.4</v>
      </c>
      <c r="L136" s="33">
        <f t="shared" si="30"/>
        <v>22.036363636363632</v>
      </c>
      <c r="M136" s="33">
        <v>23.7</v>
      </c>
      <c r="N136" s="33">
        <f t="shared" si="31"/>
        <v>190.1</v>
      </c>
      <c r="O136" s="67"/>
      <c r="P136" s="67"/>
      <c r="Q136" s="68"/>
      <c r="R136" s="68"/>
      <c r="S136" s="33">
        <f t="shared" si="32"/>
        <v>190.1</v>
      </c>
      <c r="T136" s="33"/>
      <c r="U136" s="33">
        <f t="shared" si="33"/>
        <v>190.1</v>
      </c>
      <c r="V136" s="1"/>
      <c r="W136" s="60"/>
      <c r="X136" s="1"/>
      <c r="Y136" s="1"/>
      <c r="Z136" s="60"/>
      <c r="AA136" s="60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9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9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9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9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9"/>
      <c r="FG136" s="8"/>
      <c r="FH136" s="8"/>
    </row>
    <row r="137" spans="1:164" s="2" customFormat="1" ht="17.100000000000001" customHeight="1">
      <c r="A137" s="13" t="s">
        <v>121</v>
      </c>
      <c r="B137" s="56">
        <v>394.5</v>
      </c>
      <c r="C137" s="56">
        <v>359.6</v>
      </c>
      <c r="D137" s="4">
        <f t="shared" si="26"/>
        <v>0.91153358681875796</v>
      </c>
      <c r="E137" s="10">
        <v>15</v>
      </c>
      <c r="F137" s="5">
        <v>1</v>
      </c>
      <c r="G137" s="5">
        <v>10</v>
      </c>
      <c r="H137" s="40">
        <f t="shared" si="27"/>
        <v>0.94692015209125491</v>
      </c>
      <c r="I137" s="41">
        <v>1640</v>
      </c>
      <c r="J137" s="33">
        <f t="shared" si="28"/>
        <v>149.09090909090909</v>
      </c>
      <c r="K137" s="33">
        <f t="shared" si="29"/>
        <v>141.19999999999999</v>
      </c>
      <c r="L137" s="33">
        <f t="shared" si="30"/>
        <v>-7.8909090909091049</v>
      </c>
      <c r="M137" s="33">
        <v>41.8</v>
      </c>
      <c r="N137" s="33">
        <f t="shared" si="31"/>
        <v>183</v>
      </c>
      <c r="O137" s="67"/>
      <c r="P137" s="67"/>
      <c r="Q137" s="68"/>
      <c r="R137" s="68"/>
      <c r="S137" s="33">
        <f t="shared" si="32"/>
        <v>183</v>
      </c>
      <c r="T137" s="33"/>
      <c r="U137" s="33">
        <f t="shared" si="33"/>
        <v>183</v>
      </c>
      <c r="V137" s="1"/>
      <c r="W137" s="60"/>
      <c r="X137" s="1"/>
      <c r="Y137" s="1"/>
      <c r="Z137" s="60"/>
      <c r="AA137" s="60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9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9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9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9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9"/>
      <c r="FG137" s="8"/>
      <c r="FH137" s="8"/>
    </row>
    <row r="138" spans="1:164" s="2" customFormat="1" ht="17.100000000000001" customHeight="1">
      <c r="A138" s="13" t="s">
        <v>122</v>
      </c>
      <c r="B138" s="56">
        <v>135.1</v>
      </c>
      <c r="C138" s="56">
        <v>48.5</v>
      </c>
      <c r="D138" s="4">
        <f t="shared" si="26"/>
        <v>0.35899333826794966</v>
      </c>
      <c r="E138" s="10">
        <v>15</v>
      </c>
      <c r="F138" s="5">
        <v>1</v>
      </c>
      <c r="G138" s="5">
        <v>10</v>
      </c>
      <c r="H138" s="40">
        <f t="shared" si="27"/>
        <v>0.61539600296076979</v>
      </c>
      <c r="I138" s="41">
        <v>1600</v>
      </c>
      <c r="J138" s="33">
        <f t="shared" si="28"/>
        <v>145.45454545454547</v>
      </c>
      <c r="K138" s="33">
        <f t="shared" si="29"/>
        <v>89.5</v>
      </c>
      <c r="L138" s="33">
        <f t="shared" si="30"/>
        <v>-55.954545454545467</v>
      </c>
      <c r="M138" s="33">
        <v>35.200000000000003</v>
      </c>
      <c r="N138" s="33">
        <f t="shared" si="31"/>
        <v>124.7</v>
      </c>
      <c r="O138" s="67"/>
      <c r="P138" s="67"/>
      <c r="Q138" s="68"/>
      <c r="R138" s="68"/>
      <c r="S138" s="33">
        <f t="shared" si="32"/>
        <v>124.7</v>
      </c>
      <c r="T138" s="33"/>
      <c r="U138" s="33">
        <f t="shared" si="33"/>
        <v>124.7</v>
      </c>
      <c r="V138" s="1"/>
      <c r="W138" s="60"/>
      <c r="X138" s="1"/>
      <c r="Y138" s="1"/>
      <c r="Z138" s="60"/>
      <c r="AA138" s="60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9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9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9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9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9"/>
      <c r="FG138" s="8"/>
      <c r="FH138" s="8"/>
    </row>
    <row r="139" spans="1:164" s="2" customFormat="1" ht="17.100000000000001" customHeight="1">
      <c r="A139" s="13" t="s">
        <v>123</v>
      </c>
      <c r="B139" s="56">
        <v>152.4</v>
      </c>
      <c r="C139" s="56">
        <v>48.8</v>
      </c>
      <c r="D139" s="4">
        <f t="shared" si="26"/>
        <v>0.32020997375328081</v>
      </c>
      <c r="E139" s="10">
        <v>15</v>
      </c>
      <c r="F139" s="5">
        <v>1</v>
      </c>
      <c r="G139" s="5">
        <v>10</v>
      </c>
      <c r="H139" s="40">
        <f t="shared" si="27"/>
        <v>0.5921259842519685</v>
      </c>
      <c r="I139" s="41">
        <v>1098</v>
      </c>
      <c r="J139" s="33">
        <f t="shared" si="28"/>
        <v>99.818181818181813</v>
      </c>
      <c r="K139" s="33">
        <f t="shared" si="29"/>
        <v>59.1</v>
      </c>
      <c r="L139" s="33">
        <f t="shared" si="30"/>
        <v>-40.718181818181812</v>
      </c>
      <c r="M139" s="33">
        <v>13.9</v>
      </c>
      <c r="N139" s="33">
        <f t="shared" si="31"/>
        <v>73</v>
      </c>
      <c r="O139" s="67"/>
      <c r="P139" s="67"/>
      <c r="Q139" s="68"/>
      <c r="R139" s="68"/>
      <c r="S139" s="33">
        <f t="shared" si="32"/>
        <v>73</v>
      </c>
      <c r="T139" s="33"/>
      <c r="U139" s="33">
        <f t="shared" si="33"/>
        <v>73</v>
      </c>
      <c r="V139" s="1"/>
      <c r="W139" s="60"/>
      <c r="X139" s="1"/>
      <c r="Y139" s="1"/>
      <c r="Z139" s="60"/>
      <c r="AA139" s="60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9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9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9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9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9"/>
      <c r="FG139" s="8"/>
      <c r="FH139" s="8"/>
    </row>
    <row r="140" spans="1:164" s="2" customFormat="1" ht="17.100000000000001" customHeight="1">
      <c r="A140" s="17" t="s">
        <v>124</v>
      </c>
      <c r="B140" s="57"/>
      <c r="C140" s="57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33"/>
      <c r="V140" s="1"/>
      <c r="W140" s="60"/>
      <c r="X140" s="1"/>
      <c r="Y140" s="1"/>
      <c r="Z140" s="60"/>
      <c r="AA140" s="60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9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9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9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9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9"/>
      <c r="FG140" s="8"/>
      <c r="FH140" s="8"/>
    </row>
    <row r="141" spans="1:164" s="2" customFormat="1" ht="17.100000000000001" customHeight="1">
      <c r="A141" s="13" t="s">
        <v>125</v>
      </c>
      <c r="B141" s="56">
        <v>249.5</v>
      </c>
      <c r="C141" s="56">
        <v>132.6</v>
      </c>
      <c r="D141" s="4">
        <f t="shared" si="26"/>
        <v>0.5314629258517034</v>
      </c>
      <c r="E141" s="10">
        <v>15</v>
      </c>
      <c r="F141" s="5">
        <v>1</v>
      </c>
      <c r="G141" s="5">
        <v>10</v>
      </c>
      <c r="H141" s="40">
        <f t="shared" si="27"/>
        <v>0.71887775551102207</v>
      </c>
      <c r="I141" s="41">
        <v>1381</v>
      </c>
      <c r="J141" s="33">
        <f t="shared" si="28"/>
        <v>125.54545454545455</v>
      </c>
      <c r="K141" s="33">
        <f t="shared" si="29"/>
        <v>90.3</v>
      </c>
      <c r="L141" s="33">
        <f t="shared" si="30"/>
        <v>-35.24545454545455</v>
      </c>
      <c r="M141" s="33">
        <v>23.8</v>
      </c>
      <c r="N141" s="33">
        <f t="shared" si="31"/>
        <v>114.1</v>
      </c>
      <c r="O141" s="67"/>
      <c r="P141" s="67"/>
      <c r="Q141" s="68"/>
      <c r="R141" s="68"/>
      <c r="S141" s="33">
        <f t="shared" si="32"/>
        <v>114.1</v>
      </c>
      <c r="T141" s="33"/>
      <c r="U141" s="33">
        <f t="shared" si="33"/>
        <v>114.1</v>
      </c>
      <c r="V141" s="1"/>
      <c r="W141" s="60"/>
      <c r="X141" s="1"/>
      <c r="Y141" s="1"/>
      <c r="Z141" s="60"/>
      <c r="AA141" s="60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9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9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9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9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9"/>
      <c r="FG141" s="8"/>
      <c r="FH141" s="8"/>
    </row>
    <row r="142" spans="1:164" s="2" customFormat="1" ht="17.100000000000001" customHeight="1">
      <c r="A142" s="13" t="s">
        <v>126</v>
      </c>
      <c r="B142" s="56">
        <v>155.5</v>
      </c>
      <c r="C142" s="56">
        <v>66.599999999999994</v>
      </c>
      <c r="D142" s="4">
        <f t="shared" si="26"/>
        <v>0.42829581993569127</v>
      </c>
      <c r="E142" s="10">
        <v>15</v>
      </c>
      <c r="F142" s="5">
        <v>1</v>
      </c>
      <c r="G142" s="5">
        <v>10</v>
      </c>
      <c r="H142" s="40">
        <f t="shared" si="27"/>
        <v>0.65697749196141475</v>
      </c>
      <c r="I142" s="41">
        <v>1275</v>
      </c>
      <c r="J142" s="33">
        <f t="shared" si="28"/>
        <v>115.90909090909091</v>
      </c>
      <c r="K142" s="33">
        <f t="shared" si="29"/>
        <v>76.099999999999994</v>
      </c>
      <c r="L142" s="33">
        <f t="shared" si="30"/>
        <v>-39.809090909090912</v>
      </c>
      <c r="M142" s="33">
        <v>29.3</v>
      </c>
      <c r="N142" s="33">
        <f t="shared" si="31"/>
        <v>105.4</v>
      </c>
      <c r="O142" s="67"/>
      <c r="P142" s="67"/>
      <c r="Q142" s="68"/>
      <c r="R142" s="68"/>
      <c r="S142" s="33">
        <f t="shared" si="32"/>
        <v>105.4</v>
      </c>
      <c r="T142" s="33"/>
      <c r="U142" s="33">
        <f t="shared" si="33"/>
        <v>105.4</v>
      </c>
      <c r="V142" s="1"/>
      <c r="W142" s="60"/>
      <c r="X142" s="1"/>
      <c r="Y142" s="1"/>
      <c r="Z142" s="60"/>
      <c r="AA142" s="60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9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9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9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9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9"/>
      <c r="FG142" s="8"/>
      <c r="FH142" s="8"/>
    </row>
    <row r="143" spans="1:164" s="2" customFormat="1" ht="17.100000000000001" customHeight="1">
      <c r="A143" s="13" t="s">
        <v>127</v>
      </c>
      <c r="B143" s="56">
        <v>835.4</v>
      </c>
      <c r="C143" s="56">
        <v>821.5</v>
      </c>
      <c r="D143" s="4">
        <f t="shared" si="26"/>
        <v>0.98336126406511848</v>
      </c>
      <c r="E143" s="10">
        <v>15</v>
      </c>
      <c r="F143" s="5">
        <v>1</v>
      </c>
      <c r="G143" s="5">
        <v>10</v>
      </c>
      <c r="H143" s="40">
        <f t="shared" si="27"/>
        <v>0.99001675843907111</v>
      </c>
      <c r="I143" s="41">
        <v>2073</v>
      </c>
      <c r="J143" s="33">
        <f t="shared" si="28"/>
        <v>188.45454545454547</v>
      </c>
      <c r="K143" s="33">
        <f t="shared" si="29"/>
        <v>186.6</v>
      </c>
      <c r="L143" s="33">
        <f t="shared" si="30"/>
        <v>-1.8545454545454731</v>
      </c>
      <c r="M143" s="33">
        <v>31.1</v>
      </c>
      <c r="N143" s="33">
        <f t="shared" si="31"/>
        <v>217.7</v>
      </c>
      <c r="O143" s="67"/>
      <c r="P143" s="67"/>
      <c r="Q143" s="68"/>
      <c r="R143" s="68"/>
      <c r="S143" s="33">
        <f t="shared" si="32"/>
        <v>217.7</v>
      </c>
      <c r="T143" s="33"/>
      <c r="U143" s="33">
        <f t="shared" si="33"/>
        <v>217.7</v>
      </c>
      <c r="V143" s="1"/>
      <c r="W143" s="60"/>
      <c r="X143" s="1"/>
      <c r="Y143" s="1"/>
      <c r="Z143" s="60"/>
      <c r="AA143" s="60"/>
      <c r="AB143" s="8"/>
      <c r="AC143" s="8"/>
      <c r="AD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9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9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9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9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9"/>
      <c r="FG143" s="8"/>
      <c r="FH143" s="8"/>
    </row>
    <row r="144" spans="1:164" s="2" customFormat="1" ht="17.100000000000001" customHeight="1">
      <c r="A144" s="13" t="s">
        <v>128</v>
      </c>
      <c r="B144" s="56">
        <v>246.1</v>
      </c>
      <c r="C144" s="56">
        <v>34</v>
      </c>
      <c r="D144" s="4">
        <f t="shared" si="26"/>
        <v>0.13815522145469322</v>
      </c>
      <c r="E144" s="10">
        <v>15</v>
      </c>
      <c r="F144" s="5">
        <v>1</v>
      </c>
      <c r="G144" s="5">
        <v>10</v>
      </c>
      <c r="H144" s="40">
        <f t="shared" si="27"/>
        <v>0.48289313287281593</v>
      </c>
      <c r="I144" s="41">
        <v>1448</v>
      </c>
      <c r="J144" s="33">
        <f t="shared" si="28"/>
        <v>131.63636363636363</v>
      </c>
      <c r="K144" s="33">
        <f t="shared" si="29"/>
        <v>63.6</v>
      </c>
      <c r="L144" s="33">
        <f t="shared" si="30"/>
        <v>-68.036363636363632</v>
      </c>
      <c r="M144" s="33">
        <v>30.3</v>
      </c>
      <c r="N144" s="33">
        <f t="shared" si="31"/>
        <v>93.9</v>
      </c>
      <c r="O144" s="67"/>
      <c r="P144" s="67"/>
      <c r="Q144" s="68"/>
      <c r="R144" s="68"/>
      <c r="S144" s="33">
        <f t="shared" si="32"/>
        <v>93.9</v>
      </c>
      <c r="T144" s="33"/>
      <c r="U144" s="33">
        <f t="shared" si="33"/>
        <v>93.9</v>
      </c>
      <c r="V144" s="1"/>
      <c r="W144" s="60"/>
      <c r="X144" s="1"/>
      <c r="Y144" s="1"/>
      <c r="Z144" s="60"/>
      <c r="AA144" s="60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9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9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9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9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9"/>
      <c r="FG144" s="8"/>
      <c r="FH144" s="8"/>
    </row>
    <row r="145" spans="1:164" s="2" customFormat="1" ht="17.100000000000001" customHeight="1">
      <c r="A145" s="13" t="s">
        <v>129</v>
      </c>
      <c r="B145" s="56">
        <v>252</v>
      </c>
      <c r="C145" s="56">
        <v>176.8</v>
      </c>
      <c r="D145" s="4">
        <f t="shared" si="26"/>
        <v>0.70158730158730165</v>
      </c>
      <c r="E145" s="10">
        <v>15</v>
      </c>
      <c r="F145" s="5">
        <v>1</v>
      </c>
      <c r="G145" s="5">
        <v>10</v>
      </c>
      <c r="H145" s="40">
        <f t="shared" si="27"/>
        <v>0.82095238095238099</v>
      </c>
      <c r="I145" s="41">
        <v>1715</v>
      </c>
      <c r="J145" s="33">
        <f t="shared" si="28"/>
        <v>155.90909090909091</v>
      </c>
      <c r="K145" s="33">
        <f t="shared" si="29"/>
        <v>128</v>
      </c>
      <c r="L145" s="33">
        <f t="shared" si="30"/>
        <v>-27.909090909090907</v>
      </c>
      <c r="M145" s="33">
        <v>17.7</v>
      </c>
      <c r="N145" s="33">
        <f t="shared" si="31"/>
        <v>145.69999999999999</v>
      </c>
      <c r="O145" s="67"/>
      <c r="P145" s="67"/>
      <c r="Q145" s="68"/>
      <c r="R145" s="68"/>
      <c r="S145" s="33">
        <f t="shared" si="32"/>
        <v>145.69999999999999</v>
      </c>
      <c r="T145" s="33"/>
      <c r="U145" s="33">
        <f t="shared" si="33"/>
        <v>145.69999999999999</v>
      </c>
      <c r="V145" s="1"/>
      <c r="W145" s="60"/>
      <c r="X145" s="1"/>
      <c r="Y145" s="1"/>
      <c r="Z145" s="60"/>
      <c r="AA145" s="60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9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9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9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9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9"/>
      <c r="FG145" s="8"/>
      <c r="FH145" s="8"/>
    </row>
    <row r="146" spans="1:164" s="2" customFormat="1" ht="17.100000000000001" customHeight="1">
      <c r="A146" s="13" t="s">
        <v>130</v>
      </c>
      <c r="B146" s="56">
        <v>251.9</v>
      </c>
      <c r="C146" s="56">
        <v>181.4</v>
      </c>
      <c r="D146" s="4">
        <f t="shared" si="26"/>
        <v>0.72012703453751492</v>
      </c>
      <c r="E146" s="10">
        <v>15</v>
      </c>
      <c r="F146" s="5">
        <v>1</v>
      </c>
      <c r="G146" s="5">
        <v>10</v>
      </c>
      <c r="H146" s="40">
        <f t="shared" si="27"/>
        <v>0.83207622072250897</v>
      </c>
      <c r="I146" s="41">
        <v>1087</v>
      </c>
      <c r="J146" s="33">
        <f t="shared" si="28"/>
        <v>98.818181818181813</v>
      </c>
      <c r="K146" s="33">
        <f t="shared" si="29"/>
        <v>82.2</v>
      </c>
      <c r="L146" s="33">
        <f t="shared" si="30"/>
        <v>-16.61818181818181</v>
      </c>
      <c r="M146" s="33">
        <v>27.9</v>
      </c>
      <c r="N146" s="33">
        <f t="shared" si="31"/>
        <v>110.1</v>
      </c>
      <c r="O146" s="67"/>
      <c r="P146" s="67"/>
      <c r="Q146" s="68"/>
      <c r="R146" s="68"/>
      <c r="S146" s="33">
        <f t="shared" si="32"/>
        <v>110.1</v>
      </c>
      <c r="T146" s="33"/>
      <c r="U146" s="33">
        <f t="shared" si="33"/>
        <v>110.1</v>
      </c>
      <c r="V146" s="1"/>
      <c r="W146" s="60"/>
      <c r="X146" s="1"/>
      <c r="Y146" s="1"/>
      <c r="Z146" s="60"/>
      <c r="AA146" s="60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9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9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9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9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9"/>
      <c r="FG146" s="8"/>
      <c r="FH146" s="8"/>
    </row>
    <row r="147" spans="1:164" s="2" customFormat="1" ht="17.100000000000001" customHeight="1">
      <c r="A147" s="13" t="s">
        <v>131</v>
      </c>
      <c r="B147" s="56">
        <v>545.29999999999995</v>
      </c>
      <c r="C147" s="56">
        <v>108.5</v>
      </c>
      <c r="D147" s="4">
        <f t="shared" si="26"/>
        <v>0.19897304236200258</v>
      </c>
      <c r="E147" s="10">
        <v>15</v>
      </c>
      <c r="F147" s="5">
        <v>1</v>
      </c>
      <c r="G147" s="5">
        <v>10</v>
      </c>
      <c r="H147" s="40">
        <f t="shared" si="27"/>
        <v>0.51938382541720163</v>
      </c>
      <c r="I147" s="41">
        <v>1215</v>
      </c>
      <c r="J147" s="33">
        <f t="shared" si="28"/>
        <v>110.45454545454545</v>
      </c>
      <c r="K147" s="33">
        <f t="shared" si="29"/>
        <v>57.4</v>
      </c>
      <c r="L147" s="33">
        <f t="shared" si="30"/>
        <v>-53.054545454545455</v>
      </c>
      <c r="M147" s="33">
        <v>21.7</v>
      </c>
      <c r="N147" s="33">
        <f t="shared" si="31"/>
        <v>79.099999999999994</v>
      </c>
      <c r="O147" s="67"/>
      <c r="P147" s="67"/>
      <c r="Q147" s="68"/>
      <c r="R147" s="68"/>
      <c r="S147" s="33">
        <f t="shared" si="32"/>
        <v>79.099999999999994</v>
      </c>
      <c r="T147" s="33"/>
      <c r="U147" s="33">
        <f t="shared" si="33"/>
        <v>79.099999999999994</v>
      </c>
      <c r="V147" s="1"/>
      <c r="W147" s="60"/>
      <c r="X147" s="1"/>
      <c r="Y147" s="1"/>
      <c r="Z147" s="60"/>
      <c r="AA147" s="60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9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9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9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9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9"/>
      <c r="FG147" s="8"/>
      <c r="FH147" s="8"/>
    </row>
    <row r="148" spans="1:164" s="2" customFormat="1" ht="17.100000000000001" customHeight="1">
      <c r="A148" s="13" t="s">
        <v>132</v>
      </c>
      <c r="B148" s="56">
        <v>326.5</v>
      </c>
      <c r="C148" s="56">
        <v>179.3</v>
      </c>
      <c r="D148" s="4">
        <f t="shared" si="26"/>
        <v>0.54915773353751918</v>
      </c>
      <c r="E148" s="10">
        <v>15</v>
      </c>
      <c r="F148" s="5">
        <v>1</v>
      </c>
      <c r="G148" s="5">
        <v>10</v>
      </c>
      <c r="H148" s="40">
        <f t="shared" si="27"/>
        <v>0.72949464012251153</v>
      </c>
      <c r="I148" s="41">
        <v>544</v>
      </c>
      <c r="J148" s="33">
        <f t="shared" si="28"/>
        <v>49.454545454545453</v>
      </c>
      <c r="K148" s="33">
        <f t="shared" si="29"/>
        <v>36.1</v>
      </c>
      <c r="L148" s="33">
        <f t="shared" si="30"/>
        <v>-13.354545454545452</v>
      </c>
      <c r="M148" s="33">
        <v>10.5</v>
      </c>
      <c r="N148" s="33">
        <f t="shared" si="31"/>
        <v>46.6</v>
      </c>
      <c r="O148" s="67"/>
      <c r="P148" s="67"/>
      <c r="Q148" s="68"/>
      <c r="R148" s="68"/>
      <c r="S148" s="33">
        <f t="shared" si="32"/>
        <v>46.6</v>
      </c>
      <c r="T148" s="33"/>
      <c r="U148" s="33">
        <f t="shared" si="33"/>
        <v>46.6</v>
      </c>
      <c r="V148" s="1"/>
      <c r="W148" s="60"/>
      <c r="X148" s="1"/>
      <c r="Y148" s="1"/>
      <c r="Z148" s="60"/>
      <c r="AA148" s="60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9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9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9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9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9"/>
      <c r="FG148" s="8"/>
      <c r="FH148" s="8"/>
    </row>
    <row r="149" spans="1:164" s="2" customFormat="1" ht="17.100000000000001" customHeight="1">
      <c r="A149" s="17" t="s">
        <v>133</v>
      </c>
      <c r="B149" s="57"/>
      <c r="C149" s="57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33"/>
      <c r="V149" s="1"/>
      <c r="W149" s="60"/>
      <c r="X149" s="1"/>
      <c r="Y149" s="1"/>
      <c r="Z149" s="60"/>
      <c r="AA149" s="60"/>
      <c r="AB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9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9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9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9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9"/>
      <c r="FG149" s="8"/>
      <c r="FH149" s="8"/>
    </row>
    <row r="150" spans="1:164" s="2" customFormat="1" ht="17.100000000000001" customHeight="1">
      <c r="A150" s="13" t="s">
        <v>134</v>
      </c>
      <c r="B150" s="56">
        <v>605.70000000000005</v>
      </c>
      <c r="C150" s="56">
        <v>30</v>
      </c>
      <c r="D150" s="4">
        <f t="shared" si="26"/>
        <v>4.9529470034670627E-2</v>
      </c>
      <c r="E150" s="10">
        <v>15</v>
      </c>
      <c r="F150" s="5">
        <v>1</v>
      </c>
      <c r="G150" s="5">
        <v>10</v>
      </c>
      <c r="H150" s="40">
        <f t="shared" si="27"/>
        <v>0.42971768202080235</v>
      </c>
      <c r="I150" s="41">
        <v>1151</v>
      </c>
      <c r="J150" s="33">
        <f t="shared" si="28"/>
        <v>104.63636363636364</v>
      </c>
      <c r="K150" s="33">
        <f t="shared" si="29"/>
        <v>45</v>
      </c>
      <c r="L150" s="33">
        <f t="shared" si="30"/>
        <v>-59.63636363636364</v>
      </c>
      <c r="M150" s="33">
        <v>-0.4</v>
      </c>
      <c r="N150" s="33">
        <f t="shared" si="31"/>
        <v>44.6</v>
      </c>
      <c r="O150" s="67"/>
      <c r="P150" s="67"/>
      <c r="Q150" s="68"/>
      <c r="R150" s="68"/>
      <c r="S150" s="33">
        <f t="shared" si="32"/>
        <v>44.6</v>
      </c>
      <c r="T150" s="33"/>
      <c r="U150" s="33">
        <f t="shared" si="33"/>
        <v>44.6</v>
      </c>
      <c r="V150" s="1"/>
      <c r="W150" s="60"/>
      <c r="X150" s="1"/>
      <c r="Y150" s="1"/>
      <c r="Z150" s="60"/>
      <c r="AA150" s="60"/>
      <c r="AB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9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9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9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9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9"/>
      <c r="FG150" s="8"/>
      <c r="FH150" s="8"/>
    </row>
    <row r="151" spans="1:164" s="2" customFormat="1" ht="17.100000000000001" customHeight="1">
      <c r="A151" s="13" t="s">
        <v>135</v>
      </c>
      <c r="B151" s="56">
        <v>117.6</v>
      </c>
      <c r="C151" s="56">
        <v>151.5</v>
      </c>
      <c r="D151" s="4">
        <f t="shared" si="26"/>
        <v>1.2088265306122448</v>
      </c>
      <c r="E151" s="10">
        <v>15</v>
      </c>
      <c r="F151" s="5">
        <v>1</v>
      </c>
      <c r="G151" s="5">
        <v>10</v>
      </c>
      <c r="H151" s="40">
        <f t="shared" si="27"/>
        <v>1.1252959183673468</v>
      </c>
      <c r="I151" s="41">
        <v>1491</v>
      </c>
      <c r="J151" s="33">
        <f t="shared" si="28"/>
        <v>135.54545454545453</v>
      </c>
      <c r="K151" s="33">
        <f t="shared" si="29"/>
        <v>152.5</v>
      </c>
      <c r="L151" s="33">
        <f t="shared" si="30"/>
        <v>16.954545454545467</v>
      </c>
      <c r="M151" s="33">
        <v>-0.5</v>
      </c>
      <c r="N151" s="33">
        <f t="shared" si="31"/>
        <v>152</v>
      </c>
      <c r="O151" s="67"/>
      <c r="P151" s="67"/>
      <c r="Q151" s="68"/>
      <c r="R151" s="68"/>
      <c r="S151" s="33">
        <f t="shared" si="32"/>
        <v>152</v>
      </c>
      <c r="T151" s="33"/>
      <c r="U151" s="33">
        <f t="shared" si="33"/>
        <v>152</v>
      </c>
      <c r="V151" s="1"/>
      <c r="W151" s="60"/>
      <c r="X151" s="1"/>
      <c r="Y151" s="1"/>
      <c r="Z151" s="60"/>
      <c r="AA151" s="60"/>
      <c r="AB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9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9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9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9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9"/>
      <c r="FG151" s="8"/>
      <c r="FH151" s="8"/>
    </row>
    <row r="152" spans="1:164" s="2" customFormat="1" ht="17.100000000000001" customHeight="1">
      <c r="A152" s="13" t="s">
        <v>136</v>
      </c>
      <c r="B152" s="56">
        <v>90</v>
      </c>
      <c r="C152" s="56">
        <v>83.8</v>
      </c>
      <c r="D152" s="4">
        <f t="shared" si="26"/>
        <v>0.93111111111111111</v>
      </c>
      <c r="E152" s="10">
        <v>15</v>
      </c>
      <c r="F152" s="5">
        <v>1</v>
      </c>
      <c r="G152" s="5">
        <v>10</v>
      </c>
      <c r="H152" s="40">
        <f t="shared" si="27"/>
        <v>0.95866666666666678</v>
      </c>
      <c r="I152" s="41">
        <v>2214</v>
      </c>
      <c r="J152" s="33">
        <f t="shared" si="28"/>
        <v>201.27272727272728</v>
      </c>
      <c r="K152" s="33">
        <f t="shared" si="29"/>
        <v>193</v>
      </c>
      <c r="L152" s="33">
        <f t="shared" si="30"/>
        <v>-8.2727272727272805</v>
      </c>
      <c r="M152" s="33">
        <v>18.600000000000001</v>
      </c>
      <c r="N152" s="33">
        <f t="shared" si="31"/>
        <v>211.6</v>
      </c>
      <c r="O152" s="67"/>
      <c r="P152" s="67"/>
      <c r="Q152" s="68"/>
      <c r="R152" s="68"/>
      <c r="S152" s="33">
        <f t="shared" si="32"/>
        <v>211.6</v>
      </c>
      <c r="T152" s="33"/>
      <c r="U152" s="33">
        <f t="shared" si="33"/>
        <v>211.6</v>
      </c>
      <c r="V152" s="1"/>
      <c r="W152" s="60"/>
      <c r="X152" s="1"/>
      <c r="Y152" s="1"/>
      <c r="Z152" s="60"/>
      <c r="AA152" s="60"/>
      <c r="AB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9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9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9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9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9"/>
      <c r="FG152" s="8"/>
      <c r="FH152" s="8"/>
    </row>
    <row r="153" spans="1:164" s="2" customFormat="1" ht="17.100000000000001" customHeight="1">
      <c r="A153" s="13" t="s">
        <v>137</v>
      </c>
      <c r="B153" s="56">
        <v>1241.5</v>
      </c>
      <c r="C153" s="56">
        <v>1124.2</v>
      </c>
      <c r="D153" s="4">
        <f t="shared" si="26"/>
        <v>0.9055175191300846</v>
      </c>
      <c r="E153" s="10">
        <v>15</v>
      </c>
      <c r="F153" s="5">
        <v>1</v>
      </c>
      <c r="G153" s="5">
        <v>10</v>
      </c>
      <c r="H153" s="40">
        <f t="shared" si="27"/>
        <v>0.94331051147805089</v>
      </c>
      <c r="I153" s="41">
        <v>1779</v>
      </c>
      <c r="J153" s="33">
        <f t="shared" si="28"/>
        <v>161.72727272727272</v>
      </c>
      <c r="K153" s="33">
        <f t="shared" si="29"/>
        <v>152.6</v>
      </c>
      <c r="L153" s="33">
        <f t="shared" si="30"/>
        <v>-9.1272727272727252</v>
      </c>
      <c r="M153" s="33">
        <v>10.3</v>
      </c>
      <c r="N153" s="33">
        <f t="shared" si="31"/>
        <v>162.9</v>
      </c>
      <c r="O153" s="67"/>
      <c r="P153" s="67"/>
      <c r="Q153" s="68"/>
      <c r="R153" s="68"/>
      <c r="S153" s="33">
        <f t="shared" si="32"/>
        <v>162.9</v>
      </c>
      <c r="T153" s="33"/>
      <c r="U153" s="33">
        <f t="shared" si="33"/>
        <v>162.9</v>
      </c>
      <c r="V153" s="1"/>
      <c r="W153" s="60"/>
      <c r="X153" s="1"/>
      <c r="Y153" s="1"/>
      <c r="Z153" s="60"/>
      <c r="AA153" s="60"/>
      <c r="AB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9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9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9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9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9"/>
      <c r="FG153" s="8"/>
      <c r="FH153" s="8"/>
    </row>
    <row r="154" spans="1:164" s="2" customFormat="1" ht="17.100000000000001" customHeight="1">
      <c r="A154" s="13" t="s">
        <v>138</v>
      </c>
      <c r="B154" s="56">
        <v>257.7</v>
      </c>
      <c r="C154" s="56">
        <v>648.70000000000005</v>
      </c>
      <c r="D154" s="4">
        <f t="shared" si="26"/>
        <v>1.3</v>
      </c>
      <c r="E154" s="10">
        <v>15</v>
      </c>
      <c r="F154" s="5">
        <v>1</v>
      </c>
      <c r="G154" s="5">
        <v>10</v>
      </c>
      <c r="H154" s="40">
        <f t="shared" si="27"/>
        <v>1.18</v>
      </c>
      <c r="I154" s="41">
        <v>172</v>
      </c>
      <c r="J154" s="33">
        <f t="shared" si="28"/>
        <v>15.636363636363637</v>
      </c>
      <c r="K154" s="33">
        <f t="shared" si="29"/>
        <v>18.5</v>
      </c>
      <c r="L154" s="33">
        <f t="shared" si="30"/>
        <v>2.8636363636363633</v>
      </c>
      <c r="M154" s="33">
        <v>1.9</v>
      </c>
      <c r="N154" s="33">
        <f t="shared" si="31"/>
        <v>20.399999999999999</v>
      </c>
      <c r="O154" s="67"/>
      <c r="P154" s="67"/>
      <c r="Q154" s="68"/>
      <c r="R154" s="68"/>
      <c r="S154" s="33">
        <f t="shared" si="32"/>
        <v>20.399999999999999</v>
      </c>
      <c r="T154" s="33"/>
      <c r="U154" s="33">
        <f t="shared" si="33"/>
        <v>20.399999999999999</v>
      </c>
      <c r="V154" s="1"/>
      <c r="W154" s="60"/>
      <c r="X154" s="1"/>
      <c r="Y154" s="1"/>
      <c r="Z154" s="60"/>
      <c r="AA154" s="60"/>
      <c r="AB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9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9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9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9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9"/>
      <c r="FG154" s="8"/>
      <c r="FH154" s="8"/>
    </row>
    <row r="155" spans="1:164" s="2" customFormat="1" ht="17.100000000000001" customHeight="1">
      <c r="A155" s="13" t="s">
        <v>139</v>
      </c>
      <c r="B155" s="56">
        <v>28</v>
      </c>
      <c r="C155" s="56">
        <v>70.2</v>
      </c>
      <c r="D155" s="4">
        <f t="shared" si="26"/>
        <v>1.3</v>
      </c>
      <c r="E155" s="10">
        <v>15</v>
      </c>
      <c r="F155" s="5">
        <v>1</v>
      </c>
      <c r="G155" s="5">
        <v>10</v>
      </c>
      <c r="H155" s="40">
        <f t="shared" si="27"/>
        <v>1.18</v>
      </c>
      <c r="I155" s="41">
        <v>1501</v>
      </c>
      <c r="J155" s="33">
        <f t="shared" si="28"/>
        <v>136.45454545454547</v>
      </c>
      <c r="K155" s="33">
        <f t="shared" si="29"/>
        <v>161</v>
      </c>
      <c r="L155" s="33">
        <f t="shared" si="30"/>
        <v>24.545454545454533</v>
      </c>
      <c r="M155" s="33">
        <v>-0.5</v>
      </c>
      <c r="N155" s="33">
        <f t="shared" si="31"/>
        <v>160.5</v>
      </c>
      <c r="O155" s="67"/>
      <c r="P155" s="67"/>
      <c r="Q155" s="68"/>
      <c r="R155" s="68"/>
      <c r="S155" s="33">
        <f t="shared" si="32"/>
        <v>160.5</v>
      </c>
      <c r="T155" s="33"/>
      <c r="U155" s="33">
        <f t="shared" si="33"/>
        <v>160.5</v>
      </c>
      <c r="V155" s="1"/>
      <c r="W155" s="60"/>
      <c r="X155" s="1"/>
      <c r="Y155" s="1"/>
      <c r="Z155" s="60"/>
      <c r="AA155" s="60"/>
      <c r="AB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9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9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9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9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9"/>
      <c r="FG155" s="8"/>
      <c r="FH155" s="8"/>
    </row>
    <row r="156" spans="1:164" s="2" customFormat="1" ht="17.100000000000001" customHeight="1">
      <c r="A156" s="17" t="s">
        <v>140</v>
      </c>
      <c r="B156" s="57"/>
      <c r="C156" s="57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33"/>
      <c r="V156" s="1"/>
      <c r="W156" s="60"/>
      <c r="X156" s="1"/>
      <c r="Y156" s="1"/>
      <c r="Z156" s="60"/>
      <c r="AA156" s="60"/>
      <c r="AB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9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9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9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9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9"/>
      <c r="FG156" s="8"/>
      <c r="FH156" s="8"/>
    </row>
    <row r="157" spans="1:164" s="2" customFormat="1" ht="17.100000000000001" customHeight="1">
      <c r="A157" s="13" t="s">
        <v>141</v>
      </c>
      <c r="B157" s="56">
        <v>206.9</v>
      </c>
      <c r="C157" s="56">
        <v>117.1</v>
      </c>
      <c r="D157" s="4">
        <f t="shared" si="26"/>
        <v>0.56597390043499274</v>
      </c>
      <c r="E157" s="10">
        <v>15</v>
      </c>
      <c r="F157" s="5">
        <v>1</v>
      </c>
      <c r="G157" s="5">
        <v>10</v>
      </c>
      <c r="H157" s="40">
        <f t="shared" si="27"/>
        <v>0.73958434026099562</v>
      </c>
      <c r="I157" s="41">
        <v>2067</v>
      </c>
      <c r="J157" s="33">
        <f t="shared" si="28"/>
        <v>187.90909090909091</v>
      </c>
      <c r="K157" s="33">
        <f t="shared" si="29"/>
        <v>139</v>
      </c>
      <c r="L157" s="33">
        <f t="shared" si="30"/>
        <v>-48.909090909090907</v>
      </c>
      <c r="M157" s="33">
        <v>37.799999999999997</v>
      </c>
      <c r="N157" s="33">
        <f t="shared" si="31"/>
        <v>176.8</v>
      </c>
      <c r="O157" s="67"/>
      <c r="P157" s="67"/>
      <c r="Q157" s="68"/>
      <c r="R157" s="68"/>
      <c r="S157" s="33">
        <f t="shared" si="32"/>
        <v>176.8</v>
      </c>
      <c r="T157" s="33"/>
      <c r="U157" s="33">
        <f t="shared" si="33"/>
        <v>176.8</v>
      </c>
      <c r="V157" s="1"/>
      <c r="W157" s="60"/>
      <c r="X157" s="1"/>
      <c r="Y157" s="1"/>
      <c r="Z157" s="60"/>
      <c r="AA157" s="60"/>
      <c r="AB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9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9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9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9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9"/>
      <c r="FG157" s="8"/>
      <c r="FH157" s="8"/>
    </row>
    <row r="158" spans="1:164" s="2" customFormat="1" ht="16.5" customHeight="1">
      <c r="A158" s="13" t="s">
        <v>142</v>
      </c>
      <c r="B158" s="56">
        <v>219.8</v>
      </c>
      <c r="C158" s="56">
        <v>291.60000000000002</v>
      </c>
      <c r="D158" s="4">
        <f t="shared" si="26"/>
        <v>1.2126660600545951</v>
      </c>
      <c r="E158" s="10">
        <v>15</v>
      </c>
      <c r="F158" s="5">
        <v>1</v>
      </c>
      <c r="G158" s="5">
        <v>10</v>
      </c>
      <c r="H158" s="40">
        <f t="shared" si="27"/>
        <v>1.1275996360327571</v>
      </c>
      <c r="I158" s="41">
        <v>1965</v>
      </c>
      <c r="J158" s="33">
        <f t="shared" si="28"/>
        <v>178.63636363636363</v>
      </c>
      <c r="K158" s="33">
        <f t="shared" si="29"/>
        <v>201.4</v>
      </c>
      <c r="L158" s="33">
        <f t="shared" si="30"/>
        <v>22.76363636363638</v>
      </c>
      <c r="M158" s="33">
        <v>23</v>
      </c>
      <c r="N158" s="33">
        <f t="shared" si="31"/>
        <v>224.4</v>
      </c>
      <c r="O158" s="67"/>
      <c r="P158" s="67"/>
      <c r="Q158" s="68"/>
      <c r="R158" s="68"/>
      <c r="S158" s="33">
        <f t="shared" si="32"/>
        <v>224.4</v>
      </c>
      <c r="T158" s="33"/>
      <c r="U158" s="33">
        <f t="shared" si="33"/>
        <v>224.4</v>
      </c>
      <c r="V158" s="1"/>
      <c r="W158" s="60"/>
      <c r="X158" s="1"/>
      <c r="Y158" s="1"/>
      <c r="Z158" s="60"/>
      <c r="AA158" s="60"/>
      <c r="AB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9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9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9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9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9"/>
      <c r="FG158" s="8"/>
      <c r="FH158" s="8"/>
    </row>
    <row r="159" spans="1:164" s="2" customFormat="1" ht="17.100000000000001" customHeight="1">
      <c r="A159" s="13" t="s">
        <v>143</v>
      </c>
      <c r="B159" s="56">
        <v>235.8</v>
      </c>
      <c r="C159" s="56">
        <v>658.8</v>
      </c>
      <c r="D159" s="4">
        <f t="shared" si="26"/>
        <v>1.3</v>
      </c>
      <c r="E159" s="10">
        <v>15</v>
      </c>
      <c r="F159" s="5">
        <v>1</v>
      </c>
      <c r="G159" s="5">
        <v>10</v>
      </c>
      <c r="H159" s="40">
        <f t="shared" si="27"/>
        <v>1.18</v>
      </c>
      <c r="I159" s="41">
        <v>590</v>
      </c>
      <c r="J159" s="33">
        <f t="shared" si="28"/>
        <v>53.636363636363633</v>
      </c>
      <c r="K159" s="33">
        <f t="shared" si="29"/>
        <v>63.3</v>
      </c>
      <c r="L159" s="33">
        <f t="shared" si="30"/>
        <v>9.663636363636364</v>
      </c>
      <c r="M159" s="33">
        <v>7.4</v>
      </c>
      <c r="N159" s="33">
        <f t="shared" si="31"/>
        <v>70.7</v>
      </c>
      <c r="O159" s="67"/>
      <c r="P159" s="67"/>
      <c r="Q159" s="68"/>
      <c r="R159" s="68"/>
      <c r="S159" s="33">
        <f t="shared" si="32"/>
        <v>70.7</v>
      </c>
      <c r="T159" s="33"/>
      <c r="U159" s="33">
        <f t="shared" si="33"/>
        <v>70.7</v>
      </c>
      <c r="V159" s="1"/>
      <c r="W159" s="60"/>
      <c r="X159" s="1"/>
      <c r="Y159" s="1"/>
      <c r="Z159" s="60"/>
      <c r="AA159" s="60"/>
      <c r="AB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9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9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9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9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9"/>
      <c r="FG159" s="8"/>
      <c r="FH159" s="8"/>
    </row>
    <row r="160" spans="1:164" s="2" customFormat="1" ht="17.100000000000001" customHeight="1">
      <c r="A160" s="13" t="s">
        <v>144</v>
      </c>
      <c r="B160" s="56">
        <v>659.5</v>
      </c>
      <c r="C160" s="56">
        <v>441.2</v>
      </c>
      <c r="D160" s="4">
        <f t="shared" si="26"/>
        <v>0.66899166034874902</v>
      </c>
      <c r="E160" s="10">
        <v>15</v>
      </c>
      <c r="F160" s="5">
        <v>1</v>
      </c>
      <c r="G160" s="5">
        <v>10</v>
      </c>
      <c r="H160" s="40">
        <f t="shared" si="27"/>
        <v>0.80139499620924937</v>
      </c>
      <c r="I160" s="41">
        <v>5993</v>
      </c>
      <c r="J160" s="33">
        <f t="shared" si="28"/>
        <v>544.81818181818187</v>
      </c>
      <c r="K160" s="33">
        <f t="shared" si="29"/>
        <v>436.6</v>
      </c>
      <c r="L160" s="33">
        <f t="shared" si="30"/>
        <v>-108.21818181818185</v>
      </c>
      <c r="M160" s="33">
        <v>121.7</v>
      </c>
      <c r="N160" s="33">
        <f t="shared" si="31"/>
        <v>558.29999999999995</v>
      </c>
      <c r="O160" s="67"/>
      <c r="P160" s="67"/>
      <c r="Q160" s="68"/>
      <c r="R160" s="68"/>
      <c r="S160" s="33">
        <f t="shared" si="32"/>
        <v>558.29999999999995</v>
      </c>
      <c r="T160" s="33"/>
      <c r="U160" s="33">
        <f t="shared" si="33"/>
        <v>558.29999999999995</v>
      </c>
      <c r="V160" s="1"/>
      <c r="W160" s="60"/>
      <c r="X160" s="1"/>
      <c r="Y160" s="1"/>
      <c r="Z160" s="60"/>
      <c r="AA160" s="60"/>
      <c r="AB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9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9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9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9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9"/>
      <c r="FG160" s="8"/>
      <c r="FH160" s="8"/>
    </row>
    <row r="161" spans="1:164" s="2" customFormat="1" ht="17.100000000000001" customHeight="1">
      <c r="A161" s="13" t="s">
        <v>145</v>
      </c>
      <c r="B161" s="56">
        <v>2814.5</v>
      </c>
      <c r="C161" s="56">
        <v>3016</v>
      </c>
      <c r="D161" s="4">
        <f t="shared" si="26"/>
        <v>1.0715935334872979</v>
      </c>
      <c r="E161" s="10">
        <v>15</v>
      </c>
      <c r="F161" s="5">
        <v>1</v>
      </c>
      <c r="G161" s="5">
        <v>10</v>
      </c>
      <c r="H161" s="40">
        <f t="shared" si="27"/>
        <v>1.0429561200923787</v>
      </c>
      <c r="I161" s="41">
        <v>54</v>
      </c>
      <c r="J161" s="33">
        <f t="shared" si="28"/>
        <v>4.9090909090909092</v>
      </c>
      <c r="K161" s="33">
        <f t="shared" si="29"/>
        <v>5.0999999999999996</v>
      </c>
      <c r="L161" s="33">
        <f t="shared" si="30"/>
        <v>0.19090909090909047</v>
      </c>
      <c r="M161" s="33">
        <v>0.7</v>
      </c>
      <c r="N161" s="33">
        <f t="shared" si="31"/>
        <v>5.8</v>
      </c>
      <c r="O161" s="67"/>
      <c r="P161" s="67"/>
      <c r="Q161" s="68"/>
      <c r="R161" s="68"/>
      <c r="S161" s="33">
        <f t="shared" si="32"/>
        <v>5.8</v>
      </c>
      <c r="T161" s="33"/>
      <c r="U161" s="33">
        <f t="shared" si="33"/>
        <v>5.8</v>
      </c>
      <c r="V161" s="1"/>
      <c r="W161" s="60"/>
      <c r="X161" s="1"/>
      <c r="Y161" s="1"/>
      <c r="Z161" s="60"/>
      <c r="AA161" s="60"/>
      <c r="AB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9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9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9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9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9"/>
      <c r="FG161" s="8"/>
      <c r="FH161" s="8"/>
    </row>
    <row r="162" spans="1:164" s="2" customFormat="1" ht="17.100000000000001" customHeight="1">
      <c r="A162" s="13" t="s">
        <v>146</v>
      </c>
      <c r="B162" s="56">
        <v>366.3</v>
      </c>
      <c r="C162" s="56">
        <v>227.8</v>
      </c>
      <c r="D162" s="4">
        <f t="shared" si="26"/>
        <v>0.62189462189462186</v>
      </c>
      <c r="E162" s="10">
        <v>15</v>
      </c>
      <c r="F162" s="5">
        <v>1</v>
      </c>
      <c r="G162" s="5">
        <v>10</v>
      </c>
      <c r="H162" s="40">
        <f t="shared" si="27"/>
        <v>0.7731367731367732</v>
      </c>
      <c r="I162" s="41">
        <v>345</v>
      </c>
      <c r="J162" s="33">
        <f t="shared" si="28"/>
        <v>31.363636363636363</v>
      </c>
      <c r="K162" s="33">
        <f t="shared" si="29"/>
        <v>24.2</v>
      </c>
      <c r="L162" s="33">
        <f t="shared" si="30"/>
        <v>-7.163636363636364</v>
      </c>
      <c r="M162" s="33">
        <v>5.6</v>
      </c>
      <c r="N162" s="33">
        <f t="shared" si="31"/>
        <v>29.8</v>
      </c>
      <c r="O162" s="67"/>
      <c r="P162" s="67"/>
      <c r="Q162" s="68"/>
      <c r="R162" s="68"/>
      <c r="S162" s="33">
        <f t="shared" si="32"/>
        <v>29.8</v>
      </c>
      <c r="T162" s="33"/>
      <c r="U162" s="33">
        <f t="shared" si="33"/>
        <v>29.8</v>
      </c>
      <c r="V162" s="1"/>
      <c r="W162" s="60"/>
      <c r="X162" s="1"/>
      <c r="Y162" s="1"/>
      <c r="Z162" s="60"/>
      <c r="AA162" s="60"/>
      <c r="AB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9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9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9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9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9"/>
      <c r="FG162" s="8"/>
      <c r="FH162" s="8"/>
    </row>
    <row r="163" spans="1:164" s="2" customFormat="1" ht="17.100000000000001" customHeight="1">
      <c r="A163" s="13" t="s">
        <v>147</v>
      </c>
      <c r="B163" s="56">
        <v>897.4</v>
      </c>
      <c r="C163" s="56">
        <v>887.7</v>
      </c>
      <c r="D163" s="4">
        <f t="shared" si="26"/>
        <v>0.98919099621127715</v>
      </c>
      <c r="E163" s="10">
        <v>15</v>
      </c>
      <c r="F163" s="5">
        <v>1</v>
      </c>
      <c r="G163" s="5">
        <v>10</v>
      </c>
      <c r="H163" s="40">
        <f t="shared" si="27"/>
        <v>0.99351459772676631</v>
      </c>
      <c r="I163" s="41">
        <v>2435</v>
      </c>
      <c r="J163" s="33">
        <f t="shared" si="28"/>
        <v>221.36363636363637</v>
      </c>
      <c r="K163" s="33">
        <f t="shared" si="29"/>
        <v>219.9</v>
      </c>
      <c r="L163" s="33">
        <f t="shared" si="30"/>
        <v>-1.4636363636363683</v>
      </c>
      <c r="M163" s="33">
        <v>53.7</v>
      </c>
      <c r="N163" s="33">
        <f t="shared" si="31"/>
        <v>273.60000000000002</v>
      </c>
      <c r="O163" s="67"/>
      <c r="P163" s="67"/>
      <c r="Q163" s="68"/>
      <c r="R163" s="68"/>
      <c r="S163" s="33">
        <f t="shared" si="32"/>
        <v>273.60000000000002</v>
      </c>
      <c r="T163" s="33"/>
      <c r="U163" s="33">
        <f t="shared" si="33"/>
        <v>273.60000000000002</v>
      </c>
      <c r="V163" s="1"/>
      <c r="W163" s="60"/>
      <c r="X163" s="1"/>
      <c r="Y163" s="1"/>
      <c r="Z163" s="60"/>
      <c r="AA163" s="60"/>
      <c r="AB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9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9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9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9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9"/>
      <c r="FG163" s="8"/>
      <c r="FH163" s="8"/>
    </row>
    <row r="164" spans="1:164" s="2" customFormat="1" ht="17.100000000000001" customHeight="1">
      <c r="A164" s="13" t="s">
        <v>148</v>
      </c>
      <c r="B164" s="56">
        <v>374.1</v>
      </c>
      <c r="C164" s="56">
        <v>152.80000000000001</v>
      </c>
      <c r="D164" s="4">
        <f t="shared" si="26"/>
        <v>0.40844693932103715</v>
      </c>
      <c r="E164" s="10">
        <v>15</v>
      </c>
      <c r="F164" s="5">
        <v>1</v>
      </c>
      <c r="G164" s="5">
        <v>10</v>
      </c>
      <c r="H164" s="40">
        <f t="shared" si="27"/>
        <v>0.64506816359262231</v>
      </c>
      <c r="I164" s="41">
        <v>2252</v>
      </c>
      <c r="J164" s="33">
        <f t="shared" si="28"/>
        <v>204.72727272727272</v>
      </c>
      <c r="K164" s="33">
        <f t="shared" si="29"/>
        <v>132.1</v>
      </c>
      <c r="L164" s="33">
        <f t="shared" si="30"/>
        <v>-72.627272727272725</v>
      </c>
      <c r="M164" s="33">
        <v>66.7</v>
      </c>
      <c r="N164" s="33">
        <f t="shared" si="31"/>
        <v>198.8</v>
      </c>
      <c r="O164" s="67"/>
      <c r="P164" s="67"/>
      <c r="Q164" s="68"/>
      <c r="R164" s="68"/>
      <c r="S164" s="33">
        <f t="shared" si="32"/>
        <v>198.8</v>
      </c>
      <c r="T164" s="33"/>
      <c r="U164" s="33">
        <f t="shared" si="33"/>
        <v>198.8</v>
      </c>
      <c r="V164" s="1"/>
      <c r="W164" s="60"/>
      <c r="X164" s="1"/>
      <c r="Y164" s="1"/>
      <c r="Z164" s="60"/>
      <c r="AA164" s="60"/>
      <c r="AB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9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9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9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9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9"/>
      <c r="FG164" s="8"/>
      <c r="FH164" s="8"/>
    </row>
    <row r="165" spans="1:164" s="2" customFormat="1" ht="17.100000000000001" customHeight="1">
      <c r="A165" s="13" t="s">
        <v>149</v>
      </c>
      <c r="B165" s="56">
        <v>401.3</v>
      </c>
      <c r="C165" s="56">
        <v>435.4</v>
      </c>
      <c r="D165" s="4">
        <f t="shared" si="26"/>
        <v>1.0849738350361324</v>
      </c>
      <c r="E165" s="10">
        <v>15</v>
      </c>
      <c r="F165" s="5">
        <v>1</v>
      </c>
      <c r="G165" s="5">
        <v>10</v>
      </c>
      <c r="H165" s="40">
        <f t="shared" si="27"/>
        <v>1.0509843010216795</v>
      </c>
      <c r="I165" s="41">
        <v>3969</v>
      </c>
      <c r="J165" s="33">
        <f t="shared" si="28"/>
        <v>360.81818181818181</v>
      </c>
      <c r="K165" s="33">
        <f t="shared" si="29"/>
        <v>379.2</v>
      </c>
      <c r="L165" s="33">
        <f t="shared" si="30"/>
        <v>18.381818181818176</v>
      </c>
      <c r="M165" s="33">
        <v>60.7</v>
      </c>
      <c r="N165" s="33">
        <f t="shared" si="31"/>
        <v>439.9</v>
      </c>
      <c r="O165" s="67"/>
      <c r="P165" s="67"/>
      <c r="Q165" s="68"/>
      <c r="R165" s="68"/>
      <c r="S165" s="33">
        <f t="shared" si="32"/>
        <v>439.9</v>
      </c>
      <c r="T165" s="33"/>
      <c r="U165" s="33">
        <f t="shared" si="33"/>
        <v>439.9</v>
      </c>
      <c r="V165" s="1"/>
      <c r="W165" s="60"/>
      <c r="X165" s="1"/>
      <c r="Y165" s="1"/>
      <c r="Z165" s="60"/>
      <c r="AA165" s="60"/>
      <c r="AB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9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9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9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9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9"/>
      <c r="FG165" s="8"/>
      <c r="FH165" s="8"/>
    </row>
    <row r="166" spans="1:164" s="2" customFormat="1" ht="17.100000000000001" customHeight="1">
      <c r="A166" s="13" t="s">
        <v>150</v>
      </c>
      <c r="B166" s="56">
        <v>195.9</v>
      </c>
      <c r="C166" s="56">
        <v>186.6</v>
      </c>
      <c r="D166" s="4">
        <f t="shared" si="26"/>
        <v>0.95252679938744256</v>
      </c>
      <c r="E166" s="10">
        <v>15</v>
      </c>
      <c r="F166" s="5">
        <v>1</v>
      </c>
      <c r="G166" s="5">
        <v>10</v>
      </c>
      <c r="H166" s="40">
        <f t="shared" si="27"/>
        <v>0.97151607963246567</v>
      </c>
      <c r="I166" s="41">
        <v>3142</v>
      </c>
      <c r="J166" s="33">
        <f t="shared" si="28"/>
        <v>285.63636363636363</v>
      </c>
      <c r="K166" s="33">
        <f t="shared" si="29"/>
        <v>277.5</v>
      </c>
      <c r="L166" s="33">
        <f t="shared" si="30"/>
        <v>-8.136363636363626</v>
      </c>
      <c r="M166" s="33">
        <v>50.9</v>
      </c>
      <c r="N166" s="33">
        <f t="shared" si="31"/>
        <v>328.4</v>
      </c>
      <c r="O166" s="67"/>
      <c r="P166" s="67"/>
      <c r="Q166" s="68"/>
      <c r="R166" s="68"/>
      <c r="S166" s="33">
        <f t="shared" si="32"/>
        <v>328.4</v>
      </c>
      <c r="T166" s="33"/>
      <c r="U166" s="33">
        <f t="shared" si="33"/>
        <v>328.4</v>
      </c>
      <c r="V166" s="1"/>
      <c r="W166" s="60"/>
      <c r="X166" s="1"/>
      <c r="Y166" s="1"/>
      <c r="Z166" s="60"/>
      <c r="AA166" s="60"/>
      <c r="AB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9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9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9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9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9"/>
      <c r="FG166" s="8"/>
      <c r="FH166" s="8"/>
    </row>
    <row r="167" spans="1:164" s="2" customFormat="1" ht="17.100000000000001" customHeight="1">
      <c r="A167" s="13" t="s">
        <v>151</v>
      </c>
      <c r="B167" s="56">
        <v>268.2</v>
      </c>
      <c r="C167" s="56">
        <v>190.6</v>
      </c>
      <c r="D167" s="4">
        <f t="shared" si="26"/>
        <v>0.71066368381804623</v>
      </c>
      <c r="E167" s="10">
        <v>15</v>
      </c>
      <c r="F167" s="5">
        <v>1</v>
      </c>
      <c r="G167" s="5">
        <v>10</v>
      </c>
      <c r="H167" s="40">
        <f t="shared" si="27"/>
        <v>0.82639821029082783</v>
      </c>
      <c r="I167" s="41">
        <v>1244</v>
      </c>
      <c r="J167" s="33">
        <f t="shared" si="28"/>
        <v>113.09090909090909</v>
      </c>
      <c r="K167" s="33">
        <f t="shared" si="29"/>
        <v>93.5</v>
      </c>
      <c r="L167" s="33">
        <f t="shared" si="30"/>
        <v>-19.590909090909093</v>
      </c>
      <c r="M167" s="33">
        <v>16</v>
      </c>
      <c r="N167" s="33">
        <f t="shared" si="31"/>
        <v>109.5</v>
      </c>
      <c r="O167" s="67"/>
      <c r="P167" s="67"/>
      <c r="Q167" s="68"/>
      <c r="R167" s="68"/>
      <c r="S167" s="33">
        <f t="shared" si="32"/>
        <v>109.5</v>
      </c>
      <c r="T167" s="33"/>
      <c r="U167" s="33">
        <f t="shared" si="33"/>
        <v>109.5</v>
      </c>
      <c r="V167" s="1"/>
      <c r="W167" s="60"/>
      <c r="X167" s="1"/>
      <c r="Y167" s="1"/>
      <c r="Z167" s="60"/>
      <c r="AA167" s="60"/>
      <c r="AB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9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9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9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9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9"/>
      <c r="FG167" s="8"/>
      <c r="FH167" s="8"/>
    </row>
    <row r="168" spans="1:164" s="2" customFormat="1" ht="17.100000000000001" customHeight="1">
      <c r="A168" s="13" t="s">
        <v>152</v>
      </c>
      <c r="B168" s="56">
        <v>2400.3000000000002</v>
      </c>
      <c r="C168" s="56">
        <v>1127.4000000000001</v>
      </c>
      <c r="D168" s="4">
        <f t="shared" si="26"/>
        <v>0.46969128858892639</v>
      </c>
      <c r="E168" s="10">
        <v>15</v>
      </c>
      <c r="F168" s="5">
        <v>1</v>
      </c>
      <c r="G168" s="5">
        <v>10</v>
      </c>
      <c r="H168" s="40">
        <f t="shared" si="27"/>
        <v>0.68181477315335581</v>
      </c>
      <c r="I168" s="41">
        <v>2447</v>
      </c>
      <c r="J168" s="33">
        <f t="shared" si="28"/>
        <v>222.45454545454547</v>
      </c>
      <c r="K168" s="33">
        <f t="shared" si="29"/>
        <v>151.69999999999999</v>
      </c>
      <c r="L168" s="33">
        <f t="shared" si="30"/>
        <v>-70.754545454545479</v>
      </c>
      <c r="M168" s="33">
        <v>44.9</v>
      </c>
      <c r="N168" s="33">
        <f t="shared" si="31"/>
        <v>196.6</v>
      </c>
      <c r="O168" s="67"/>
      <c r="P168" s="67"/>
      <c r="Q168" s="68"/>
      <c r="R168" s="68"/>
      <c r="S168" s="33">
        <f t="shared" si="32"/>
        <v>196.6</v>
      </c>
      <c r="T168" s="33"/>
      <c r="U168" s="33">
        <f t="shared" si="33"/>
        <v>196.6</v>
      </c>
      <c r="V168" s="1"/>
      <c r="W168" s="60"/>
      <c r="X168" s="1"/>
      <c r="Y168" s="1"/>
      <c r="Z168" s="60"/>
      <c r="AA168" s="60"/>
      <c r="AB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9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9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9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9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9"/>
      <c r="FG168" s="8"/>
      <c r="FH168" s="8"/>
    </row>
    <row r="169" spans="1:164" s="2" customFormat="1" ht="17.100000000000001" customHeight="1">
      <c r="A169" s="17" t="s">
        <v>153</v>
      </c>
      <c r="B169" s="57"/>
      <c r="C169" s="57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33"/>
      <c r="V169" s="1"/>
      <c r="W169" s="60"/>
      <c r="X169" s="1"/>
      <c r="Y169" s="1"/>
      <c r="Z169" s="60"/>
      <c r="AA169" s="60"/>
      <c r="AB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9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9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9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9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9"/>
      <c r="FG169" s="8"/>
      <c r="FH169" s="8"/>
    </row>
    <row r="170" spans="1:164" s="2" customFormat="1" ht="17.100000000000001" customHeight="1">
      <c r="A170" s="13" t="s">
        <v>68</v>
      </c>
      <c r="B170" s="56">
        <v>100.9</v>
      </c>
      <c r="C170" s="56">
        <v>178.5</v>
      </c>
      <c r="D170" s="4">
        <f t="shared" si="26"/>
        <v>1.2569078295341922</v>
      </c>
      <c r="E170" s="10">
        <v>15</v>
      </c>
      <c r="F170" s="5">
        <v>1</v>
      </c>
      <c r="G170" s="5">
        <v>10</v>
      </c>
      <c r="H170" s="40">
        <f t="shared" si="27"/>
        <v>1.1541446977205154</v>
      </c>
      <c r="I170" s="41">
        <v>2838</v>
      </c>
      <c r="J170" s="33">
        <f t="shared" si="28"/>
        <v>258</v>
      </c>
      <c r="K170" s="33">
        <f t="shared" si="29"/>
        <v>297.8</v>
      </c>
      <c r="L170" s="33">
        <f t="shared" si="30"/>
        <v>39.800000000000011</v>
      </c>
      <c r="M170" s="33">
        <v>-144.1</v>
      </c>
      <c r="N170" s="33">
        <f t="shared" si="31"/>
        <v>153.69999999999999</v>
      </c>
      <c r="O170" s="67"/>
      <c r="P170" s="67"/>
      <c r="Q170" s="68"/>
      <c r="R170" s="68"/>
      <c r="S170" s="33">
        <f t="shared" si="32"/>
        <v>153.69999999999999</v>
      </c>
      <c r="T170" s="33"/>
      <c r="U170" s="33">
        <f t="shared" si="33"/>
        <v>153.69999999999999</v>
      </c>
      <c r="V170" s="1"/>
      <c r="W170" s="60"/>
      <c r="X170" s="1"/>
      <c r="Y170" s="1"/>
      <c r="Z170" s="60"/>
      <c r="AA170" s="60"/>
      <c r="AB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9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9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9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9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9"/>
      <c r="FG170" s="8"/>
      <c r="FH170" s="8"/>
    </row>
    <row r="171" spans="1:164" s="2" customFormat="1" ht="17.100000000000001" customHeight="1">
      <c r="A171" s="13" t="s">
        <v>154</v>
      </c>
      <c r="B171" s="56">
        <v>211.6</v>
      </c>
      <c r="C171" s="56">
        <v>245.6</v>
      </c>
      <c r="D171" s="4">
        <f t="shared" si="26"/>
        <v>1.1606805293005671</v>
      </c>
      <c r="E171" s="10">
        <v>15</v>
      </c>
      <c r="F171" s="5">
        <v>1</v>
      </c>
      <c r="G171" s="5">
        <v>10</v>
      </c>
      <c r="H171" s="40">
        <f t="shared" si="27"/>
        <v>1.0964083175803403</v>
      </c>
      <c r="I171" s="41">
        <v>2174</v>
      </c>
      <c r="J171" s="33">
        <f t="shared" si="28"/>
        <v>197.63636363636363</v>
      </c>
      <c r="K171" s="33">
        <f t="shared" si="29"/>
        <v>216.7</v>
      </c>
      <c r="L171" s="33">
        <f t="shared" si="30"/>
        <v>19.063636363636363</v>
      </c>
      <c r="M171" s="33">
        <v>-100.4</v>
      </c>
      <c r="N171" s="33">
        <f t="shared" si="31"/>
        <v>116.3</v>
      </c>
      <c r="O171" s="67"/>
      <c r="P171" s="67"/>
      <c r="Q171" s="68"/>
      <c r="R171" s="68"/>
      <c r="S171" s="33">
        <f t="shared" si="32"/>
        <v>116.3</v>
      </c>
      <c r="T171" s="33"/>
      <c r="U171" s="33">
        <f t="shared" si="33"/>
        <v>116.3</v>
      </c>
      <c r="V171" s="1"/>
      <c r="W171" s="60"/>
      <c r="X171" s="1"/>
      <c r="Y171" s="1"/>
      <c r="Z171" s="60"/>
      <c r="AA171" s="60"/>
      <c r="AB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9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9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9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9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9"/>
      <c r="FG171" s="8"/>
      <c r="FH171" s="8"/>
    </row>
    <row r="172" spans="1:164" s="2" customFormat="1" ht="17.100000000000001" customHeight="1">
      <c r="A172" s="13" t="s">
        <v>155</v>
      </c>
      <c r="B172" s="56">
        <v>218.8</v>
      </c>
      <c r="C172" s="56">
        <v>363.4</v>
      </c>
      <c r="D172" s="4">
        <f t="shared" si="26"/>
        <v>1.246087751371115</v>
      </c>
      <c r="E172" s="10">
        <v>15</v>
      </c>
      <c r="F172" s="5">
        <v>1</v>
      </c>
      <c r="G172" s="5">
        <v>10</v>
      </c>
      <c r="H172" s="40">
        <f t="shared" si="27"/>
        <v>1.147652650822669</v>
      </c>
      <c r="I172" s="41">
        <v>3290</v>
      </c>
      <c r="J172" s="33">
        <f t="shared" si="28"/>
        <v>299.09090909090907</v>
      </c>
      <c r="K172" s="33">
        <f t="shared" si="29"/>
        <v>343.3</v>
      </c>
      <c r="L172" s="33">
        <f t="shared" si="30"/>
        <v>44.209090909090946</v>
      </c>
      <c r="M172" s="33">
        <v>-207.8</v>
      </c>
      <c r="N172" s="33">
        <f t="shared" si="31"/>
        <v>135.5</v>
      </c>
      <c r="O172" s="67"/>
      <c r="P172" s="67"/>
      <c r="Q172" s="68"/>
      <c r="R172" s="68"/>
      <c r="S172" s="33">
        <f t="shared" si="32"/>
        <v>135.5</v>
      </c>
      <c r="T172" s="33"/>
      <c r="U172" s="33">
        <f t="shared" si="33"/>
        <v>135.5</v>
      </c>
      <c r="V172" s="1"/>
      <c r="W172" s="60"/>
      <c r="X172" s="1"/>
      <c r="Y172" s="1"/>
      <c r="Z172" s="60"/>
      <c r="AA172" s="60"/>
      <c r="AB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9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9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9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9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9"/>
      <c r="FG172" s="8"/>
      <c r="FH172" s="8"/>
    </row>
    <row r="173" spans="1:164" s="2" customFormat="1" ht="17.100000000000001" customHeight="1">
      <c r="A173" s="13" t="s">
        <v>156</v>
      </c>
      <c r="B173" s="56">
        <v>582.29999999999995</v>
      </c>
      <c r="C173" s="56">
        <v>719.7</v>
      </c>
      <c r="D173" s="4">
        <f t="shared" si="26"/>
        <v>1.2035960844925295</v>
      </c>
      <c r="E173" s="10">
        <v>15</v>
      </c>
      <c r="F173" s="5">
        <v>1</v>
      </c>
      <c r="G173" s="5">
        <v>10</v>
      </c>
      <c r="H173" s="40">
        <f t="shared" si="27"/>
        <v>1.1221576506955175</v>
      </c>
      <c r="I173" s="41">
        <v>3280</v>
      </c>
      <c r="J173" s="33">
        <f t="shared" si="28"/>
        <v>298.18181818181819</v>
      </c>
      <c r="K173" s="33">
        <f t="shared" si="29"/>
        <v>334.6</v>
      </c>
      <c r="L173" s="33">
        <f t="shared" si="30"/>
        <v>36.418181818181836</v>
      </c>
      <c r="M173" s="33">
        <v>-157.69999999999999</v>
      </c>
      <c r="N173" s="33">
        <f t="shared" si="31"/>
        <v>176.9</v>
      </c>
      <c r="O173" s="67"/>
      <c r="P173" s="67"/>
      <c r="Q173" s="68"/>
      <c r="R173" s="68"/>
      <c r="S173" s="33">
        <f t="shared" si="32"/>
        <v>176.9</v>
      </c>
      <c r="T173" s="33"/>
      <c r="U173" s="33">
        <f t="shared" si="33"/>
        <v>176.9</v>
      </c>
      <c r="V173" s="1"/>
      <c r="W173" s="60"/>
      <c r="X173" s="1"/>
      <c r="Y173" s="1"/>
      <c r="Z173" s="60"/>
      <c r="AA173" s="60"/>
      <c r="AB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9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9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9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9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9"/>
      <c r="FG173" s="8"/>
      <c r="FH173" s="8"/>
    </row>
    <row r="174" spans="1:164" s="2" customFormat="1" ht="17.100000000000001" customHeight="1">
      <c r="A174" s="13" t="s">
        <v>157</v>
      </c>
      <c r="B174" s="56">
        <v>3763.9</v>
      </c>
      <c r="C174" s="56">
        <v>3208.2</v>
      </c>
      <c r="D174" s="4">
        <f t="shared" si="26"/>
        <v>0.85236058343739196</v>
      </c>
      <c r="E174" s="10">
        <v>15</v>
      </c>
      <c r="F174" s="5">
        <v>1</v>
      </c>
      <c r="G174" s="5">
        <v>10</v>
      </c>
      <c r="H174" s="40">
        <f t="shared" si="27"/>
        <v>0.91141635006243515</v>
      </c>
      <c r="I174" s="41">
        <v>1957</v>
      </c>
      <c r="J174" s="33">
        <f t="shared" si="28"/>
        <v>177.90909090909091</v>
      </c>
      <c r="K174" s="33">
        <f t="shared" si="29"/>
        <v>162.1</v>
      </c>
      <c r="L174" s="33">
        <f t="shared" si="30"/>
        <v>-15.809090909090912</v>
      </c>
      <c r="M174" s="33">
        <v>-108.5</v>
      </c>
      <c r="N174" s="33">
        <f t="shared" si="31"/>
        <v>53.6</v>
      </c>
      <c r="O174" s="67"/>
      <c r="P174" s="67"/>
      <c r="Q174" s="68"/>
      <c r="R174" s="68"/>
      <c r="S174" s="33">
        <f t="shared" si="32"/>
        <v>53.6</v>
      </c>
      <c r="T174" s="33"/>
      <c r="U174" s="33">
        <f t="shared" si="33"/>
        <v>53.6</v>
      </c>
      <c r="V174" s="1"/>
      <c r="W174" s="60"/>
      <c r="X174" s="1"/>
      <c r="Y174" s="1"/>
      <c r="Z174" s="60"/>
      <c r="AA174" s="60"/>
      <c r="AB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9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9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9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9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9"/>
      <c r="FG174" s="8"/>
      <c r="FH174" s="8"/>
    </row>
    <row r="175" spans="1:164" s="2" customFormat="1" ht="17.100000000000001" customHeight="1">
      <c r="A175" s="13" t="s">
        <v>158</v>
      </c>
      <c r="B175" s="56">
        <v>287.39999999999998</v>
      </c>
      <c r="C175" s="56">
        <v>146.5</v>
      </c>
      <c r="D175" s="4">
        <f t="shared" si="26"/>
        <v>0.50974251913709123</v>
      </c>
      <c r="E175" s="10">
        <v>15</v>
      </c>
      <c r="F175" s="5">
        <v>1</v>
      </c>
      <c r="G175" s="5">
        <v>10</v>
      </c>
      <c r="H175" s="40">
        <f t="shared" si="27"/>
        <v>0.70584551148225472</v>
      </c>
      <c r="I175" s="41">
        <v>1988</v>
      </c>
      <c r="J175" s="33">
        <f t="shared" si="28"/>
        <v>180.72727272727272</v>
      </c>
      <c r="K175" s="33">
        <f t="shared" si="29"/>
        <v>127.6</v>
      </c>
      <c r="L175" s="33">
        <f t="shared" si="30"/>
        <v>-53.127272727272725</v>
      </c>
      <c r="M175" s="33">
        <v>-123.6</v>
      </c>
      <c r="N175" s="33">
        <f t="shared" si="31"/>
        <v>4</v>
      </c>
      <c r="O175" s="67"/>
      <c r="P175" s="67"/>
      <c r="Q175" s="68"/>
      <c r="R175" s="68"/>
      <c r="S175" s="33">
        <f t="shared" si="32"/>
        <v>4</v>
      </c>
      <c r="T175" s="33"/>
      <c r="U175" s="33">
        <f t="shared" si="33"/>
        <v>4</v>
      </c>
      <c r="V175" s="1"/>
      <c r="W175" s="60"/>
      <c r="X175" s="1"/>
      <c r="Y175" s="1"/>
      <c r="Z175" s="60"/>
      <c r="AA175" s="60"/>
      <c r="AB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9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9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9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9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9"/>
      <c r="FG175" s="8"/>
      <c r="FH175" s="8"/>
    </row>
    <row r="176" spans="1:164" s="2" customFormat="1" ht="17.100000000000001" customHeight="1">
      <c r="A176" s="13" t="s">
        <v>159</v>
      </c>
      <c r="B176" s="56">
        <v>892</v>
      </c>
      <c r="C176" s="56">
        <v>998.2</v>
      </c>
      <c r="D176" s="4">
        <f t="shared" si="26"/>
        <v>1.1190582959641255</v>
      </c>
      <c r="E176" s="10">
        <v>15</v>
      </c>
      <c r="F176" s="5">
        <v>1</v>
      </c>
      <c r="G176" s="5">
        <v>10</v>
      </c>
      <c r="H176" s="40">
        <f t="shared" si="27"/>
        <v>1.0714349775784753</v>
      </c>
      <c r="I176" s="41">
        <v>2485</v>
      </c>
      <c r="J176" s="33">
        <f t="shared" si="28"/>
        <v>225.90909090909091</v>
      </c>
      <c r="K176" s="33">
        <f t="shared" si="29"/>
        <v>242</v>
      </c>
      <c r="L176" s="33">
        <f t="shared" si="30"/>
        <v>16.090909090909093</v>
      </c>
      <c r="M176" s="33">
        <v>-132.1</v>
      </c>
      <c r="N176" s="33">
        <f t="shared" si="31"/>
        <v>109.9</v>
      </c>
      <c r="O176" s="67"/>
      <c r="P176" s="67"/>
      <c r="Q176" s="68"/>
      <c r="R176" s="68"/>
      <c r="S176" s="33">
        <f t="shared" si="32"/>
        <v>109.9</v>
      </c>
      <c r="T176" s="33"/>
      <c r="U176" s="33">
        <f t="shared" si="33"/>
        <v>109.9</v>
      </c>
      <c r="V176" s="1"/>
      <c r="W176" s="60"/>
      <c r="X176" s="1"/>
      <c r="Y176" s="1"/>
      <c r="Z176" s="60"/>
      <c r="AA176" s="60"/>
      <c r="AB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9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9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9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9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9"/>
      <c r="FG176" s="8"/>
      <c r="FH176" s="8"/>
    </row>
    <row r="177" spans="1:164" s="2" customFormat="1" ht="17.100000000000001" customHeight="1">
      <c r="A177" s="13" t="s">
        <v>160</v>
      </c>
      <c r="B177" s="56">
        <v>280.7</v>
      </c>
      <c r="C177" s="56">
        <v>222</v>
      </c>
      <c r="D177" s="4">
        <f t="shared" si="26"/>
        <v>0.79087994299964381</v>
      </c>
      <c r="E177" s="10">
        <v>15</v>
      </c>
      <c r="F177" s="5">
        <v>1</v>
      </c>
      <c r="G177" s="5">
        <v>10</v>
      </c>
      <c r="H177" s="40">
        <f t="shared" si="27"/>
        <v>0.87452796579978642</v>
      </c>
      <c r="I177" s="41">
        <v>1727</v>
      </c>
      <c r="J177" s="33">
        <f t="shared" si="28"/>
        <v>157</v>
      </c>
      <c r="K177" s="33">
        <f t="shared" si="29"/>
        <v>137.30000000000001</v>
      </c>
      <c r="L177" s="33">
        <f t="shared" si="30"/>
        <v>-19.699999999999989</v>
      </c>
      <c r="M177" s="33">
        <v>-93.5</v>
      </c>
      <c r="N177" s="33">
        <f t="shared" si="31"/>
        <v>43.8</v>
      </c>
      <c r="O177" s="67"/>
      <c r="P177" s="67"/>
      <c r="Q177" s="68"/>
      <c r="R177" s="68"/>
      <c r="S177" s="33">
        <f t="shared" si="32"/>
        <v>43.8</v>
      </c>
      <c r="T177" s="33"/>
      <c r="U177" s="33">
        <f t="shared" si="33"/>
        <v>43.8</v>
      </c>
      <c r="V177" s="1"/>
      <c r="W177" s="60"/>
      <c r="X177" s="1"/>
      <c r="Y177" s="1"/>
      <c r="Z177" s="60"/>
      <c r="AA177" s="60"/>
      <c r="AB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9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9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9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9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9"/>
      <c r="FG177" s="8"/>
      <c r="FH177" s="8"/>
    </row>
    <row r="178" spans="1:164" s="2" customFormat="1" ht="17.100000000000001" customHeight="1">
      <c r="A178" s="13" t="s">
        <v>161</v>
      </c>
      <c r="B178" s="56">
        <v>64.599999999999994</v>
      </c>
      <c r="C178" s="56">
        <v>61.2</v>
      </c>
      <c r="D178" s="4">
        <f t="shared" si="26"/>
        <v>0.94736842105263175</v>
      </c>
      <c r="E178" s="10">
        <v>15</v>
      </c>
      <c r="F178" s="5">
        <v>1</v>
      </c>
      <c r="G178" s="5">
        <v>10</v>
      </c>
      <c r="H178" s="40">
        <f t="shared" si="27"/>
        <v>0.96842105263157907</v>
      </c>
      <c r="I178" s="41">
        <v>2135</v>
      </c>
      <c r="J178" s="33">
        <f t="shared" si="28"/>
        <v>194.09090909090909</v>
      </c>
      <c r="K178" s="33">
        <f t="shared" si="29"/>
        <v>188</v>
      </c>
      <c r="L178" s="33">
        <f t="shared" si="30"/>
        <v>-6.0909090909090935</v>
      </c>
      <c r="M178" s="33">
        <v>-102.8</v>
      </c>
      <c r="N178" s="33">
        <f t="shared" si="31"/>
        <v>85.2</v>
      </c>
      <c r="O178" s="67"/>
      <c r="P178" s="67"/>
      <c r="Q178" s="68"/>
      <c r="R178" s="68"/>
      <c r="S178" s="33">
        <f t="shared" si="32"/>
        <v>85.2</v>
      </c>
      <c r="T178" s="33"/>
      <c r="U178" s="33">
        <f t="shared" si="33"/>
        <v>85.2</v>
      </c>
      <c r="V178" s="1"/>
      <c r="W178" s="60"/>
      <c r="X178" s="1"/>
      <c r="Y178" s="1"/>
      <c r="Z178" s="60"/>
      <c r="AA178" s="60"/>
      <c r="AB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9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9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9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9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9"/>
      <c r="FG178" s="8"/>
      <c r="FH178" s="8"/>
    </row>
    <row r="179" spans="1:164" s="2" customFormat="1" ht="17.100000000000001" customHeight="1">
      <c r="A179" s="13" t="s">
        <v>96</v>
      </c>
      <c r="B179" s="56">
        <v>252.1</v>
      </c>
      <c r="C179" s="56">
        <v>137</v>
      </c>
      <c r="D179" s="4">
        <f t="shared" si="26"/>
        <v>0.54343514478381594</v>
      </c>
      <c r="E179" s="10">
        <v>15</v>
      </c>
      <c r="F179" s="5">
        <v>1</v>
      </c>
      <c r="G179" s="5">
        <v>10</v>
      </c>
      <c r="H179" s="40">
        <f t="shared" si="27"/>
        <v>0.72606108687028947</v>
      </c>
      <c r="I179" s="41">
        <v>2354</v>
      </c>
      <c r="J179" s="33">
        <f t="shared" si="28"/>
        <v>214</v>
      </c>
      <c r="K179" s="33">
        <f t="shared" si="29"/>
        <v>155.4</v>
      </c>
      <c r="L179" s="33">
        <f t="shared" si="30"/>
        <v>-58.599999999999994</v>
      </c>
      <c r="M179" s="33">
        <v>-113.7</v>
      </c>
      <c r="N179" s="33">
        <f t="shared" si="31"/>
        <v>41.7</v>
      </c>
      <c r="O179" s="67"/>
      <c r="P179" s="67"/>
      <c r="Q179" s="68"/>
      <c r="R179" s="68"/>
      <c r="S179" s="33">
        <f t="shared" si="32"/>
        <v>41.7</v>
      </c>
      <c r="T179" s="33"/>
      <c r="U179" s="33">
        <f t="shared" si="33"/>
        <v>41.7</v>
      </c>
      <c r="V179" s="1"/>
      <c r="W179" s="60"/>
      <c r="X179" s="1"/>
      <c r="Y179" s="1"/>
      <c r="Z179" s="60"/>
      <c r="AA179" s="60"/>
      <c r="AB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9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9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9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9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9"/>
      <c r="FG179" s="8"/>
      <c r="FH179" s="8"/>
    </row>
    <row r="180" spans="1:164" s="2" customFormat="1" ht="17.100000000000001" customHeight="1">
      <c r="A180" s="13" t="s">
        <v>162</v>
      </c>
      <c r="B180" s="56">
        <v>501.1</v>
      </c>
      <c r="C180" s="56">
        <v>59</v>
      </c>
      <c r="D180" s="4">
        <f t="shared" si="26"/>
        <v>0.11774096986629415</v>
      </c>
      <c r="E180" s="10">
        <v>15</v>
      </c>
      <c r="F180" s="5">
        <v>1</v>
      </c>
      <c r="G180" s="5">
        <v>10</v>
      </c>
      <c r="H180" s="40">
        <f t="shared" si="27"/>
        <v>0.47064458191977648</v>
      </c>
      <c r="I180" s="41">
        <v>2790</v>
      </c>
      <c r="J180" s="33">
        <f t="shared" si="28"/>
        <v>253.63636363636363</v>
      </c>
      <c r="K180" s="33">
        <f t="shared" si="29"/>
        <v>119.4</v>
      </c>
      <c r="L180" s="33">
        <f t="shared" si="30"/>
        <v>-134.23636363636362</v>
      </c>
      <c r="M180" s="33">
        <v>-123.5</v>
      </c>
      <c r="N180" s="33">
        <f t="shared" si="31"/>
        <v>0</v>
      </c>
      <c r="O180" s="67"/>
      <c r="P180" s="67"/>
      <c r="Q180" s="68"/>
      <c r="R180" s="68"/>
      <c r="S180" s="33">
        <f t="shared" si="32"/>
        <v>0</v>
      </c>
      <c r="T180" s="33"/>
      <c r="U180" s="33">
        <f t="shared" si="33"/>
        <v>0</v>
      </c>
      <c r="V180" s="1"/>
      <c r="W180" s="60"/>
      <c r="X180" s="1"/>
      <c r="Y180" s="1"/>
      <c r="Z180" s="60"/>
      <c r="AA180" s="60"/>
      <c r="AB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9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9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9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9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9"/>
      <c r="FG180" s="8"/>
      <c r="FH180" s="8"/>
    </row>
    <row r="181" spans="1:164" s="2" customFormat="1" ht="17.100000000000001" customHeight="1">
      <c r="A181" s="13" t="s">
        <v>163</v>
      </c>
      <c r="B181" s="56">
        <v>453</v>
      </c>
      <c r="C181" s="56">
        <v>515.70000000000005</v>
      </c>
      <c r="D181" s="4">
        <f t="shared" si="26"/>
        <v>1.1384105960264901</v>
      </c>
      <c r="E181" s="10">
        <v>15</v>
      </c>
      <c r="F181" s="5">
        <v>1</v>
      </c>
      <c r="G181" s="5">
        <v>10</v>
      </c>
      <c r="H181" s="40">
        <f t="shared" si="27"/>
        <v>1.0830463576158942</v>
      </c>
      <c r="I181" s="41">
        <v>4642</v>
      </c>
      <c r="J181" s="33">
        <f t="shared" si="28"/>
        <v>422</v>
      </c>
      <c r="K181" s="33">
        <f t="shared" si="29"/>
        <v>457</v>
      </c>
      <c r="L181" s="33">
        <f t="shared" si="30"/>
        <v>35</v>
      </c>
      <c r="M181" s="33">
        <v>-233.4</v>
      </c>
      <c r="N181" s="33">
        <f t="shared" si="31"/>
        <v>223.6</v>
      </c>
      <c r="O181" s="67"/>
      <c r="P181" s="67"/>
      <c r="Q181" s="68"/>
      <c r="R181" s="68"/>
      <c r="S181" s="33">
        <f t="shared" si="32"/>
        <v>223.6</v>
      </c>
      <c r="T181" s="33"/>
      <c r="U181" s="33">
        <f t="shared" si="33"/>
        <v>223.6</v>
      </c>
      <c r="V181" s="1"/>
      <c r="W181" s="60"/>
      <c r="X181" s="1"/>
      <c r="Y181" s="1"/>
      <c r="Z181" s="60"/>
      <c r="AA181" s="60"/>
      <c r="AB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9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9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9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9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9"/>
      <c r="FG181" s="8"/>
      <c r="FH181" s="8"/>
    </row>
    <row r="182" spans="1:164" s="2" customFormat="1" ht="17.100000000000001" customHeight="1">
      <c r="A182" s="13" t="s">
        <v>164</v>
      </c>
      <c r="B182" s="56">
        <v>316.8</v>
      </c>
      <c r="C182" s="56">
        <v>252.3</v>
      </c>
      <c r="D182" s="4">
        <f t="shared" si="26"/>
        <v>0.79640151515151514</v>
      </c>
      <c r="E182" s="10">
        <v>15</v>
      </c>
      <c r="F182" s="5">
        <v>1</v>
      </c>
      <c r="G182" s="5">
        <v>10</v>
      </c>
      <c r="H182" s="40">
        <f t="shared" si="27"/>
        <v>0.87784090909090906</v>
      </c>
      <c r="I182" s="41">
        <v>2651</v>
      </c>
      <c r="J182" s="33">
        <f t="shared" si="28"/>
        <v>241</v>
      </c>
      <c r="K182" s="33">
        <f t="shared" si="29"/>
        <v>211.6</v>
      </c>
      <c r="L182" s="33">
        <f t="shared" si="30"/>
        <v>-29.400000000000006</v>
      </c>
      <c r="M182" s="33">
        <v>-143.30000000000001</v>
      </c>
      <c r="N182" s="33">
        <f t="shared" si="31"/>
        <v>68.3</v>
      </c>
      <c r="O182" s="67"/>
      <c r="P182" s="67"/>
      <c r="Q182" s="68"/>
      <c r="R182" s="68"/>
      <c r="S182" s="33">
        <f t="shared" si="32"/>
        <v>68.3</v>
      </c>
      <c r="T182" s="33"/>
      <c r="U182" s="33">
        <f t="shared" si="33"/>
        <v>68.3</v>
      </c>
      <c r="V182" s="1"/>
      <c r="W182" s="60"/>
      <c r="X182" s="1"/>
      <c r="Y182" s="1"/>
      <c r="Z182" s="60"/>
      <c r="AA182" s="60"/>
      <c r="AB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9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9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9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9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9"/>
      <c r="FG182" s="8"/>
      <c r="FH182" s="8"/>
    </row>
    <row r="183" spans="1:164" s="2" customFormat="1" ht="17.100000000000001" customHeight="1">
      <c r="A183" s="17" t="s">
        <v>165</v>
      </c>
      <c r="B183" s="57"/>
      <c r="C183" s="57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33"/>
      <c r="V183" s="1"/>
      <c r="W183" s="60"/>
      <c r="X183" s="1"/>
      <c r="Y183" s="1"/>
      <c r="Z183" s="60"/>
      <c r="AA183" s="60"/>
      <c r="AB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9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9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9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9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9"/>
      <c r="FG183" s="8"/>
      <c r="FH183" s="8"/>
    </row>
    <row r="184" spans="1:164" s="2" customFormat="1" ht="17.100000000000001" customHeight="1">
      <c r="A184" s="13" t="s">
        <v>166</v>
      </c>
      <c r="B184" s="56">
        <v>138</v>
      </c>
      <c r="C184" s="56">
        <v>75.599999999999994</v>
      </c>
      <c r="D184" s="4">
        <f t="shared" si="26"/>
        <v>0.54782608695652169</v>
      </c>
      <c r="E184" s="10">
        <v>15</v>
      </c>
      <c r="F184" s="5">
        <v>1</v>
      </c>
      <c r="G184" s="5">
        <v>10</v>
      </c>
      <c r="H184" s="40">
        <f t="shared" si="27"/>
        <v>0.72869565217391297</v>
      </c>
      <c r="I184" s="41">
        <v>1692</v>
      </c>
      <c r="J184" s="33">
        <f t="shared" si="28"/>
        <v>153.81818181818181</v>
      </c>
      <c r="K184" s="33">
        <f t="shared" si="29"/>
        <v>112.1</v>
      </c>
      <c r="L184" s="33">
        <f t="shared" si="30"/>
        <v>-41.718181818181819</v>
      </c>
      <c r="M184" s="33">
        <v>29.8</v>
      </c>
      <c r="N184" s="33">
        <f t="shared" si="31"/>
        <v>141.9</v>
      </c>
      <c r="O184" s="67"/>
      <c r="P184" s="67"/>
      <c r="Q184" s="68"/>
      <c r="R184" s="68"/>
      <c r="S184" s="33">
        <f t="shared" si="32"/>
        <v>141.9</v>
      </c>
      <c r="T184" s="33"/>
      <c r="U184" s="33">
        <f t="shared" si="33"/>
        <v>141.9</v>
      </c>
      <c r="V184" s="1"/>
      <c r="W184" s="60"/>
      <c r="X184" s="1"/>
      <c r="Y184" s="1"/>
      <c r="Z184" s="60"/>
      <c r="AA184" s="60"/>
      <c r="AB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9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9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9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9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9"/>
      <c r="FG184" s="8"/>
      <c r="FH184" s="8"/>
    </row>
    <row r="185" spans="1:164" s="2" customFormat="1" ht="17.100000000000001" customHeight="1">
      <c r="A185" s="13" t="s">
        <v>167</v>
      </c>
      <c r="B185" s="56">
        <v>1020</v>
      </c>
      <c r="C185" s="56">
        <v>1293.9000000000001</v>
      </c>
      <c r="D185" s="4">
        <f t="shared" si="26"/>
        <v>1.2068529411764706</v>
      </c>
      <c r="E185" s="10">
        <v>15</v>
      </c>
      <c r="F185" s="5">
        <v>1</v>
      </c>
      <c r="G185" s="5">
        <v>10</v>
      </c>
      <c r="H185" s="40">
        <f t="shared" si="27"/>
        <v>1.1241117647058823</v>
      </c>
      <c r="I185" s="41">
        <v>1610</v>
      </c>
      <c r="J185" s="33">
        <f t="shared" si="28"/>
        <v>146.36363636363637</v>
      </c>
      <c r="K185" s="33">
        <f t="shared" si="29"/>
        <v>164.5</v>
      </c>
      <c r="L185" s="33">
        <f t="shared" si="30"/>
        <v>18.136363636363626</v>
      </c>
      <c r="M185" s="33">
        <v>15.2</v>
      </c>
      <c r="N185" s="33">
        <f t="shared" si="31"/>
        <v>179.7</v>
      </c>
      <c r="O185" s="67"/>
      <c r="P185" s="67"/>
      <c r="Q185" s="68"/>
      <c r="R185" s="68"/>
      <c r="S185" s="33">
        <f t="shared" si="32"/>
        <v>179.7</v>
      </c>
      <c r="T185" s="33"/>
      <c r="U185" s="33">
        <f t="shared" si="33"/>
        <v>179.7</v>
      </c>
      <c r="V185" s="1"/>
      <c r="W185" s="60"/>
      <c r="X185" s="1"/>
      <c r="Y185" s="1"/>
      <c r="Z185" s="60"/>
      <c r="AA185" s="60"/>
      <c r="AB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9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9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9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9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9"/>
      <c r="FG185" s="8"/>
      <c r="FH185" s="8"/>
    </row>
    <row r="186" spans="1:164" s="2" customFormat="1" ht="17.100000000000001" customHeight="1">
      <c r="A186" s="13" t="s">
        <v>168</v>
      </c>
      <c r="B186" s="56">
        <v>104.7</v>
      </c>
      <c r="C186" s="56">
        <v>55.2</v>
      </c>
      <c r="D186" s="4">
        <f t="shared" si="26"/>
        <v>0.52722063037249289</v>
      </c>
      <c r="E186" s="10">
        <v>15</v>
      </c>
      <c r="F186" s="5">
        <v>1</v>
      </c>
      <c r="G186" s="5">
        <v>10</v>
      </c>
      <c r="H186" s="40">
        <f t="shared" si="27"/>
        <v>0.71633237822349571</v>
      </c>
      <c r="I186" s="41">
        <v>1515</v>
      </c>
      <c r="J186" s="33">
        <f t="shared" si="28"/>
        <v>137.72727272727272</v>
      </c>
      <c r="K186" s="33">
        <f t="shared" si="29"/>
        <v>98.7</v>
      </c>
      <c r="L186" s="33">
        <f t="shared" si="30"/>
        <v>-39.027272727272717</v>
      </c>
      <c r="M186" s="33">
        <v>10</v>
      </c>
      <c r="N186" s="33">
        <f t="shared" si="31"/>
        <v>108.7</v>
      </c>
      <c r="O186" s="67"/>
      <c r="P186" s="67"/>
      <c r="Q186" s="68"/>
      <c r="R186" s="68"/>
      <c r="S186" s="33">
        <f t="shared" si="32"/>
        <v>108.7</v>
      </c>
      <c r="T186" s="33"/>
      <c r="U186" s="33">
        <f t="shared" si="33"/>
        <v>108.7</v>
      </c>
      <c r="V186" s="1"/>
      <c r="W186" s="60"/>
      <c r="X186" s="1"/>
      <c r="Y186" s="1"/>
      <c r="Z186" s="60"/>
      <c r="AA186" s="60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9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9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9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9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9"/>
      <c r="FG186" s="8"/>
      <c r="FH186" s="8"/>
    </row>
    <row r="187" spans="1:164" s="2" customFormat="1" ht="17.100000000000001" customHeight="1">
      <c r="A187" s="13" t="s">
        <v>169</v>
      </c>
      <c r="B187" s="56">
        <v>206.2</v>
      </c>
      <c r="C187" s="56">
        <v>141.69999999999999</v>
      </c>
      <c r="D187" s="4">
        <f t="shared" ref="D187:D249" si="34">IF(E187=0,0,IF(B187=0,1,IF(C187&lt;0,0,IF(C187/B187&gt;1.2,IF((C187/B187-1.2)*0.1+1.2&gt;1.3,1.3,(C187/B187-1.2)*0.1+1.2),C187/B187))))</f>
        <v>0.68719689621726476</v>
      </c>
      <c r="E187" s="10">
        <v>15</v>
      </c>
      <c r="F187" s="5">
        <v>1</v>
      </c>
      <c r="G187" s="5">
        <v>10</v>
      </c>
      <c r="H187" s="40">
        <f t="shared" ref="H187:H249" si="35">(D187*E187+F187*G187)/(E187+G187)</f>
        <v>0.81231813773035899</v>
      </c>
      <c r="I187" s="41">
        <v>1156</v>
      </c>
      <c r="J187" s="33">
        <f t="shared" ref="J187:J249" si="36">I187/11</f>
        <v>105.09090909090909</v>
      </c>
      <c r="K187" s="33">
        <f t="shared" ref="K187:K249" si="37">ROUND(H187*J187,1)</f>
        <v>85.4</v>
      </c>
      <c r="L187" s="33">
        <f t="shared" ref="L187:L249" si="38">K187-J187</f>
        <v>-19.690909090909088</v>
      </c>
      <c r="M187" s="33">
        <v>29.3</v>
      </c>
      <c r="N187" s="33">
        <f t="shared" ref="N187:N249" si="39">IF((K187+M187)&gt;0,ROUND(K187+M187,1),0)</f>
        <v>114.7</v>
      </c>
      <c r="O187" s="67"/>
      <c r="P187" s="67"/>
      <c r="Q187" s="68"/>
      <c r="R187" s="68"/>
      <c r="S187" s="33">
        <f t="shared" ref="S187:S249" si="40">IF(OR(O187="+",P187="+",Q187="+",R187="+"),0,N187)</f>
        <v>114.7</v>
      </c>
      <c r="T187" s="33"/>
      <c r="U187" s="33">
        <f t="shared" ref="U187:U249" si="41">ROUND(S187-T187,1)</f>
        <v>114.7</v>
      </c>
      <c r="V187" s="1"/>
      <c r="W187" s="60"/>
      <c r="X187" s="1"/>
      <c r="Y187" s="1"/>
      <c r="Z187" s="60"/>
      <c r="AA187" s="60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9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9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9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9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9"/>
      <c r="FG187" s="8"/>
      <c r="FH187" s="8"/>
    </row>
    <row r="188" spans="1:164" s="2" customFormat="1" ht="17.100000000000001" customHeight="1">
      <c r="A188" s="13" t="s">
        <v>170</v>
      </c>
      <c r="B188" s="56">
        <v>99.5</v>
      </c>
      <c r="C188" s="56">
        <v>206.4</v>
      </c>
      <c r="D188" s="4">
        <f t="shared" si="34"/>
        <v>1.2874371859296483</v>
      </c>
      <c r="E188" s="10">
        <v>15</v>
      </c>
      <c r="F188" s="5">
        <v>1</v>
      </c>
      <c r="G188" s="5">
        <v>10</v>
      </c>
      <c r="H188" s="40">
        <f t="shared" si="35"/>
        <v>1.172462311557789</v>
      </c>
      <c r="I188" s="41">
        <v>1130</v>
      </c>
      <c r="J188" s="33">
        <f t="shared" si="36"/>
        <v>102.72727272727273</v>
      </c>
      <c r="K188" s="33">
        <f t="shared" si="37"/>
        <v>120.4</v>
      </c>
      <c r="L188" s="33">
        <f t="shared" si="38"/>
        <v>17.672727272727272</v>
      </c>
      <c r="M188" s="33">
        <v>14.7</v>
      </c>
      <c r="N188" s="33">
        <f t="shared" si="39"/>
        <v>135.1</v>
      </c>
      <c r="O188" s="67"/>
      <c r="P188" s="67"/>
      <c r="Q188" s="68"/>
      <c r="R188" s="68"/>
      <c r="S188" s="33">
        <f t="shared" si="40"/>
        <v>135.1</v>
      </c>
      <c r="T188" s="33"/>
      <c r="U188" s="33">
        <f t="shared" si="41"/>
        <v>135.1</v>
      </c>
      <c r="V188" s="1"/>
      <c r="W188" s="60"/>
      <c r="X188" s="1"/>
      <c r="Y188" s="1"/>
      <c r="Z188" s="60"/>
      <c r="AA188" s="60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9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9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9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9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9"/>
      <c r="FG188" s="8"/>
      <c r="FH188" s="8"/>
    </row>
    <row r="189" spans="1:164" s="2" customFormat="1" ht="17.100000000000001" customHeight="1">
      <c r="A189" s="13" t="s">
        <v>171</v>
      </c>
      <c r="B189" s="56">
        <v>387.6</v>
      </c>
      <c r="C189" s="56">
        <v>423.3</v>
      </c>
      <c r="D189" s="4">
        <f t="shared" si="34"/>
        <v>1.0921052631578947</v>
      </c>
      <c r="E189" s="10">
        <v>15</v>
      </c>
      <c r="F189" s="5">
        <v>1</v>
      </c>
      <c r="G189" s="5">
        <v>10</v>
      </c>
      <c r="H189" s="40">
        <f t="shared" si="35"/>
        <v>1.0552631578947369</v>
      </c>
      <c r="I189" s="41">
        <v>1796</v>
      </c>
      <c r="J189" s="33">
        <f t="shared" si="36"/>
        <v>163.27272727272728</v>
      </c>
      <c r="K189" s="33">
        <f t="shared" si="37"/>
        <v>172.3</v>
      </c>
      <c r="L189" s="33">
        <f t="shared" si="38"/>
        <v>9.0272727272727309</v>
      </c>
      <c r="M189" s="33">
        <v>29</v>
      </c>
      <c r="N189" s="33">
        <f t="shared" si="39"/>
        <v>201.3</v>
      </c>
      <c r="O189" s="67"/>
      <c r="P189" s="67"/>
      <c r="Q189" s="68"/>
      <c r="R189" s="68"/>
      <c r="S189" s="33">
        <f t="shared" si="40"/>
        <v>201.3</v>
      </c>
      <c r="T189" s="33"/>
      <c r="U189" s="33">
        <f t="shared" si="41"/>
        <v>201.3</v>
      </c>
      <c r="V189" s="1"/>
      <c r="W189" s="60"/>
      <c r="X189" s="1"/>
      <c r="Y189" s="1"/>
      <c r="Z189" s="60"/>
      <c r="AA189" s="60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9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9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9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9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9"/>
      <c r="FG189" s="8"/>
      <c r="FH189" s="8"/>
    </row>
    <row r="190" spans="1:164" s="2" customFormat="1" ht="17.100000000000001" customHeight="1">
      <c r="A190" s="17" t="s">
        <v>172</v>
      </c>
      <c r="B190" s="57"/>
      <c r="C190" s="57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33"/>
      <c r="V190" s="1"/>
      <c r="W190" s="60"/>
      <c r="X190" s="1"/>
      <c r="Y190" s="1"/>
      <c r="Z190" s="60"/>
      <c r="AA190" s="60"/>
      <c r="AB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9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9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9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9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9"/>
      <c r="FG190" s="8"/>
      <c r="FH190" s="8"/>
    </row>
    <row r="191" spans="1:164" s="2" customFormat="1" ht="17.850000000000001" customHeight="1">
      <c r="A191" s="13" t="s">
        <v>173</v>
      </c>
      <c r="B191" s="56">
        <v>22.3</v>
      </c>
      <c r="C191" s="56">
        <v>17.100000000000001</v>
      </c>
      <c r="D191" s="4">
        <f t="shared" si="34"/>
        <v>0.76681614349775784</v>
      </c>
      <c r="E191" s="10">
        <v>15</v>
      </c>
      <c r="F191" s="5">
        <v>1</v>
      </c>
      <c r="G191" s="5">
        <v>10</v>
      </c>
      <c r="H191" s="40">
        <f t="shared" si="35"/>
        <v>0.86008968609865466</v>
      </c>
      <c r="I191" s="41">
        <v>1464</v>
      </c>
      <c r="J191" s="33">
        <f t="shared" si="36"/>
        <v>133.09090909090909</v>
      </c>
      <c r="K191" s="33">
        <f t="shared" si="37"/>
        <v>114.5</v>
      </c>
      <c r="L191" s="33">
        <f t="shared" si="38"/>
        <v>-18.590909090909093</v>
      </c>
      <c r="M191" s="33">
        <v>21.9</v>
      </c>
      <c r="N191" s="33">
        <f t="shared" si="39"/>
        <v>136.4</v>
      </c>
      <c r="O191" s="67"/>
      <c r="P191" s="67"/>
      <c r="Q191" s="68"/>
      <c r="R191" s="68"/>
      <c r="S191" s="33">
        <f t="shared" si="40"/>
        <v>136.4</v>
      </c>
      <c r="T191" s="33"/>
      <c r="U191" s="33">
        <f t="shared" si="41"/>
        <v>136.4</v>
      </c>
      <c r="V191" s="1"/>
      <c r="W191" s="60"/>
      <c r="X191" s="1"/>
      <c r="Y191" s="1"/>
      <c r="Z191" s="60"/>
      <c r="AA191" s="60"/>
      <c r="AB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9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9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9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9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9"/>
      <c r="FG191" s="8"/>
      <c r="FH191" s="8"/>
    </row>
    <row r="192" spans="1:164" s="2" customFormat="1" ht="17.100000000000001" customHeight="1">
      <c r="A192" s="13" t="s">
        <v>174</v>
      </c>
      <c r="B192" s="56">
        <v>93.7</v>
      </c>
      <c r="C192" s="56">
        <v>76.099999999999994</v>
      </c>
      <c r="D192" s="4">
        <f t="shared" si="34"/>
        <v>0.81216648879402342</v>
      </c>
      <c r="E192" s="10">
        <v>15</v>
      </c>
      <c r="F192" s="5">
        <v>1</v>
      </c>
      <c r="G192" s="5">
        <v>10</v>
      </c>
      <c r="H192" s="40">
        <f t="shared" si="35"/>
        <v>0.88729989327641401</v>
      </c>
      <c r="I192" s="41">
        <v>935</v>
      </c>
      <c r="J192" s="33">
        <f t="shared" si="36"/>
        <v>85</v>
      </c>
      <c r="K192" s="33">
        <f t="shared" si="37"/>
        <v>75.400000000000006</v>
      </c>
      <c r="L192" s="33">
        <f t="shared" si="38"/>
        <v>-9.5999999999999943</v>
      </c>
      <c r="M192" s="33">
        <v>14.7</v>
      </c>
      <c r="N192" s="33">
        <f t="shared" si="39"/>
        <v>90.1</v>
      </c>
      <c r="O192" s="67"/>
      <c r="P192" s="67"/>
      <c r="Q192" s="68"/>
      <c r="R192" s="68"/>
      <c r="S192" s="33">
        <f t="shared" si="40"/>
        <v>90.1</v>
      </c>
      <c r="T192" s="33"/>
      <c r="U192" s="33">
        <f t="shared" si="41"/>
        <v>90.1</v>
      </c>
      <c r="V192" s="1"/>
      <c r="W192" s="60"/>
      <c r="X192" s="1"/>
      <c r="Y192" s="1"/>
      <c r="Z192" s="60"/>
      <c r="AA192" s="60"/>
      <c r="AB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9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9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9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9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9"/>
      <c r="FG192" s="8"/>
      <c r="FH192" s="8"/>
    </row>
    <row r="193" spans="1:164" s="2" customFormat="1" ht="17.100000000000001" customHeight="1">
      <c r="A193" s="13" t="s">
        <v>175</v>
      </c>
      <c r="B193" s="56">
        <v>138.30000000000001</v>
      </c>
      <c r="C193" s="56">
        <v>108.5</v>
      </c>
      <c r="D193" s="4">
        <f t="shared" si="34"/>
        <v>0.78452639190166296</v>
      </c>
      <c r="E193" s="10">
        <v>15</v>
      </c>
      <c r="F193" s="5">
        <v>1</v>
      </c>
      <c r="G193" s="5">
        <v>10</v>
      </c>
      <c r="H193" s="40">
        <f t="shared" si="35"/>
        <v>0.87071583514099782</v>
      </c>
      <c r="I193" s="41">
        <v>1842</v>
      </c>
      <c r="J193" s="33">
        <f t="shared" si="36"/>
        <v>167.45454545454547</v>
      </c>
      <c r="K193" s="33">
        <f t="shared" si="37"/>
        <v>145.80000000000001</v>
      </c>
      <c r="L193" s="33">
        <f t="shared" si="38"/>
        <v>-21.654545454545456</v>
      </c>
      <c r="M193" s="33">
        <v>26.6</v>
      </c>
      <c r="N193" s="33">
        <f t="shared" si="39"/>
        <v>172.4</v>
      </c>
      <c r="O193" s="67"/>
      <c r="P193" s="67"/>
      <c r="Q193" s="68"/>
      <c r="R193" s="68"/>
      <c r="S193" s="33">
        <f t="shared" si="40"/>
        <v>172.4</v>
      </c>
      <c r="T193" s="33"/>
      <c r="U193" s="33">
        <f t="shared" si="41"/>
        <v>172.4</v>
      </c>
      <c r="V193" s="1"/>
      <c r="W193" s="60"/>
      <c r="X193" s="1"/>
      <c r="Y193" s="1"/>
      <c r="Z193" s="60"/>
      <c r="AA193" s="60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9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9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9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9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9"/>
      <c r="FG193" s="8"/>
      <c r="FH193" s="8"/>
    </row>
    <row r="194" spans="1:164" s="2" customFormat="1" ht="17.100000000000001" customHeight="1">
      <c r="A194" s="13" t="s">
        <v>176</v>
      </c>
      <c r="B194" s="56">
        <v>1802.5</v>
      </c>
      <c r="C194" s="56">
        <v>1901.9</v>
      </c>
      <c r="D194" s="4">
        <f t="shared" si="34"/>
        <v>1.0551456310679612</v>
      </c>
      <c r="E194" s="10">
        <v>15</v>
      </c>
      <c r="F194" s="5">
        <v>1</v>
      </c>
      <c r="G194" s="5">
        <v>10</v>
      </c>
      <c r="H194" s="40">
        <f t="shared" si="35"/>
        <v>1.0330873786407766</v>
      </c>
      <c r="I194" s="41">
        <v>54</v>
      </c>
      <c r="J194" s="33">
        <f t="shared" si="36"/>
        <v>4.9090909090909092</v>
      </c>
      <c r="K194" s="33">
        <f t="shared" si="37"/>
        <v>5.0999999999999996</v>
      </c>
      <c r="L194" s="33">
        <f t="shared" si="38"/>
        <v>0.19090909090909047</v>
      </c>
      <c r="M194" s="33">
        <v>0.5</v>
      </c>
      <c r="N194" s="33">
        <f t="shared" si="39"/>
        <v>5.6</v>
      </c>
      <c r="O194" s="67"/>
      <c r="P194" s="67"/>
      <c r="Q194" s="68"/>
      <c r="R194" s="68"/>
      <c r="S194" s="33">
        <f t="shared" si="40"/>
        <v>5.6</v>
      </c>
      <c r="T194" s="33"/>
      <c r="U194" s="33">
        <f t="shared" si="41"/>
        <v>5.6</v>
      </c>
      <c r="V194" s="1"/>
      <c r="W194" s="60"/>
      <c r="X194" s="1"/>
      <c r="Y194" s="1"/>
      <c r="Z194" s="60"/>
      <c r="AA194" s="60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9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9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9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9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9"/>
      <c r="FG194" s="8"/>
      <c r="FH194" s="8"/>
    </row>
    <row r="195" spans="1:164" s="2" customFormat="1" ht="17.100000000000001" customHeight="1">
      <c r="A195" s="13" t="s">
        <v>177</v>
      </c>
      <c r="B195" s="56">
        <v>191.8</v>
      </c>
      <c r="C195" s="56">
        <v>135.9</v>
      </c>
      <c r="D195" s="4">
        <f t="shared" si="34"/>
        <v>0.70855057351407713</v>
      </c>
      <c r="E195" s="10">
        <v>15</v>
      </c>
      <c r="F195" s="5">
        <v>1</v>
      </c>
      <c r="G195" s="5">
        <v>10</v>
      </c>
      <c r="H195" s="40">
        <f t="shared" si="35"/>
        <v>0.82513034410844621</v>
      </c>
      <c r="I195" s="41">
        <v>1368</v>
      </c>
      <c r="J195" s="33">
        <f t="shared" si="36"/>
        <v>124.36363636363636</v>
      </c>
      <c r="K195" s="33">
        <f t="shared" si="37"/>
        <v>102.6</v>
      </c>
      <c r="L195" s="33">
        <f t="shared" si="38"/>
        <v>-21.763636363636365</v>
      </c>
      <c r="M195" s="33">
        <v>13.4</v>
      </c>
      <c r="N195" s="33">
        <f t="shared" si="39"/>
        <v>116</v>
      </c>
      <c r="O195" s="67"/>
      <c r="P195" s="67"/>
      <c r="Q195" s="68"/>
      <c r="R195" s="68"/>
      <c r="S195" s="33">
        <f t="shared" si="40"/>
        <v>116</v>
      </c>
      <c r="T195" s="33"/>
      <c r="U195" s="33">
        <f t="shared" si="41"/>
        <v>116</v>
      </c>
      <c r="V195" s="1"/>
      <c r="W195" s="60"/>
      <c r="X195" s="1"/>
      <c r="Y195" s="1"/>
      <c r="Z195" s="60"/>
      <c r="AA195" s="60"/>
      <c r="AB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9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9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9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9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9"/>
      <c r="FG195" s="8"/>
      <c r="FH195" s="8"/>
    </row>
    <row r="196" spans="1:164" s="2" customFormat="1" ht="17.100000000000001" customHeight="1">
      <c r="A196" s="13" t="s">
        <v>178</v>
      </c>
      <c r="B196" s="56">
        <v>265.10000000000002</v>
      </c>
      <c r="C196" s="56">
        <v>36</v>
      </c>
      <c r="D196" s="4">
        <f t="shared" si="34"/>
        <v>0.13579781214635986</v>
      </c>
      <c r="E196" s="10">
        <v>15</v>
      </c>
      <c r="F196" s="5">
        <v>1</v>
      </c>
      <c r="G196" s="5">
        <v>10</v>
      </c>
      <c r="H196" s="40">
        <f t="shared" si="35"/>
        <v>0.4814786872878159</v>
      </c>
      <c r="I196" s="41">
        <v>1246</v>
      </c>
      <c r="J196" s="33">
        <f t="shared" si="36"/>
        <v>113.27272727272727</v>
      </c>
      <c r="K196" s="33">
        <f t="shared" si="37"/>
        <v>54.5</v>
      </c>
      <c r="L196" s="33">
        <f t="shared" si="38"/>
        <v>-58.772727272727266</v>
      </c>
      <c r="M196" s="33">
        <v>16</v>
      </c>
      <c r="N196" s="33">
        <f t="shared" si="39"/>
        <v>70.5</v>
      </c>
      <c r="O196" s="67"/>
      <c r="P196" s="67"/>
      <c r="Q196" s="68"/>
      <c r="R196" s="68"/>
      <c r="S196" s="33">
        <f t="shared" si="40"/>
        <v>70.5</v>
      </c>
      <c r="T196" s="33"/>
      <c r="U196" s="33">
        <f t="shared" si="41"/>
        <v>70.5</v>
      </c>
      <c r="V196" s="1"/>
      <c r="W196" s="60"/>
      <c r="X196" s="1"/>
      <c r="Y196" s="1"/>
      <c r="Z196" s="60"/>
      <c r="AA196" s="60"/>
      <c r="AB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9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9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9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9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9"/>
      <c r="FG196" s="8"/>
      <c r="FH196" s="8"/>
    </row>
    <row r="197" spans="1:164" s="2" customFormat="1" ht="17.100000000000001" customHeight="1">
      <c r="A197" s="13" t="s">
        <v>179</v>
      </c>
      <c r="B197" s="56">
        <v>112.1</v>
      </c>
      <c r="C197" s="56">
        <v>158.6</v>
      </c>
      <c r="D197" s="4">
        <f t="shared" si="34"/>
        <v>1.2214808206958072</v>
      </c>
      <c r="E197" s="10">
        <v>15</v>
      </c>
      <c r="F197" s="5">
        <v>1</v>
      </c>
      <c r="G197" s="5">
        <v>10</v>
      </c>
      <c r="H197" s="40">
        <f t="shared" si="35"/>
        <v>1.1328884924174845</v>
      </c>
      <c r="I197" s="41">
        <v>1548</v>
      </c>
      <c r="J197" s="33">
        <f t="shared" si="36"/>
        <v>140.72727272727272</v>
      </c>
      <c r="K197" s="33">
        <f t="shared" si="37"/>
        <v>159.4</v>
      </c>
      <c r="L197" s="33">
        <f t="shared" si="38"/>
        <v>18.672727272727286</v>
      </c>
      <c r="M197" s="33">
        <v>31.7</v>
      </c>
      <c r="N197" s="33">
        <f t="shared" si="39"/>
        <v>191.1</v>
      </c>
      <c r="O197" s="67"/>
      <c r="P197" s="67"/>
      <c r="Q197" s="68"/>
      <c r="R197" s="68"/>
      <c r="S197" s="33">
        <f t="shared" si="40"/>
        <v>191.1</v>
      </c>
      <c r="T197" s="33"/>
      <c r="U197" s="33">
        <f t="shared" si="41"/>
        <v>191.1</v>
      </c>
      <c r="V197" s="1"/>
      <c r="W197" s="60"/>
      <c r="X197" s="1"/>
      <c r="Y197" s="1"/>
      <c r="Z197" s="60"/>
      <c r="AA197" s="60"/>
      <c r="AB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9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9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9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9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9"/>
      <c r="FG197" s="8"/>
      <c r="FH197" s="8"/>
    </row>
    <row r="198" spans="1:164" s="2" customFormat="1" ht="17.100000000000001" customHeight="1">
      <c r="A198" s="13" t="s">
        <v>180</v>
      </c>
      <c r="B198" s="56">
        <v>266.60000000000002</v>
      </c>
      <c r="C198" s="56">
        <v>355.3</v>
      </c>
      <c r="D198" s="4">
        <f t="shared" si="34"/>
        <v>1.213270817704426</v>
      </c>
      <c r="E198" s="10">
        <v>15</v>
      </c>
      <c r="F198" s="5">
        <v>1</v>
      </c>
      <c r="G198" s="5">
        <v>10</v>
      </c>
      <c r="H198" s="40">
        <f t="shared" si="35"/>
        <v>1.1279624906226555</v>
      </c>
      <c r="I198" s="41">
        <v>1094</v>
      </c>
      <c r="J198" s="33">
        <f t="shared" si="36"/>
        <v>99.454545454545453</v>
      </c>
      <c r="K198" s="33">
        <f t="shared" si="37"/>
        <v>112.2</v>
      </c>
      <c r="L198" s="33">
        <f t="shared" si="38"/>
        <v>12.74545454545455</v>
      </c>
      <c r="M198" s="33">
        <v>5.3</v>
      </c>
      <c r="N198" s="33">
        <f t="shared" si="39"/>
        <v>117.5</v>
      </c>
      <c r="O198" s="67"/>
      <c r="P198" s="67"/>
      <c r="Q198" s="68"/>
      <c r="R198" s="68"/>
      <c r="S198" s="33">
        <f t="shared" si="40"/>
        <v>117.5</v>
      </c>
      <c r="T198" s="33"/>
      <c r="U198" s="33">
        <f t="shared" si="41"/>
        <v>117.5</v>
      </c>
      <c r="V198" s="1"/>
      <c r="W198" s="60"/>
      <c r="X198" s="1"/>
      <c r="Y198" s="1"/>
      <c r="Z198" s="60"/>
      <c r="AA198" s="60"/>
      <c r="AB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9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9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9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9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9"/>
      <c r="FG198" s="8"/>
      <c r="FH198" s="8"/>
    </row>
    <row r="199" spans="1:164" s="2" customFormat="1" ht="17.100000000000001" customHeight="1">
      <c r="A199" s="13" t="s">
        <v>181</v>
      </c>
      <c r="B199" s="56">
        <v>271.89999999999998</v>
      </c>
      <c r="C199" s="56">
        <v>147.30000000000001</v>
      </c>
      <c r="D199" s="4">
        <f t="shared" si="34"/>
        <v>0.54174328797351978</v>
      </c>
      <c r="E199" s="10">
        <v>15</v>
      </c>
      <c r="F199" s="5">
        <v>1</v>
      </c>
      <c r="G199" s="5">
        <v>10</v>
      </c>
      <c r="H199" s="40">
        <f t="shared" si="35"/>
        <v>0.72504597278411187</v>
      </c>
      <c r="I199" s="41">
        <v>1797</v>
      </c>
      <c r="J199" s="33">
        <f t="shared" si="36"/>
        <v>163.36363636363637</v>
      </c>
      <c r="K199" s="33">
        <f t="shared" si="37"/>
        <v>118.4</v>
      </c>
      <c r="L199" s="33">
        <f t="shared" si="38"/>
        <v>-44.963636363636368</v>
      </c>
      <c r="M199" s="33">
        <v>34.1</v>
      </c>
      <c r="N199" s="33">
        <f t="shared" si="39"/>
        <v>152.5</v>
      </c>
      <c r="O199" s="67"/>
      <c r="P199" s="67"/>
      <c r="Q199" s="68"/>
      <c r="R199" s="68"/>
      <c r="S199" s="33">
        <f t="shared" si="40"/>
        <v>152.5</v>
      </c>
      <c r="T199" s="33"/>
      <c r="U199" s="33">
        <f t="shared" si="41"/>
        <v>152.5</v>
      </c>
      <c r="V199" s="1"/>
      <c r="W199" s="60"/>
      <c r="X199" s="1"/>
      <c r="Y199" s="1"/>
      <c r="Z199" s="60"/>
      <c r="AA199" s="60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9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9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9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9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9"/>
      <c r="FG199" s="8"/>
      <c r="FH199" s="8"/>
    </row>
    <row r="200" spans="1:164" s="2" customFormat="1" ht="17.100000000000001" customHeight="1">
      <c r="A200" s="13" t="s">
        <v>182</v>
      </c>
      <c r="B200" s="56">
        <v>127.1</v>
      </c>
      <c r="C200" s="56">
        <v>54.4</v>
      </c>
      <c r="D200" s="4">
        <f t="shared" si="34"/>
        <v>0.42800944138473646</v>
      </c>
      <c r="E200" s="10">
        <v>15</v>
      </c>
      <c r="F200" s="5">
        <v>1</v>
      </c>
      <c r="G200" s="5">
        <v>10</v>
      </c>
      <c r="H200" s="40">
        <f t="shared" si="35"/>
        <v>0.65680566483084191</v>
      </c>
      <c r="I200" s="41">
        <v>1528</v>
      </c>
      <c r="J200" s="33">
        <f t="shared" si="36"/>
        <v>138.90909090909091</v>
      </c>
      <c r="K200" s="33">
        <f t="shared" si="37"/>
        <v>91.2</v>
      </c>
      <c r="L200" s="33">
        <f t="shared" si="38"/>
        <v>-47.709090909090904</v>
      </c>
      <c r="M200" s="33">
        <v>9.6999999999999993</v>
      </c>
      <c r="N200" s="33">
        <f t="shared" si="39"/>
        <v>100.9</v>
      </c>
      <c r="O200" s="67"/>
      <c r="P200" s="67"/>
      <c r="Q200" s="68"/>
      <c r="R200" s="68"/>
      <c r="S200" s="33">
        <f t="shared" si="40"/>
        <v>100.9</v>
      </c>
      <c r="T200" s="33"/>
      <c r="U200" s="33">
        <f t="shared" si="41"/>
        <v>100.9</v>
      </c>
      <c r="V200" s="1"/>
      <c r="W200" s="60"/>
      <c r="X200" s="1"/>
      <c r="Y200" s="1"/>
      <c r="Z200" s="60"/>
      <c r="AA200" s="60"/>
      <c r="AB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9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9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9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9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9"/>
      <c r="FG200" s="8"/>
      <c r="FH200" s="8"/>
    </row>
    <row r="201" spans="1:164" s="2" customFormat="1" ht="17.100000000000001" customHeight="1">
      <c r="A201" s="13" t="s">
        <v>183</v>
      </c>
      <c r="B201" s="56">
        <v>289.5</v>
      </c>
      <c r="C201" s="56">
        <v>18.100000000000001</v>
      </c>
      <c r="D201" s="4">
        <f t="shared" si="34"/>
        <v>6.2521588946459414E-2</v>
      </c>
      <c r="E201" s="10">
        <v>15</v>
      </c>
      <c r="F201" s="5">
        <v>1</v>
      </c>
      <c r="G201" s="5">
        <v>10</v>
      </c>
      <c r="H201" s="40">
        <f t="shared" si="35"/>
        <v>0.43751295336787566</v>
      </c>
      <c r="I201" s="41">
        <v>1410</v>
      </c>
      <c r="J201" s="33">
        <f t="shared" si="36"/>
        <v>128.18181818181819</v>
      </c>
      <c r="K201" s="33">
        <f t="shared" si="37"/>
        <v>56.1</v>
      </c>
      <c r="L201" s="33">
        <f t="shared" si="38"/>
        <v>-72.081818181818193</v>
      </c>
      <c r="M201" s="33">
        <v>27.9</v>
      </c>
      <c r="N201" s="33">
        <f t="shared" si="39"/>
        <v>84</v>
      </c>
      <c r="O201" s="67"/>
      <c r="P201" s="67"/>
      <c r="Q201" s="68"/>
      <c r="R201" s="68"/>
      <c r="S201" s="33">
        <f t="shared" si="40"/>
        <v>84</v>
      </c>
      <c r="T201" s="33"/>
      <c r="U201" s="33">
        <f t="shared" si="41"/>
        <v>84</v>
      </c>
      <c r="V201" s="1"/>
      <c r="W201" s="60"/>
      <c r="X201" s="1"/>
      <c r="Y201" s="1"/>
      <c r="Z201" s="60"/>
      <c r="AA201" s="60"/>
      <c r="AB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9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9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9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9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9"/>
      <c r="FG201" s="8"/>
      <c r="FH201" s="8"/>
    </row>
    <row r="202" spans="1:164" s="2" customFormat="1" ht="17.100000000000001" customHeight="1">
      <c r="A202" s="13" t="s">
        <v>184</v>
      </c>
      <c r="B202" s="56">
        <v>127.9</v>
      </c>
      <c r="C202" s="56">
        <v>150.9</v>
      </c>
      <c r="D202" s="4">
        <f t="shared" si="34"/>
        <v>1.1798279906176701</v>
      </c>
      <c r="E202" s="10">
        <v>15</v>
      </c>
      <c r="F202" s="5">
        <v>1</v>
      </c>
      <c r="G202" s="5">
        <v>10</v>
      </c>
      <c r="H202" s="40">
        <f t="shared" si="35"/>
        <v>1.107896794370602</v>
      </c>
      <c r="I202" s="41">
        <v>1266</v>
      </c>
      <c r="J202" s="33">
        <f t="shared" si="36"/>
        <v>115.09090909090909</v>
      </c>
      <c r="K202" s="33">
        <f t="shared" si="37"/>
        <v>127.5</v>
      </c>
      <c r="L202" s="33">
        <f t="shared" si="38"/>
        <v>12.409090909090907</v>
      </c>
      <c r="M202" s="33">
        <v>6.1</v>
      </c>
      <c r="N202" s="33">
        <f t="shared" si="39"/>
        <v>133.6</v>
      </c>
      <c r="O202" s="67"/>
      <c r="P202" s="67"/>
      <c r="Q202" s="68"/>
      <c r="R202" s="68"/>
      <c r="S202" s="33">
        <f t="shared" si="40"/>
        <v>133.6</v>
      </c>
      <c r="T202" s="33"/>
      <c r="U202" s="33">
        <f t="shared" si="41"/>
        <v>133.6</v>
      </c>
      <c r="V202" s="1"/>
      <c r="W202" s="60"/>
      <c r="X202" s="1"/>
      <c r="Y202" s="1"/>
      <c r="Z202" s="60"/>
      <c r="AA202" s="60"/>
      <c r="AB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9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9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9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9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9"/>
      <c r="FG202" s="8"/>
      <c r="FH202" s="8"/>
    </row>
    <row r="203" spans="1:164" s="2" customFormat="1" ht="17.100000000000001" customHeight="1">
      <c r="A203" s="13" t="s">
        <v>185</v>
      </c>
      <c r="B203" s="56">
        <v>97.1</v>
      </c>
      <c r="C203" s="56">
        <v>39.299999999999997</v>
      </c>
      <c r="D203" s="4">
        <f t="shared" si="34"/>
        <v>0.40473738414006177</v>
      </c>
      <c r="E203" s="10">
        <v>15</v>
      </c>
      <c r="F203" s="5">
        <v>1</v>
      </c>
      <c r="G203" s="5">
        <v>10</v>
      </c>
      <c r="H203" s="40">
        <f t="shared" si="35"/>
        <v>0.64284243048403711</v>
      </c>
      <c r="I203" s="41">
        <v>1532</v>
      </c>
      <c r="J203" s="33">
        <f t="shared" si="36"/>
        <v>139.27272727272728</v>
      </c>
      <c r="K203" s="33">
        <f t="shared" si="37"/>
        <v>89.5</v>
      </c>
      <c r="L203" s="33">
        <f t="shared" si="38"/>
        <v>-49.77272727272728</v>
      </c>
      <c r="M203" s="33">
        <v>26.9</v>
      </c>
      <c r="N203" s="33">
        <f t="shared" si="39"/>
        <v>116.4</v>
      </c>
      <c r="O203" s="67"/>
      <c r="P203" s="67"/>
      <c r="Q203" s="68"/>
      <c r="R203" s="68"/>
      <c r="S203" s="33">
        <f t="shared" si="40"/>
        <v>116.4</v>
      </c>
      <c r="T203" s="33"/>
      <c r="U203" s="33">
        <f t="shared" si="41"/>
        <v>116.4</v>
      </c>
      <c r="V203" s="1"/>
      <c r="W203" s="60"/>
      <c r="X203" s="1"/>
      <c r="Y203" s="1"/>
      <c r="Z203" s="60"/>
      <c r="AA203" s="60"/>
      <c r="AB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9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9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9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9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9"/>
      <c r="FG203" s="8"/>
      <c r="FH203" s="8"/>
    </row>
    <row r="204" spans="1:164" s="2" customFormat="1" ht="17.100000000000001" customHeight="1">
      <c r="A204" s="17" t="s">
        <v>186</v>
      </c>
      <c r="B204" s="57"/>
      <c r="C204" s="57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33"/>
      <c r="V204" s="1"/>
      <c r="W204" s="60"/>
      <c r="X204" s="1"/>
      <c r="Y204" s="1"/>
      <c r="Z204" s="60"/>
      <c r="AA204" s="60"/>
      <c r="AB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9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9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9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9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9"/>
      <c r="FG204" s="8"/>
      <c r="FH204" s="8"/>
    </row>
    <row r="205" spans="1:164" s="2" customFormat="1" ht="17.100000000000001" customHeight="1">
      <c r="A205" s="13" t="s">
        <v>187</v>
      </c>
      <c r="B205" s="56">
        <v>223.3</v>
      </c>
      <c r="C205" s="56">
        <v>919.4</v>
      </c>
      <c r="D205" s="4">
        <f t="shared" si="34"/>
        <v>1.3</v>
      </c>
      <c r="E205" s="10">
        <v>15</v>
      </c>
      <c r="F205" s="5">
        <v>1</v>
      </c>
      <c r="G205" s="5">
        <v>10</v>
      </c>
      <c r="H205" s="40">
        <f t="shared" si="35"/>
        <v>1.18</v>
      </c>
      <c r="I205" s="41">
        <v>1788</v>
      </c>
      <c r="J205" s="33">
        <f t="shared" si="36"/>
        <v>162.54545454545453</v>
      </c>
      <c r="K205" s="33">
        <f t="shared" si="37"/>
        <v>191.8</v>
      </c>
      <c r="L205" s="33">
        <f t="shared" si="38"/>
        <v>29.254545454545479</v>
      </c>
      <c r="M205" s="33">
        <v>8.1</v>
      </c>
      <c r="N205" s="33">
        <f t="shared" si="39"/>
        <v>199.9</v>
      </c>
      <c r="O205" s="67"/>
      <c r="P205" s="67"/>
      <c r="Q205" s="68"/>
      <c r="R205" s="68"/>
      <c r="S205" s="33">
        <f t="shared" si="40"/>
        <v>199.9</v>
      </c>
      <c r="T205" s="33">
        <f>MIN(S205,81.3)</f>
        <v>81.3</v>
      </c>
      <c r="U205" s="33">
        <f t="shared" si="41"/>
        <v>118.6</v>
      </c>
      <c r="V205" s="1"/>
      <c r="W205" s="60"/>
      <c r="X205" s="1"/>
      <c r="Y205" s="1"/>
      <c r="Z205" s="60"/>
      <c r="AA205" s="60"/>
      <c r="AB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9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9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9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9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9"/>
      <c r="FG205" s="8"/>
      <c r="FH205" s="8"/>
    </row>
    <row r="206" spans="1:164" s="2" customFormat="1" ht="17.100000000000001" customHeight="1">
      <c r="A206" s="13" t="s">
        <v>188</v>
      </c>
      <c r="B206" s="56">
        <v>99.6</v>
      </c>
      <c r="C206" s="56">
        <v>89.3</v>
      </c>
      <c r="D206" s="4">
        <f t="shared" si="34"/>
        <v>0.89658634538152615</v>
      </c>
      <c r="E206" s="10">
        <v>15</v>
      </c>
      <c r="F206" s="5">
        <v>1</v>
      </c>
      <c r="G206" s="5">
        <v>10</v>
      </c>
      <c r="H206" s="40">
        <f t="shared" si="35"/>
        <v>0.93795180722891569</v>
      </c>
      <c r="I206" s="41">
        <v>1844</v>
      </c>
      <c r="J206" s="33">
        <f t="shared" si="36"/>
        <v>167.63636363636363</v>
      </c>
      <c r="K206" s="33">
        <f t="shared" si="37"/>
        <v>157.19999999999999</v>
      </c>
      <c r="L206" s="33">
        <f t="shared" si="38"/>
        <v>-10.436363636363637</v>
      </c>
      <c r="M206" s="33">
        <v>9.6999999999999993</v>
      </c>
      <c r="N206" s="33">
        <f t="shared" si="39"/>
        <v>166.9</v>
      </c>
      <c r="O206" s="67"/>
      <c r="P206" s="67"/>
      <c r="Q206" s="68"/>
      <c r="R206" s="68"/>
      <c r="S206" s="33">
        <f t="shared" si="40"/>
        <v>166.9</v>
      </c>
      <c r="T206" s="33">
        <f>MIN(S206,17.3)</f>
        <v>17.3</v>
      </c>
      <c r="U206" s="33">
        <f t="shared" si="41"/>
        <v>149.6</v>
      </c>
      <c r="V206" s="1"/>
      <c r="W206" s="60"/>
      <c r="X206" s="1"/>
      <c r="Y206" s="1"/>
      <c r="Z206" s="60"/>
      <c r="AA206" s="60"/>
      <c r="AB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9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9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9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9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9"/>
      <c r="FG206" s="8"/>
      <c r="FH206" s="8"/>
    </row>
    <row r="207" spans="1:164" s="2" customFormat="1" ht="17.100000000000001" customHeight="1">
      <c r="A207" s="13" t="s">
        <v>189</v>
      </c>
      <c r="B207" s="56">
        <v>306.60000000000002</v>
      </c>
      <c r="C207" s="56">
        <v>259.3</v>
      </c>
      <c r="D207" s="4">
        <f t="shared" si="34"/>
        <v>0.84572733202870187</v>
      </c>
      <c r="E207" s="10">
        <v>15</v>
      </c>
      <c r="F207" s="5">
        <v>1</v>
      </c>
      <c r="G207" s="5">
        <v>10</v>
      </c>
      <c r="H207" s="40">
        <f t="shared" si="35"/>
        <v>0.90743639921722119</v>
      </c>
      <c r="I207" s="41">
        <v>3236</v>
      </c>
      <c r="J207" s="33">
        <f t="shared" si="36"/>
        <v>294.18181818181819</v>
      </c>
      <c r="K207" s="33">
        <f t="shared" si="37"/>
        <v>267</v>
      </c>
      <c r="L207" s="33">
        <f t="shared" si="38"/>
        <v>-27.181818181818187</v>
      </c>
      <c r="M207" s="33">
        <v>-2.2000000000000002</v>
      </c>
      <c r="N207" s="33">
        <f t="shared" si="39"/>
        <v>264.8</v>
      </c>
      <c r="O207" s="67"/>
      <c r="P207" s="67"/>
      <c r="Q207" s="68"/>
      <c r="R207" s="68"/>
      <c r="S207" s="33">
        <f t="shared" si="40"/>
        <v>264.8</v>
      </c>
      <c r="T207" s="33">
        <f>MIN(S207,147.1)</f>
        <v>147.1</v>
      </c>
      <c r="U207" s="33">
        <f t="shared" si="41"/>
        <v>117.7</v>
      </c>
      <c r="V207" s="1"/>
      <c r="W207" s="60"/>
      <c r="X207" s="1"/>
      <c r="Y207" s="1"/>
      <c r="Z207" s="60"/>
      <c r="AA207" s="60"/>
      <c r="AB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9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9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9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9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9"/>
      <c r="FG207" s="8"/>
      <c r="FH207" s="8"/>
    </row>
    <row r="208" spans="1:164" s="2" customFormat="1" ht="17.100000000000001" customHeight="1">
      <c r="A208" s="13" t="s">
        <v>190</v>
      </c>
      <c r="B208" s="56">
        <v>80.2</v>
      </c>
      <c r="C208" s="56">
        <v>30.8</v>
      </c>
      <c r="D208" s="4">
        <f t="shared" si="34"/>
        <v>0.38403990024937656</v>
      </c>
      <c r="E208" s="10">
        <v>15</v>
      </c>
      <c r="F208" s="5">
        <v>1</v>
      </c>
      <c r="G208" s="5">
        <v>10</v>
      </c>
      <c r="H208" s="40">
        <f t="shared" si="35"/>
        <v>0.63042394014962599</v>
      </c>
      <c r="I208" s="41">
        <v>1786</v>
      </c>
      <c r="J208" s="33">
        <f t="shared" si="36"/>
        <v>162.36363636363637</v>
      </c>
      <c r="K208" s="33">
        <f t="shared" si="37"/>
        <v>102.4</v>
      </c>
      <c r="L208" s="33">
        <f t="shared" si="38"/>
        <v>-59.963636363636368</v>
      </c>
      <c r="M208" s="33">
        <v>-8.5</v>
      </c>
      <c r="N208" s="33">
        <f t="shared" si="39"/>
        <v>93.9</v>
      </c>
      <c r="O208" s="67"/>
      <c r="P208" s="67"/>
      <c r="Q208" s="68"/>
      <c r="R208" s="68"/>
      <c r="S208" s="33">
        <f t="shared" si="40"/>
        <v>93.9</v>
      </c>
      <c r="T208" s="33"/>
      <c r="U208" s="33">
        <f t="shared" si="41"/>
        <v>93.9</v>
      </c>
      <c r="V208" s="1"/>
      <c r="W208" s="60"/>
      <c r="X208" s="1"/>
      <c r="Y208" s="1"/>
      <c r="Z208" s="60"/>
      <c r="AA208" s="60"/>
      <c r="AB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9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9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9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9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9"/>
      <c r="FG208" s="8"/>
      <c r="FH208" s="8"/>
    </row>
    <row r="209" spans="1:164" s="2" customFormat="1" ht="17.100000000000001" customHeight="1">
      <c r="A209" s="13" t="s">
        <v>191</v>
      </c>
      <c r="B209" s="56">
        <v>283.39999999999998</v>
      </c>
      <c r="C209" s="56">
        <v>275.3</v>
      </c>
      <c r="D209" s="4">
        <f t="shared" si="34"/>
        <v>0.97141848976711376</v>
      </c>
      <c r="E209" s="10">
        <v>15</v>
      </c>
      <c r="F209" s="5">
        <v>1</v>
      </c>
      <c r="G209" s="5">
        <v>10</v>
      </c>
      <c r="H209" s="40">
        <f t="shared" si="35"/>
        <v>0.98285109386026814</v>
      </c>
      <c r="I209" s="41">
        <v>1832</v>
      </c>
      <c r="J209" s="33">
        <f t="shared" si="36"/>
        <v>166.54545454545453</v>
      </c>
      <c r="K209" s="33">
        <f t="shared" si="37"/>
        <v>163.69999999999999</v>
      </c>
      <c r="L209" s="33">
        <f t="shared" si="38"/>
        <v>-2.8454545454545439</v>
      </c>
      <c r="M209" s="33">
        <v>-1.9</v>
      </c>
      <c r="N209" s="33">
        <f t="shared" si="39"/>
        <v>161.80000000000001</v>
      </c>
      <c r="O209" s="67"/>
      <c r="P209" s="67"/>
      <c r="Q209" s="68"/>
      <c r="R209" s="68"/>
      <c r="S209" s="33">
        <f t="shared" si="40"/>
        <v>161.80000000000001</v>
      </c>
      <c r="T209" s="33">
        <f>MIN(S209,39.9)</f>
        <v>39.9</v>
      </c>
      <c r="U209" s="33">
        <f t="shared" si="41"/>
        <v>121.9</v>
      </c>
      <c r="V209" s="1"/>
      <c r="W209" s="60"/>
      <c r="X209" s="1"/>
      <c r="Y209" s="1"/>
      <c r="Z209" s="60"/>
      <c r="AA209" s="60"/>
      <c r="AB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9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9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9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9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9"/>
      <c r="FG209" s="8"/>
      <c r="FH209" s="8"/>
    </row>
    <row r="210" spans="1:164" s="2" customFormat="1" ht="17.100000000000001" customHeight="1">
      <c r="A210" s="13" t="s">
        <v>192</v>
      </c>
      <c r="B210" s="56">
        <v>92.8</v>
      </c>
      <c r="C210" s="56">
        <v>208.8</v>
      </c>
      <c r="D210" s="4">
        <f t="shared" si="34"/>
        <v>1.3</v>
      </c>
      <c r="E210" s="10">
        <v>15</v>
      </c>
      <c r="F210" s="5">
        <v>1</v>
      </c>
      <c r="G210" s="5">
        <v>10</v>
      </c>
      <c r="H210" s="40">
        <f t="shared" si="35"/>
        <v>1.18</v>
      </c>
      <c r="I210" s="41">
        <v>3980</v>
      </c>
      <c r="J210" s="33">
        <f t="shared" si="36"/>
        <v>361.81818181818181</v>
      </c>
      <c r="K210" s="33">
        <f t="shared" si="37"/>
        <v>426.9</v>
      </c>
      <c r="L210" s="33">
        <f t="shared" si="38"/>
        <v>65.081818181818164</v>
      </c>
      <c r="M210" s="33">
        <v>19.100000000000001</v>
      </c>
      <c r="N210" s="33">
        <f t="shared" si="39"/>
        <v>446</v>
      </c>
      <c r="O210" s="67"/>
      <c r="P210" s="67"/>
      <c r="Q210" s="68"/>
      <c r="R210" s="68"/>
      <c r="S210" s="33">
        <f t="shared" si="40"/>
        <v>446</v>
      </c>
      <c r="T210" s="33">
        <f>MIN(S210,143.3)</f>
        <v>143.30000000000001</v>
      </c>
      <c r="U210" s="33">
        <f t="shared" si="41"/>
        <v>302.7</v>
      </c>
      <c r="V210" s="1"/>
      <c r="W210" s="60"/>
      <c r="X210" s="1"/>
      <c r="Y210" s="1"/>
      <c r="Z210" s="60"/>
      <c r="AA210" s="60"/>
      <c r="AB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9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9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9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9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9"/>
      <c r="FG210" s="8"/>
      <c r="FH210" s="8"/>
    </row>
    <row r="211" spans="1:164" s="2" customFormat="1" ht="17.100000000000001" customHeight="1">
      <c r="A211" s="13" t="s">
        <v>193</v>
      </c>
      <c r="B211" s="56">
        <v>1408.1</v>
      </c>
      <c r="C211" s="56">
        <v>1362.4</v>
      </c>
      <c r="D211" s="4">
        <f t="shared" si="34"/>
        <v>0.96754491868475268</v>
      </c>
      <c r="E211" s="10">
        <v>15</v>
      </c>
      <c r="F211" s="5">
        <v>1</v>
      </c>
      <c r="G211" s="5">
        <v>10</v>
      </c>
      <c r="H211" s="40">
        <f t="shared" si="35"/>
        <v>0.98052695121085154</v>
      </c>
      <c r="I211" s="41">
        <v>3770</v>
      </c>
      <c r="J211" s="33">
        <f t="shared" si="36"/>
        <v>342.72727272727275</v>
      </c>
      <c r="K211" s="33">
        <f t="shared" si="37"/>
        <v>336.1</v>
      </c>
      <c r="L211" s="33">
        <f t="shared" si="38"/>
        <v>-6.6272727272727252</v>
      </c>
      <c r="M211" s="33">
        <v>9.5</v>
      </c>
      <c r="N211" s="33">
        <f t="shared" si="39"/>
        <v>345.6</v>
      </c>
      <c r="O211" s="67"/>
      <c r="P211" s="67"/>
      <c r="Q211" s="68"/>
      <c r="R211" s="68"/>
      <c r="S211" s="33">
        <f t="shared" si="40"/>
        <v>345.6</v>
      </c>
      <c r="T211" s="33">
        <f>MIN(S211,5.9)</f>
        <v>5.9</v>
      </c>
      <c r="U211" s="33">
        <f t="shared" si="41"/>
        <v>339.7</v>
      </c>
      <c r="V211" s="1"/>
      <c r="W211" s="60"/>
      <c r="X211" s="1"/>
      <c r="Y211" s="1"/>
      <c r="Z211" s="60"/>
      <c r="AA211" s="60"/>
      <c r="AB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9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9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9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9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9"/>
      <c r="FG211" s="8"/>
      <c r="FH211" s="8"/>
    </row>
    <row r="212" spans="1:164" s="2" customFormat="1" ht="17.100000000000001" customHeight="1">
      <c r="A212" s="13" t="s">
        <v>194</v>
      </c>
      <c r="B212" s="56">
        <v>525.29999999999995</v>
      </c>
      <c r="C212" s="56">
        <v>43.1</v>
      </c>
      <c r="D212" s="4">
        <f t="shared" si="34"/>
        <v>8.2048353321911294E-2</v>
      </c>
      <c r="E212" s="10">
        <v>15</v>
      </c>
      <c r="F212" s="5">
        <v>1</v>
      </c>
      <c r="G212" s="5">
        <v>10</v>
      </c>
      <c r="H212" s="40">
        <f t="shared" si="35"/>
        <v>0.4492290119931468</v>
      </c>
      <c r="I212" s="41">
        <v>1897</v>
      </c>
      <c r="J212" s="33">
        <f t="shared" si="36"/>
        <v>172.45454545454547</v>
      </c>
      <c r="K212" s="33">
        <f t="shared" si="37"/>
        <v>77.5</v>
      </c>
      <c r="L212" s="33">
        <f t="shared" si="38"/>
        <v>-94.954545454545467</v>
      </c>
      <c r="M212" s="33">
        <v>29.7</v>
      </c>
      <c r="N212" s="33">
        <f t="shared" si="39"/>
        <v>107.2</v>
      </c>
      <c r="O212" s="67"/>
      <c r="P212" s="67"/>
      <c r="Q212" s="68"/>
      <c r="R212" s="68"/>
      <c r="S212" s="33">
        <f t="shared" si="40"/>
        <v>107.2</v>
      </c>
      <c r="T212" s="33"/>
      <c r="U212" s="33">
        <f t="shared" si="41"/>
        <v>107.2</v>
      </c>
      <c r="V212" s="1"/>
      <c r="W212" s="60"/>
      <c r="X212" s="1"/>
      <c r="Y212" s="1"/>
      <c r="Z212" s="60"/>
      <c r="AA212" s="60"/>
      <c r="AB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9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9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9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9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9"/>
      <c r="FG212" s="8"/>
      <c r="FH212" s="8"/>
    </row>
    <row r="213" spans="1:164" s="2" customFormat="1" ht="17.100000000000001" customHeight="1">
      <c r="A213" s="13" t="s">
        <v>195</v>
      </c>
      <c r="B213" s="56">
        <v>95.8</v>
      </c>
      <c r="C213" s="56">
        <v>62.5</v>
      </c>
      <c r="D213" s="4">
        <f t="shared" si="34"/>
        <v>0.6524008350730689</v>
      </c>
      <c r="E213" s="10">
        <v>15</v>
      </c>
      <c r="F213" s="5">
        <v>1</v>
      </c>
      <c r="G213" s="5">
        <v>10</v>
      </c>
      <c r="H213" s="40">
        <f t="shared" si="35"/>
        <v>0.79144050104384134</v>
      </c>
      <c r="I213" s="41">
        <v>1764</v>
      </c>
      <c r="J213" s="33">
        <f t="shared" si="36"/>
        <v>160.36363636363637</v>
      </c>
      <c r="K213" s="33">
        <f t="shared" si="37"/>
        <v>126.9</v>
      </c>
      <c r="L213" s="33">
        <f t="shared" si="38"/>
        <v>-33.463636363636368</v>
      </c>
      <c r="M213" s="33">
        <v>19.8</v>
      </c>
      <c r="N213" s="33">
        <f t="shared" si="39"/>
        <v>146.69999999999999</v>
      </c>
      <c r="O213" s="67"/>
      <c r="P213" s="67"/>
      <c r="Q213" s="68"/>
      <c r="R213" s="68"/>
      <c r="S213" s="33">
        <f t="shared" si="40"/>
        <v>146.69999999999999</v>
      </c>
      <c r="T213" s="33">
        <f>MIN(S213,80.2)</f>
        <v>80.2</v>
      </c>
      <c r="U213" s="33">
        <f t="shared" si="41"/>
        <v>66.5</v>
      </c>
      <c r="V213" s="1"/>
      <c r="W213" s="60"/>
      <c r="X213" s="1"/>
      <c r="Y213" s="1"/>
      <c r="Z213" s="60"/>
      <c r="AA213" s="60"/>
      <c r="AB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9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9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9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9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9"/>
      <c r="FG213" s="8"/>
      <c r="FH213" s="8"/>
    </row>
    <row r="214" spans="1:164" s="2" customFormat="1" ht="17.100000000000001" customHeight="1">
      <c r="A214" s="13" t="s">
        <v>196</v>
      </c>
      <c r="B214" s="56">
        <v>377.6</v>
      </c>
      <c r="C214" s="56">
        <v>150.4</v>
      </c>
      <c r="D214" s="4">
        <f t="shared" si="34"/>
        <v>0.39830508474576271</v>
      </c>
      <c r="E214" s="10">
        <v>15</v>
      </c>
      <c r="F214" s="5">
        <v>1</v>
      </c>
      <c r="G214" s="5">
        <v>10</v>
      </c>
      <c r="H214" s="40">
        <f t="shared" si="35"/>
        <v>0.63898305084745755</v>
      </c>
      <c r="I214" s="41">
        <v>3383</v>
      </c>
      <c r="J214" s="33">
        <f t="shared" si="36"/>
        <v>307.54545454545456</v>
      </c>
      <c r="K214" s="33">
        <f t="shared" si="37"/>
        <v>196.5</v>
      </c>
      <c r="L214" s="33">
        <f t="shared" si="38"/>
        <v>-111.04545454545456</v>
      </c>
      <c r="M214" s="33">
        <v>1.5</v>
      </c>
      <c r="N214" s="33">
        <f t="shared" si="39"/>
        <v>198</v>
      </c>
      <c r="O214" s="67"/>
      <c r="P214" s="67"/>
      <c r="Q214" s="68"/>
      <c r="R214" s="68"/>
      <c r="S214" s="33">
        <f t="shared" si="40"/>
        <v>198</v>
      </c>
      <c r="T214" s="33"/>
      <c r="U214" s="33">
        <f t="shared" si="41"/>
        <v>198</v>
      </c>
      <c r="V214" s="1"/>
      <c r="W214" s="60"/>
      <c r="X214" s="1"/>
      <c r="Y214" s="1"/>
      <c r="Z214" s="60"/>
      <c r="AA214" s="60"/>
      <c r="AB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9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9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9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9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9"/>
      <c r="FG214" s="8"/>
      <c r="FH214" s="8"/>
    </row>
    <row r="215" spans="1:164" s="2" customFormat="1" ht="17.100000000000001" customHeight="1">
      <c r="A215" s="13" t="s">
        <v>197</v>
      </c>
      <c r="B215" s="56">
        <v>9.1999999999999993</v>
      </c>
      <c r="C215" s="56">
        <v>11</v>
      </c>
      <c r="D215" s="4">
        <f t="shared" si="34"/>
        <v>1.1956521739130437</v>
      </c>
      <c r="E215" s="10">
        <v>15</v>
      </c>
      <c r="F215" s="5">
        <v>1</v>
      </c>
      <c r="G215" s="5">
        <v>10</v>
      </c>
      <c r="H215" s="40">
        <f t="shared" si="35"/>
        <v>1.1173913043478263</v>
      </c>
      <c r="I215" s="41">
        <v>1908</v>
      </c>
      <c r="J215" s="33">
        <f t="shared" si="36"/>
        <v>173.45454545454547</v>
      </c>
      <c r="K215" s="33">
        <f t="shared" si="37"/>
        <v>193.8</v>
      </c>
      <c r="L215" s="33">
        <f t="shared" si="38"/>
        <v>20.345454545454544</v>
      </c>
      <c r="M215" s="33">
        <v>17.899999999999999</v>
      </c>
      <c r="N215" s="33">
        <f t="shared" si="39"/>
        <v>211.7</v>
      </c>
      <c r="O215" s="67"/>
      <c r="P215" s="67"/>
      <c r="Q215" s="68"/>
      <c r="R215" s="68"/>
      <c r="S215" s="33">
        <f t="shared" si="40"/>
        <v>211.7</v>
      </c>
      <c r="T215" s="33"/>
      <c r="U215" s="33">
        <f t="shared" si="41"/>
        <v>211.7</v>
      </c>
      <c r="V215" s="1"/>
      <c r="W215" s="60"/>
      <c r="X215" s="1"/>
      <c r="Y215" s="1"/>
      <c r="Z215" s="60"/>
      <c r="AA215" s="60"/>
      <c r="AB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9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9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9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9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9"/>
      <c r="FG215" s="8"/>
      <c r="FH215" s="8"/>
    </row>
    <row r="216" spans="1:164" s="2" customFormat="1" ht="17.100000000000001" customHeight="1">
      <c r="A216" s="13" t="s">
        <v>198</v>
      </c>
      <c r="B216" s="56">
        <v>131.80000000000001</v>
      </c>
      <c r="C216" s="56">
        <v>97.4</v>
      </c>
      <c r="D216" s="4">
        <f t="shared" si="34"/>
        <v>0.7389984825493171</v>
      </c>
      <c r="E216" s="10">
        <v>15</v>
      </c>
      <c r="F216" s="5">
        <v>1</v>
      </c>
      <c r="G216" s="5">
        <v>10</v>
      </c>
      <c r="H216" s="40">
        <f t="shared" si="35"/>
        <v>0.84339908952959031</v>
      </c>
      <c r="I216" s="41">
        <v>1295</v>
      </c>
      <c r="J216" s="33">
        <f t="shared" si="36"/>
        <v>117.72727272727273</v>
      </c>
      <c r="K216" s="33">
        <f t="shared" si="37"/>
        <v>99.3</v>
      </c>
      <c r="L216" s="33">
        <f t="shared" si="38"/>
        <v>-18.427272727272737</v>
      </c>
      <c r="M216" s="33">
        <v>-6.1</v>
      </c>
      <c r="N216" s="33">
        <f t="shared" si="39"/>
        <v>93.2</v>
      </c>
      <c r="O216" s="67"/>
      <c r="P216" s="67"/>
      <c r="Q216" s="68"/>
      <c r="R216" s="68"/>
      <c r="S216" s="33">
        <f t="shared" si="40"/>
        <v>93.2</v>
      </c>
      <c r="T216" s="33"/>
      <c r="U216" s="33">
        <f t="shared" si="41"/>
        <v>93.2</v>
      </c>
      <c r="V216" s="1"/>
      <c r="W216" s="60"/>
      <c r="X216" s="1"/>
      <c r="Y216" s="1"/>
      <c r="Z216" s="60"/>
      <c r="AA216" s="60"/>
      <c r="AB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9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9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9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9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9"/>
      <c r="FG216" s="8"/>
      <c r="FH216" s="8"/>
    </row>
    <row r="217" spans="1:164" s="2" customFormat="1" ht="17.100000000000001" customHeight="1">
      <c r="A217" s="17" t="s">
        <v>199</v>
      </c>
      <c r="B217" s="57"/>
      <c r="C217" s="57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33"/>
      <c r="V217" s="1"/>
      <c r="W217" s="60"/>
      <c r="X217" s="1"/>
      <c r="Y217" s="1"/>
      <c r="Z217" s="60"/>
      <c r="AA217" s="60"/>
      <c r="AB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9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9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9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9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9"/>
      <c r="FG217" s="8"/>
      <c r="FH217" s="8"/>
    </row>
    <row r="218" spans="1:164" s="2" customFormat="1" ht="16.7" customHeight="1">
      <c r="A218" s="42" t="s">
        <v>200</v>
      </c>
      <c r="B218" s="56">
        <v>846.1</v>
      </c>
      <c r="C218" s="56">
        <v>52.8</v>
      </c>
      <c r="D218" s="4">
        <f t="shared" si="34"/>
        <v>6.24039711618012E-2</v>
      </c>
      <c r="E218" s="10">
        <v>15</v>
      </c>
      <c r="F218" s="5">
        <v>1</v>
      </c>
      <c r="G218" s="5">
        <v>10</v>
      </c>
      <c r="H218" s="40">
        <f t="shared" si="35"/>
        <v>0.43744238269708069</v>
      </c>
      <c r="I218" s="41">
        <v>330</v>
      </c>
      <c r="J218" s="33">
        <f t="shared" si="36"/>
        <v>30</v>
      </c>
      <c r="K218" s="33">
        <f t="shared" si="37"/>
        <v>13.1</v>
      </c>
      <c r="L218" s="33">
        <f t="shared" si="38"/>
        <v>-16.899999999999999</v>
      </c>
      <c r="M218" s="33">
        <v>12.1</v>
      </c>
      <c r="N218" s="33">
        <f t="shared" si="39"/>
        <v>25.2</v>
      </c>
      <c r="O218" s="67"/>
      <c r="P218" s="67"/>
      <c r="Q218" s="68"/>
      <c r="R218" s="68"/>
      <c r="S218" s="33">
        <f t="shared" si="40"/>
        <v>25.2</v>
      </c>
      <c r="T218" s="33"/>
      <c r="U218" s="33">
        <f t="shared" si="41"/>
        <v>25.2</v>
      </c>
      <c r="V218" s="1"/>
      <c r="W218" s="60"/>
      <c r="X218" s="1"/>
      <c r="Y218" s="1"/>
      <c r="Z218" s="60"/>
      <c r="AA218" s="60"/>
      <c r="AB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9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9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9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9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9"/>
      <c r="FG218" s="8"/>
      <c r="FH218" s="8"/>
    </row>
    <row r="219" spans="1:164" s="2" customFormat="1" ht="17.100000000000001" customHeight="1">
      <c r="A219" s="42" t="s">
        <v>201</v>
      </c>
      <c r="B219" s="56">
        <v>471.4</v>
      </c>
      <c r="C219" s="56">
        <v>284.39999999999998</v>
      </c>
      <c r="D219" s="4">
        <f t="shared" si="34"/>
        <v>0.60330929147221046</v>
      </c>
      <c r="E219" s="10">
        <v>15</v>
      </c>
      <c r="F219" s="5">
        <v>1</v>
      </c>
      <c r="G219" s="5">
        <v>10</v>
      </c>
      <c r="H219" s="40">
        <f t="shared" si="35"/>
        <v>0.7619855748833263</v>
      </c>
      <c r="I219" s="41">
        <v>2112</v>
      </c>
      <c r="J219" s="33">
        <f t="shared" si="36"/>
        <v>192</v>
      </c>
      <c r="K219" s="33">
        <f t="shared" si="37"/>
        <v>146.30000000000001</v>
      </c>
      <c r="L219" s="33">
        <f t="shared" si="38"/>
        <v>-45.699999999999989</v>
      </c>
      <c r="M219" s="33">
        <v>40.9</v>
      </c>
      <c r="N219" s="33">
        <f t="shared" si="39"/>
        <v>187.2</v>
      </c>
      <c r="O219" s="67"/>
      <c r="P219" s="67"/>
      <c r="Q219" s="68"/>
      <c r="R219" s="68"/>
      <c r="S219" s="33">
        <f t="shared" si="40"/>
        <v>187.2</v>
      </c>
      <c r="T219" s="33"/>
      <c r="U219" s="33">
        <f t="shared" si="41"/>
        <v>187.2</v>
      </c>
      <c r="V219" s="1"/>
      <c r="W219" s="60"/>
      <c r="X219" s="1"/>
      <c r="Y219" s="1"/>
      <c r="Z219" s="60"/>
      <c r="AA219" s="60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9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9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9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9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9"/>
      <c r="FG219" s="8"/>
      <c r="FH219" s="8"/>
    </row>
    <row r="220" spans="1:164" s="2" customFormat="1" ht="17.100000000000001" customHeight="1">
      <c r="A220" s="42" t="s">
        <v>202</v>
      </c>
      <c r="B220" s="56">
        <v>1951.9</v>
      </c>
      <c r="C220" s="56">
        <v>1983.5</v>
      </c>
      <c r="D220" s="4">
        <f t="shared" si="34"/>
        <v>1.0161893539628055</v>
      </c>
      <c r="E220" s="10">
        <v>15</v>
      </c>
      <c r="F220" s="5">
        <v>1</v>
      </c>
      <c r="G220" s="5">
        <v>10</v>
      </c>
      <c r="H220" s="40">
        <f t="shared" si="35"/>
        <v>1.0097136123776833</v>
      </c>
      <c r="I220" s="41">
        <v>22</v>
      </c>
      <c r="J220" s="33">
        <f t="shared" si="36"/>
        <v>2</v>
      </c>
      <c r="K220" s="33">
        <f t="shared" si="37"/>
        <v>2</v>
      </c>
      <c r="L220" s="33">
        <f t="shared" si="38"/>
        <v>0</v>
      </c>
      <c r="M220" s="33">
        <v>0.4</v>
      </c>
      <c r="N220" s="33">
        <f t="shared" si="39"/>
        <v>2.4</v>
      </c>
      <c r="O220" s="67"/>
      <c r="P220" s="67"/>
      <c r="Q220" s="68"/>
      <c r="R220" s="68"/>
      <c r="S220" s="33">
        <f t="shared" si="40"/>
        <v>2.4</v>
      </c>
      <c r="T220" s="33"/>
      <c r="U220" s="33">
        <f t="shared" si="41"/>
        <v>2.4</v>
      </c>
      <c r="V220" s="1"/>
      <c r="W220" s="60"/>
      <c r="X220" s="1"/>
      <c r="Y220" s="1"/>
      <c r="Z220" s="60"/>
      <c r="AA220" s="60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9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9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9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9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9"/>
      <c r="FG220" s="8"/>
      <c r="FH220" s="8"/>
    </row>
    <row r="221" spans="1:164" s="2" customFormat="1" ht="17.100000000000001" customHeight="1">
      <c r="A221" s="42" t="s">
        <v>203</v>
      </c>
      <c r="B221" s="56">
        <v>510.3</v>
      </c>
      <c r="C221" s="56">
        <v>399.6</v>
      </c>
      <c r="D221" s="4">
        <f t="shared" si="34"/>
        <v>0.78306878306878314</v>
      </c>
      <c r="E221" s="10">
        <v>15</v>
      </c>
      <c r="F221" s="5">
        <v>1</v>
      </c>
      <c r="G221" s="5">
        <v>10</v>
      </c>
      <c r="H221" s="40">
        <f t="shared" si="35"/>
        <v>0.86984126984126986</v>
      </c>
      <c r="I221" s="41">
        <v>1429</v>
      </c>
      <c r="J221" s="33">
        <f t="shared" si="36"/>
        <v>129.90909090909091</v>
      </c>
      <c r="K221" s="33">
        <f t="shared" si="37"/>
        <v>113</v>
      </c>
      <c r="L221" s="33">
        <f t="shared" si="38"/>
        <v>-16.909090909090907</v>
      </c>
      <c r="M221" s="33">
        <v>37.700000000000003</v>
      </c>
      <c r="N221" s="33">
        <f t="shared" si="39"/>
        <v>150.69999999999999</v>
      </c>
      <c r="O221" s="67"/>
      <c r="P221" s="67"/>
      <c r="Q221" s="68"/>
      <c r="R221" s="68"/>
      <c r="S221" s="33">
        <f t="shared" si="40"/>
        <v>150.69999999999999</v>
      </c>
      <c r="T221" s="33"/>
      <c r="U221" s="33">
        <f t="shared" si="41"/>
        <v>150.69999999999999</v>
      </c>
      <c r="V221" s="1"/>
      <c r="W221" s="60"/>
      <c r="X221" s="1"/>
      <c r="Y221" s="1"/>
      <c r="Z221" s="60"/>
      <c r="AA221" s="60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9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9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9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9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9"/>
      <c r="FG221" s="8"/>
      <c r="FH221" s="8"/>
    </row>
    <row r="222" spans="1:164" s="2" customFormat="1" ht="17.100000000000001" customHeight="1">
      <c r="A222" s="42" t="s">
        <v>204</v>
      </c>
      <c r="B222" s="56">
        <v>6148.2</v>
      </c>
      <c r="C222" s="56">
        <v>4120.2</v>
      </c>
      <c r="D222" s="4">
        <f t="shared" si="34"/>
        <v>0.67014736020298626</v>
      </c>
      <c r="E222" s="10">
        <v>15</v>
      </c>
      <c r="F222" s="5">
        <v>1</v>
      </c>
      <c r="G222" s="5">
        <v>10</v>
      </c>
      <c r="H222" s="40">
        <f t="shared" si="35"/>
        <v>0.80208841612179183</v>
      </c>
      <c r="I222" s="41">
        <v>3133</v>
      </c>
      <c r="J222" s="33">
        <f t="shared" si="36"/>
        <v>284.81818181818181</v>
      </c>
      <c r="K222" s="33">
        <f t="shared" si="37"/>
        <v>228.4</v>
      </c>
      <c r="L222" s="33">
        <f t="shared" si="38"/>
        <v>-56.418181818181807</v>
      </c>
      <c r="M222" s="33">
        <v>82</v>
      </c>
      <c r="N222" s="33">
        <f t="shared" si="39"/>
        <v>310.39999999999998</v>
      </c>
      <c r="O222" s="67"/>
      <c r="P222" s="67"/>
      <c r="Q222" s="68"/>
      <c r="R222" s="68"/>
      <c r="S222" s="33">
        <f t="shared" si="40"/>
        <v>310.39999999999998</v>
      </c>
      <c r="T222" s="33"/>
      <c r="U222" s="33">
        <f t="shared" si="41"/>
        <v>310.39999999999998</v>
      </c>
      <c r="V222" s="1"/>
      <c r="W222" s="60"/>
      <c r="X222" s="1"/>
      <c r="Y222" s="1"/>
      <c r="Z222" s="60"/>
      <c r="AA222" s="60"/>
      <c r="AB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9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9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9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9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9"/>
      <c r="FG222" s="8"/>
      <c r="FH222" s="8"/>
    </row>
    <row r="223" spans="1:164" s="2" customFormat="1" ht="17.100000000000001" customHeight="1">
      <c r="A223" s="42" t="s">
        <v>205</v>
      </c>
      <c r="B223" s="56">
        <v>755.8</v>
      </c>
      <c r="C223" s="56">
        <v>631.20000000000005</v>
      </c>
      <c r="D223" s="4">
        <f t="shared" si="34"/>
        <v>0.83514157184440341</v>
      </c>
      <c r="E223" s="10">
        <v>15</v>
      </c>
      <c r="F223" s="5">
        <v>1</v>
      </c>
      <c r="G223" s="5">
        <v>10</v>
      </c>
      <c r="H223" s="40">
        <f t="shared" si="35"/>
        <v>0.90108494310664211</v>
      </c>
      <c r="I223" s="41">
        <v>2244</v>
      </c>
      <c r="J223" s="33">
        <f t="shared" si="36"/>
        <v>204</v>
      </c>
      <c r="K223" s="33">
        <f t="shared" si="37"/>
        <v>183.8</v>
      </c>
      <c r="L223" s="33">
        <f t="shared" si="38"/>
        <v>-20.199999999999989</v>
      </c>
      <c r="M223" s="33">
        <v>53.6</v>
      </c>
      <c r="N223" s="33">
        <f t="shared" si="39"/>
        <v>237.4</v>
      </c>
      <c r="O223" s="67"/>
      <c r="P223" s="67"/>
      <c r="Q223" s="68"/>
      <c r="R223" s="68"/>
      <c r="S223" s="33">
        <f t="shared" si="40"/>
        <v>237.4</v>
      </c>
      <c r="T223" s="33"/>
      <c r="U223" s="33">
        <f t="shared" si="41"/>
        <v>237.4</v>
      </c>
      <c r="V223" s="1"/>
      <c r="W223" s="60"/>
      <c r="X223" s="1"/>
      <c r="Y223" s="1"/>
      <c r="Z223" s="60"/>
      <c r="AA223" s="60"/>
      <c r="AB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9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9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9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9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9"/>
      <c r="FG223" s="8"/>
      <c r="FH223" s="8"/>
    </row>
    <row r="224" spans="1:164" s="2" customFormat="1" ht="17.100000000000001" customHeight="1">
      <c r="A224" s="42" t="s">
        <v>206</v>
      </c>
      <c r="B224" s="56">
        <v>4954.1000000000004</v>
      </c>
      <c r="C224" s="56">
        <v>4390.1000000000004</v>
      </c>
      <c r="D224" s="4">
        <f t="shared" si="34"/>
        <v>0.8861549020003634</v>
      </c>
      <c r="E224" s="10">
        <v>15</v>
      </c>
      <c r="F224" s="5">
        <v>1</v>
      </c>
      <c r="G224" s="5">
        <v>10</v>
      </c>
      <c r="H224" s="40">
        <f t="shared" si="35"/>
        <v>0.93169294120021806</v>
      </c>
      <c r="I224" s="41">
        <v>64</v>
      </c>
      <c r="J224" s="33">
        <f t="shared" si="36"/>
        <v>5.8181818181818183</v>
      </c>
      <c r="K224" s="33">
        <f t="shared" si="37"/>
        <v>5.4</v>
      </c>
      <c r="L224" s="33">
        <f t="shared" si="38"/>
        <v>-0.41818181818181799</v>
      </c>
      <c r="M224" s="33">
        <v>1.6</v>
      </c>
      <c r="N224" s="33">
        <f t="shared" si="39"/>
        <v>7</v>
      </c>
      <c r="O224" s="67"/>
      <c r="P224" s="67"/>
      <c r="Q224" s="68"/>
      <c r="R224" s="68"/>
      <c r="S224" s="33">
        <f t="shared" si="40"/>
        <v>7</v>
      </c>
      <c r="T224" s="33"/>
      <c r="U224" s="33">
        <f t="shared" si="41"/>
        <v>7</v>
      </c>
      <c r="V224" s="1"/>
      <c r="W224" s="60"/>
      <c r="X224" s="1"/>
      <c r="Y224" s="1"/>
      <c r="Z224" s="60"/>
      <c r="AA224" s="60"/>
      <c r="AB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9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9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9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9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9"/>
      <c r="FG224" s="8"/>
      <c r="FH224" s="8"/>
    </row>
    <row r="225" spans="1:164" s="2" customFormat="1" ht="17.100000000000001" customHeight="1">
      <c r="A225" s="42" t="s">
        <v>207</v>
      </c>
      <c r="B225" s="56">
        <v>556.70000000000005</v>
      </c>
      <c r="C225" s="56">
        <v>533.1</v>
      </c>
      <c r="D225" s="4">
        <f t="shared" si="34"/>
        <v>0.95760732890246092</v>
      </c>
      <c r="E225" s="10">
        <v>15</v>
      </c>
      <c r="F225" s="5">
        <v>1</v>
      </c>
      <c r="G225" s="5">
        <v>10</v>
      </c>
      <c r="H225" s="40">
        <f t="shared" si="35"/>
        <v>0.9745643973414766</v>
      </c>
      <c r="I225" s="41">
        <v>2386</v>
      </c>
      <c r="J225" s="33">
        <f t="shared" si="36"/>
        <v>216.90909090909091</v>
      </c>
      <c r="K225" s="33">
        <f t="shared" si="37"/>
        <v>211.4</v>
      </c>
      <c r="L225" s="33">
        <f t="shared" si="38"/>
        <v>-5.5090909090909008</v>
      </c>
      <c r="M225" s="33">
        <v>63.6</v>
      </c>
      <c r="N225" s="33">
        <f t="shared" si="39"/>
        <v>275</v>
      </c>
      <c r="O225" s="67"/>
      <c r="P225" s="67"/>
      <c r="Q225" s="68"/>
      <c r="R225" s="68"/>
      <c r="S225" s="33">
        <f t="shared" si="40"/>
        <v>275</v>
      </c>
      <c r="T225" s="33"/>
      <c r="U225" s="33">
        <f t="shared" si="41"/>
        <v>275</v>
      </c>
      <c r="V225" s="1"/>
      <c r="W225" s="60"/>
      <c r="X225" s="1"/>
      <c r="Y225" s="1"/>
      <c r="Z225" s="60"/>
      <c r="AA225" s="60"/>
      <c r="AB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9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9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9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9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9"/>
      <c r="FG225" s="8"/>
      <c r="FH225" s="8"/>
    </row>
    <row r="226" spans="1:164" s="2" customFormat="1" ht="17.100000000000001" customHeight="1">
      <c r="A226" s="42" t="s">
        <v>208</v>
      </c>
      <c r="B226" s="56">
        <v>3006.5</v>
      </c>
      <c r="C226" s="56">
        <v>1933.7</v>
      </c>
      <c r="D226" s="4">
        <f t="shared" si="34"/>
        <v>0.6431731248960586</v>
      </c>
      <c r="E226" s="10">
        <v>15</v>
      </c>
      <c r="F226" s="5">
        <v>1</v>
      </c>
      <c r="G226" s="5">
        <v>10</v>
      </c>
      <c r="H226" s="40">
        <f t="shared" si="35"/>
        <v>0.78590387493763514</v>
      </c>
      <c r="I226" s="41">
        <v>238</v>
      </c>
      <c r="J226" s="33">
        <f t="shared" si="36"/>
        <v>21.636363636363637</v>
      </c>
      <c r="K226" s="33">
        <f t="shared" si="37"/>
        <v>17</v>
      </c>
      <c r="L226" s="33">
        <f t="shared" si="38"/>
        <v>-4.6363636363636367</v>
      </c>
      <c r="M226" s="33">
        <v>4.4000000000000004</v>
      </c>
      <c r="N226" s="33">
        <f t="shared" si="39"/>
        <v>21.4</v>
      </c>
      <c r="O226" s="67"/>
      <c r="P226" s="67"/>
      <c r="Q226" s="68"/>
      <c r="R226" s="68"/>
      <c r="S226" s="33">
        <f t="shared" si="40"/>
        <v>21.4</v>
      </c>
      <c r="T226" s="33"/>
      <c r="U226" s="33">
        <f t="shared" si="41"/>
        <v>21.4</v>
      </c>
      <c r="V226" s="1"/>
      <c r="W226" s="60"/>
      <c r="X226" s="1"/>
      <c r="Y226" s="1"/>
      <c r="Z226" s="60"/>
      <c r="AA226" s="60"/>
      <c r="AB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9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9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9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9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9"/>
      <c r="FG226" s="8"/>
      <c r="FH226" s="8"/>
    </row>
    <row r="227" spans="1:164" s="2" customFormat="1" ht="17.100000000000001" customHeight="1">
      <c r="A227" s="42" t="s">
        <v>209</v>
      </c>
      <c r="B227" s="56">
        <v>257.39999999999998</v>
      </c>
      <c r="C227" s="56">
        <v>62.5</v>
      </c>
      <c r="D227" s="4">
        <f t="shared" si="34"/>
        <v>0.24281274281274284</v>
      </c>
      <c r="E227" s="10">
        <v>15</v>
      </c>
      <c r="F227" s="5">
        <v>1</v>
      </c>
      <c r="G227" s="5">
        <v>10</v>
      </c>
      <c r="H227" s="40">
        <f t="shared" si="35"/>
        <v>0.54568764568764572</v>
      </c>
      <c r="I227" s="41">
        <v>1064</v>
      </c>
      <c r="J227" s="33">
        <f t="shared" si="36"/>
        <v>96.727272727272734</v>
      </c>
      <c r="K227" s="33">
        <f t="shared" si="37"/>
        <v>52.8</v>
      </c>
      <c r="L227" s="33">
        <f t="shared" si="38"/>
        <v>-43.927272727272737</v>
      </c>
      <c r="M227" s="33">
        <v>34.1</v>
      </c>
      <c r="N227" s="33">
        <f t="shared" si="39"/>
        <v>86.9</v>
      </c>
      <c r="O227" s="67"/>
      <c r="P227" s="67"/>
      <c r="Q227" s="68"/>
      <c r="R227" s="68"/>
      <c r="S227" s="33">
        <f t="shared" si="40"/>
        <v>86.9</v>
      </c>
      <c r="T227" s="33"/>
      <c r="U227" s="33">
        <f t="shared" si="41"/>
        <v>86.9</v>
      </c>
      <c r="V227" s="1"/>
      <c r="W227" s="60"/>
      <c r="X227" s="1"/>
      <c r="Y227" s="1"/>
      <c r="Z227" s="60"/>
      <c r="AA227" s="60"/>
      <c r="AB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9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9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9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9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9"/>
      <c r="FG227" s="8"/>
      <c r="FH227" s="8"/>
    </row>
    <row r="228" spans="1:164" s="2" customFormat="1" ht="17.100000000000001" customHeight="1">
      <c r="A228" s="42" t="s">
        <v>210</v>
      </c>
      <c r="B228" s="56">
        <v>347.5</v>
      </c>
      <c r="C228" s="56">
        <v>80.8</v>
      </c>
      <c r="D228" s="4">
        <f t="shared" si="34"/>
        <v>0.2325179856115108</v>
      </c>
      <c r="E228" s="10">
        <v>15</v>
      </c>
      <c r="F228" s="5">
        <v>1</v>
      </c>
      <c r="G228" s="5">
        <v>10</v>
      </c>
      <c r="H228" s="40">
        <f t="shared" si="35"/>
        <v>0.53951079136690649</v>
      </c>
      <c r="I228" s="41">
        <v>2434</v>
      </c>
      <c r="J228" s="33">
        <f t="shared" si="36"/>
        <v>221.27272727272728</v>
      </c>
      <c r="K228" s="33">
        <f t="shared" si="37"/>
        <v>119.4</v>
      </c>
      <c r="L228" s="33">
        <f t="shared" si="38"/>
        <v>-101.87272727272727</v>
      </c>
      <c r="M228" s="33">
        <v>82.8</v>
      </c>
      <c r="N228" s="33">
        <f t="shared" si="39"/>
        <v>202.2</v>
      </c>
      <c r="O228" s="67"/>
      <c r="P228" s="67"/>
      <c r="Q228" s="68"/>
      <c r="R228" s="68"/>
      <c r="S228" s="33">
        <f t="shared" si="40"/>
        <v>202.2</v>
      </c>
      <c r="T228" s="33"/>
      <c r="U228" s="33">
        <f t="shared" si="41"/>
        <v>202.2</v>
      </c>
      <c r="V228" s="1"/>
      <c r="W228" s="60"/>
      <c r="X228" s="1"/>
      <c r="Y228" s="1"/>
      <c r="Z228" s="60"/>
      <c r="AA228" s="60"/>
      <c r="AB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9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9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9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9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9"/>
      <c r="FG228" s="8"/>
      <c r="FH228" s="8"/>
    </row>
    <row r="229" spans="1:164" s="2" customFormat="1" ht="17.100000000000001" customHeight="1">
      <c r="A229" s="42" t="s">
        <v>211</v>
      </c>
      <c r="B229" s="56">
        <v>705.5</v>
      </c>
      <c r="C229" s="56">
        <v>2050.1</v>
      </c>
      <c r="D229" s="4">
        <f t="shared" si="34"/>
        <v>1.3</v>
      </c>
      <c r="E229" s="10">
        <v>15</v>
      </c>
      <c r="F229" s="5">
        <v>1</v>
      </c>
      <c r="G229" s="5">
        <v>10</v>
      </c>
      <c r="H229" s="40">
        <f t="shared" si="35"/>
        <v>1.18</v>
      </c>
      <c r="I229" s="41">
        <v>493</v>
      </c>
      <c r="J229" s="33">
        <f t="shared" si="36"/>
        <v>44.81818181818182</v>
      </c>
      <c r="K229" s="33">
        <f t="shared" si="37"/>
        <v>52.9</v>
      </c>
      <c r="L229" s="33">
        <f t="shared" si="38"/>
        <v>8.0818181818181785</v>
      </c>
      <c r="M229" s="33">
        <v>15.4</v>
      </c>
      <c r="N229" s="33">
        <f t="shared" si="39"/>
        <v>68.3</v>
      </c>
      <c r="O229" s="67"/>
      <c r="P229" s="67"/>
      <c r="Q229" s="68"/>
      <c r="R229" s="68"/>
      <c r="S229" s="33">
        <f t="shared" si="40"/>
        <v>68.3</v>
      </c>
      <c r="T229" s="33"/>
      <c r="U229" s="33">
        <f t="shared" si="41"/>
        <v>68.3</v>
      </c>
      <c r="V229" s="1"/>
      <c r="W229" s="60"/>
      <c r="X229" s="1"/>
      <c r="Y229" s="1"/>
      <c r="Z229" s="60"/>
      <c r="AA229" s="60"/>
      <c r="AB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9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9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9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9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9"/>
      <c r="FG229" s="8"/>
      <c r="FH229" s="8"/>
    </row>
    <row r="230" spans="1:164" s="2" customFormat="1" ht="17.100000000000001" customHeight="1">
      <c r="A230" s="42" t="s">
        <v>212</v>
      </c>
      <c r="B230" s="56">
        <v>107.7</v>
      </c>
      <c r="C230" s="56">
        <v>38</v>
      </c>
      <c r="D230" s="4">
        <f t="shared" si="34"/>
        <v>0.35283194057567313</v>
      </c>
      <c r="E230" s="10">
        <v>15</v>
      </c>
      <c r="F230" s="5">
        <v>1</v>
      </c>
      <c r="G230" s="5">
        <v>10</v>
      </c>
      <c r="H230" s="40">
        <f t="shared" si="35"/>
        <v>0.61169916434540383</v>
      </c>
      <c r="I230" s="41">
        <v>1127</v>
      </c>
      <c r="J230" s="33">
        <f t="shared" si="36"/>
        <v>102.45454545454545</v>
      </c>
      <c r="K230" s="33">
        <f t="shared" si="37"/>
        <v>62.7</v>
      </c>
      <c r="L230" s="33">
        <f t="shared" si="38"/>
        <v>-39.75454545454545</v>
      </c>
      <c r="M230" s="33">
        <v>19.5</v>
      </c>
      <c r="N230" s="33">
        <f t="shared" si="39"/>
        <v>82.2</v>
      </c>
      <c r="O230" s="67"/>
      <c r="P230" s="67"/>
      <c r="Q230" s="68"/>
      <c r="R230" s="68"/>
      <c r="S230" s="33">
        <f t="shared" si="40"/>
        <v>82.2</v>
      </c>
      <c r="T230" s="33"/>
      <c r="U230" s="33">
        <f t="shared" si="41"/>
        <v>82.2</v>
      </c>
      <c r="V230" s="1"/>
      <c r="W230" s="60"/>
      <c r="X230" s="1"/>
      <c r="Y230" s="1"/>
      <c r="Z230" s="60"/>
      <c r="AA230" s="60"/>
      <c r="AB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9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9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9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9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9"/>
      <c r="FG230" s="8"/>
      <c r="FH230" s="8"/>
    </row>
    <row r="231" spans="1:164" s="2" customFormat="1" ht="16.5" customHeight="1">
      <c r="A231" s="17" t="s">
        <v>213</v>
      </c>
      <c r="B231" s="57"/>
      <c r="C231" s="57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33"/>
      <c r="V231" s="1"/>
      <c r="W231" s="60"/>
      <c r="X231" s="1"/>
      <c r="Y231" s="1"/>
      <c r="Z231" s="60"/>
      <c r="AA231" s="60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9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9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9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9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9"/>
      <c r="FG231" s="8"/>
      <c r="FH231" s="8"/>
    </row>
    <row r="232" spans="1:164" s="2" customFormat="1" ht="17.25" customHeight="1">
      <c r="A232" s="13" t="s">
        <v>214</v>
      </c>
      <c r="B232" s="56">
        <v>259.89999999999998</v>
      </c>
      <c r="C232" s="56">
        <v>136.19999999999999</v>
      </c>
      <c r="D232" s="4">
        <f t="shared" si="34"/>
        <v>0.52404771065794542</v>
      </c>
      <c r="E232" s="10">
        <v>15</v>
      </c>
      <c r="F232" s="5">
        <v>1</v>
      </c>
      <c r="G232" s="5">
        <v>10</v>
      </c>
      <c r="H232" s="40">
        <f t="shared" si="35"/>
        <v>0.71442862639476734</v>
      </c>
      <c r="I232" s="41">
        <v>1460</v>
      </c>
      <c r="J232" s="33">
        <f t="shared" si="36"/>
        <v>132.72727272727272</v>
      </c>
      <c r="K232" s="33">
        <f t="shared" si="37"/>
        <v>94.8</v>
      </c>
      <c r="L232" s="33">
        <f t="shared" si="38"/>
        <v>-37.927272727272722</v>
      </c>
      <c r="M232" s="33">
        <v>23.9</v>
      </c>
      <c r="N232" s="33">
        <f t="shared" si="39"/>
        <v>118.7</v>
      </c>
      <c r="O232" s="67"/>
      <c r="P232" s="67"/>
      <c r="Q232" s="68"/>
      <c r="R232" s="68"/>
      <c r="S232" s="33">
        <f t="shared" si="40"/>
        <v>118.7</v>
      </c>
      <c r="T232" s="33"/>
      <c r="U232" s="33">
        <f t="shared" si="41"/>
        <v>118.7</v>
      </c>
      <c r="V232" s="1"/>
      <c r="W232" s="60"/>
      <c r="X232" s="1"/>
      <c r="Y232" s="1"/>
      <c r="Z232" s="60"/>
      <c r="AA232" s="60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9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9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9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9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9"/>
      <c r="FG232" s="8"/>
      <c r="FH232" s="8"/>
    </row>
    <row r="233" spans="1:164" s="2" customFormat="1" ht="17.100000000000001" customHeight="1">
      <c r="A233" s="13" t="s">
        <v>143</v>
      </c>
      <c r="B233" s="56">
        <v>289.8</v>
      </c>
      <c r="C233" s="56">
        <v>196.6</v>
      </c>
      <c r="D233" s="4">
        <f t="shared" si="34"/>
        <v>0.67839889579020007</v>
      </c>
      <c r="E233" s="10">
        <v>15</v>
      </c>
      <c r="F233" s="5">
        <v>1</v>
      </c>
      <c r="G233" s="5">
        <v>10</v>
      </c>
      <c r="H233" s="40">
        <f t="shared" si="35"/>
        <v>0.80703933747412004</v>
      </c>
      <c r="I233" s="41">
        <v>1087</v>
      </c>
      <c r="J233" s="33">
        <f t="shared" si="36"/>
        <v>98.818181818181813</v>
      </c>
      <c r="K233" s="33">
        <f t="shared" si="37"/>
        <v>79.8</v>
      </c>
      <c r="L233" s="33">
        <f t="shared" si="38"/>
        <v>-19.018181818181816</v>
      </c>
      <c r="M233" s="33">
        <v>16.399999999999999</v>
      </c>
      <c r="N233" s="33">
        <f t="shared" si="39"/>
        <v>96.2</v>
      </c>
      <c r="O233" s="67"/>
      <c r="P233" s="67"/>
      <c r="Q233" s="68"/>
      <c r="R233" s="68"/>
      <c r="S233" s="33">
        <f t="shared" si="40"/>
        <v>96.2</v>
      </c>
      <c r="T233" s="33"/>
      <c r="U233" s="33">
        <f t="shared" si="41"/>
        <v>96.2</v>
      </c>
      <c r="V233" s="1"/>
      <c r="W233" s="60"/>
      <c r="X233" s="1"/>
      <c r="Y233" s="1"/>
      <c r="Z233" s="60"/>
      <c r="AA233" s="60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9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9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9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9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9"/>
      <c r="FG233" s="8"/>
      <c r="FH233" s="8"/>
    </row>
    <row r="234" spans="1:164" s="2" customFormat="1" ht="17.100000000000001" customHeight="1">
      <c r="A234" s="13" t="s">
        <v>215</v>
      </c>
      <c r="B234" s="56">
        <v>70.2</v>
      </c>
      <c r="C234" s="56">
        <v>278.7</v>
      </c>
      <c r="D234" s="4">
        <f t="shared" si="34"/>
        <v>1.3</v>
      </c>
      <c r="E234" s="10">
        <v>15</v>
      </c>
      <c r="F234" s="5">
        <v>1</v>
      </c>
      <c r="G234" s="5">
        <v>10</v>
      </c>
      <c r="H234" s="40">
        <f t="shared" si="35"/>
        <v>1.18</v>
      </c>
      <c r="I234" s="41">
        <v>1496</v>
      </c>
      <c r="J234" s="33">
        <f t="shared" si="36"/>
        <v>136</v>
      </c>
      <c r="K234" s="33">
        <f t="shared" si="37"/>
        <v>160.5</v>
      </c>
      <c r="L234" s="33">
        <f t="shared" si="38"/>
        <v>24.5</v>
      </c>
      <c r="M234" s="33">
        <v>19.100000000000001</v>
      </c>
      <c r="N234" s="33">
        <f t="shared" si="39"/>
        <v>179.6</v>
      </c>
      <c r="O234" s="67"/>
      <c r="P234" s="67"/>
      <c r="Q234" s="68"/>
      <c r="R234" s="68"/>
      <c r="S234" s="33">
        <f t="shared" si="40"/>
        <v>179.6</v>
      </c>
      <c r="T234" s="33"/>
      <c r="U234" s="33">
        <f t="shared" si="41"/>
        <v>179.6</v>
      </c>
      <c r="V234" s="1"/>
      <c r="W234" s="60"/>
      <c r="X234" s="1"/>
      <c r="Y234" s="1"/>
      <c r="Z234" s="60"/>
      <c r="AA234" s="60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9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9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9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9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9"/>
      <c r="FG234" s="8"/>
      <c r="FH234" s="8"/>
    </row>
    <row r="235" spans="1:164" s="2" customFormat="1" ht="17.100000000000001" customHeight="1">
      <c r="A235" s="13" t="s">
        <v>216</v>
      </c>
      <c r="B235" s="56">
        <v>55.6</v>
      </c>
      <c r="C235" s="56">
        <v>216.8</v>
      </c>
      <c r="D235" s="4">
        <f t="shared" si="34"/>
        <v>1.3</v>
      </c>
      <c r="E235" s="10">
        <v>15</v>
      </c>
      <c r="F235" s="5">
        <v>1</v>
      </c>
      <c r="G235" s="5">
        <v>10</v>
      </c>
      <c r="H235" s="40">
        <f t="shared" si="35"/>
        <v>1.18</v>
      </c>
      <c r="I235" s="41">
        <v>1313</v>
      </c>
      <c r="J235" s="33">
        <f t="shared" si="36"/>
        <v>119.36363636363636</v>
      </c>
      <c r="K235" s="33">
        <f t="shared" si="37"/>
        <v>140.80000000000001</v>
      </c>
      <c r="L235" s="33">
        <f t="shared" si="38"/>
        <v>21.436363636363652</v>
      </c>
      <c r="M235" s="33">
        <v>10</v>
      </c>
      <c r="N235" s="33">
        <f t="shared" si="39"/>
        <v>150.80000000000001</v>
      </c>
      <c r="O235" s="67"/>
      <c r="P235" s="67"/>
      <c r="Q235" s="68"/>
      <c r="R235" s="68"/>
      <c r="S235" s="33">
        <f t="shared" si="40"/>
        <v>150.80000000000001</v>
      </c>
      <c r="T235" s="33"/>
      <c r="U235" s="33">
        <f t="shared" si="41"/>
        <v>150.80000000000001</v>
      </c>
      <c r="V235" s="1"/>
      <c r="W235" s="60"/>
      <c r="X235" s="1"/>
      <c r="Y235" s="1"/>
      <c r="Z235" s="60"/>
      <c r="AA235" s="60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9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9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9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9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9"/>
      <c r="FG235" s="8"/>
      <c r="FH235" s="8"/>
    </row>
    <row r="236" spans="1:164" s="2" customFormat="1" ht="17.100000000000001" customHeight="1">
      <c r="A236" s="42" t="s">
        <v>217</v>
      </c>
      <c r="B236" s="56">
        <v>204.9</v>
      </c>
      <c r="C236" s="56">
        <v>244.8</v>
      </c>
      <c r="D236" s="4">
        <f t="shared" si="34"/>
        <v>1.1947291361639825</v>
      </c>
      <c r="E236" s="10">
        <v>15</v>
      </c>
      <c r="F236" s="5">
        <v>1</v>
      </c>
      <c r="G236" s="5">
        <v>10</v>
      </c>
      <c r="H236" s="40">
        <f t="shared" si="35"/>
        <v>1.1168374816983895</v>
      </c>
      <c r="I236" s="41">
        <v>587</v>
      </c>
      <c r="J236" s="33">
        <f t="shared" si="36"/>
        <v>53.363636363636367</v>
      </c>
      <c r="K236" s="33">
        <f t="shared" si="37"/>
        <v>59.6</v>
      </c>
      <c r="L236" s="33">
        <f t="shared" si="38"/>
        <v>6.2363636363636346</v>
      </c>
      <c r="M236" s="33">
        <v>6.7</v>
      </c>
      <c r="N236" s="33">
        <f t="shared" si="39"/>
        <v>66.3</v>
      </c>
      <c r="O236" s="67"/>
      <c r="P236" s="67"/>
      <c r="Q236" s="68"/>
      <c r="R236" s="68"/>
      <c r="S236" s="33">
        <f t="shared" si="40"/>
        <v>66.3</v>
      </c>
      <c r="T236" s="33"/>
      <c r="U236" s="33">
        <f t="shared" si="41"/>
        <v>66.3</v>
      </c>
      <c r="V236" s="1"/>
      <c r="W236" s="60"/>
      <c r="X236" s="1"/>
      <c r="Y236" s="1"/>
      <c r="Z236" s="60"/>
      <c r="AA236" s="60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9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9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9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9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9"/>
      <c r="FG236" s="8"/>
      <c r="FH236" s="8"/>
    </row>
    <row r="237" spans="1:164" s="2" customFormat="1" ht="17.100000000000001" customHeight="1">
      <c r="A237" s="13" t="s">
        <v>218</v>
      </c>
      <c r="B237" s="56">
        <v>6056.7</v>
      </c>
      <c r="C237" s="56">
        <v>4768.3</v>
      </c>
      <c r="D237" s="4">
        <f t="shared" si="34"/>
        <v>0.78727689996202554</v>
      </c>
      <c r="E237" s="10">
        <v>15</v>
      </c>
      <c r="F237" s="5">
        <v>1</v>
      </c>
      <c r="G237" s="5">
        <v>10</v>
      </c>
      <c r="H237" s="40">
        <f t="shared" si="35"/>
        <v>0.87236613997721535</v>
      </c>
      <c r="I237" s="41">
        <v>518</v>
      </c>
      <c r="J237" s="33">
        <f t="shared" si="36"/>
        <v>47.090909090909093</v>
      </c>
      <c r="K237" s="33">
        <f t="shared" si="37"/>
        <v>41.1</v>
      </c>
      <c r="L237" s="33">
        <f t="shared" si="38"/>
        <v>-5.9909090909090921</v>
      </c>
      <c r="M237" s="33">
        <v>6.2</v>
      </c>
      <c r="N237" s="33">
        <f t="shared" si="39"/>
        <v>47.3</v>
      </c>
      <c r="O237" s="67"/>
      <c r="P237" s="67"/>
      <c r="Q237" s="68"/>
      <c r="R237" s="68"/>
      <c r="S237" s="33">
        <f t="shared" si="40"/>
        <v>47.3</v>
      </c>
      <c r="T237" s="33"/>
      <c r="U237" s="33">
        <f t="shared" si="41"/>
        <v>47.3</v>
      </c>
      <c r="V237" s="1"/>
      <c r="W237" s="60"/>
      <c r="X237" s="1"/>
      <c r="Y237" s="1"/>
      <c r="Z237" s="60"/>
      <c r="AA237" s="60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9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9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9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9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9"/>
      <c r="FG237" s="8"/>
      <c r="FH237" s="8"/>
    </row>
    <row r="238" spans="1:164" s="2" customFormat="1" ht="17.100000000000001" customHeight="1">
      <c r="A238" s="13" t="s">
        <v>219</v>
      </c>
      <c r="B238" s="56">
        <v>96.5</v>
      </c>
      <c r="C238" s="56">
        <v>85.1</v>
      </c>
      <c r="D238" s="4">
        <f t="shared" si="34"/>
        <v>0.88186528497409322</v>
      </c>
      <c r="E238" s="10">
        <v>15</v>
      </c>
      <c r="F238" s="5">
        <v>1</v>
      </c>
      <c r="G238" s="5">
        <v>10</v>
      </c>
      <c r="H238" s="40">
        <f t="shared" si="35"/>
        <v>0.92911917098445596</v>
      </c>
      <c r="I238" s="41">
        <v>2094</v>
      </c>
      <c r="J238" s="33">
        <f t="shared" si="36"/>
        <v>190.36363636363637</v>
      </c>
      <c r="K238" s="33">
        <f t="shared" si="37"/>
        <v>176.9</v>
      </c>
      <c r="L238" s="33">
        <f t="shared" si="38"/>
        <v>-13.463636363636368</v>
      </c>
      <c r="M238" s="33">
        <v>13.1</v>
      </c>
      <c r="N238" s="33">
        <f t="shared" si="39"/>
        <v>190</v>
      </c>
      <c r="O238" s="67"/>
      <c r="P238" s="67"/>
      <c r="Q238" s="68"/>
      <c r="R238" s="68"/>
      <c r="S238" s="33">
        <f t="shared" si="40"/>
        <v>190</v>
      </c>
      <c r="T238" s="33"/>
      <c r="U238" s="33">
        <f t="shared" si="41"/>
        <v>190</v>
      </c>
      <c r="V238" s="1"/>
      <c r="W238" s="60"/>
      <c r="X238" s="1"/>
      <c r="Y238" s="1"/>
      <c r="Z238" s="60"/>
      <c r="AA238" s="60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9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9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9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9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9"/>
      <c r="FG238" s="8"/>
      <c r="FH238" s="8"/>
    </row>
    <row r="239" spans="1:164" s="2" customFormat="1" ht="17.100000000000001" customHeight="1">
      <c r="A239" s="13" t="s">
        <v>220</v>
      </c>
      <c r="B239" s="56">
        <v>1306.9000000000001</v>
      </c>
      <c r="C239" s="56">
        <v>1265.5999999999999</v>
      </c>
      <c r="D239" s="4">
        <f t="shared" si="34"/>
        <v>0.96839850026780916</v>
      </c>
      <c r="E239" s="10">
        <v>15</v>
      </c>
      <c r="F239" s="5">
        <v>1</v>
      </c>
      <c r="G239" s="5">
        <v>10</v>
      </c>
      <c r="H239" s="40">
        <f t="shared" si="35"/>
        <v>0.98103910016068541</v>
      </c>
      <c r="I239" s="41">
        <v>1466</v>
      </c>
      <c r="J239" s="33">
        <f t="shared" si="36"/>
        <v>133.27272727272728</v>
      </c>
      <c r="K239" s="33">
        <f t="shared" si="37"/>
        <v>130.69999999999999</v>
      </c>
      <c r="L239" s="33">
        <f t="shared" si="38"/>
        <v>-2.5727272727272918</v>
      </c>
      <c r="M239" s="33">
        <v>15.9</v>
      </c>
      <c r="N239" s="33">
        <f t="shared" si="39"/>
        <v>146.6</v>
      </c>
      <c r="O239" s="67"/>
      <c r="P239" s="67"/>
      <c r="Q239" s="68"/>
      <c r="R239" s="68"/>
      <c r="S239" s="33">
        <f t="shared" si="40"/>
        <v>146.6</v>
      </c>
      <c r="T239" s="33"/>
      <c r="U239" s="33">
        <f t="shared" si="41"/>
        <v>146.6</v>
      </c>
      <c r="V239" s="1"/>
      <c r="W239" s="60"/>
      <c r="X239" s="1"/>
      <c r="Y239" s="1"/>
      <c r="Z239" s="60"/>
      <c r="AA239" s="60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9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9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9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9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9"/>
      <c r="FG239" s="8"/>
      <c r="FH239" s="8"/>
    </row>
    <row r="240" spans="1:164" s="2" customFormat="1" ht="17.100000000000001" customHeight="1">
      <c r="A240" s="13" t="s">
        <v>221</v>
      </c>
      <c r="B240" s="56">
        <v>912.3</v>
      </c>
      <c r="C240" s="56">
        <v>792.5</v>
      </c>
      <c r="D240" s="4">
        <f t="shared" si="34"/>
        <v>0.86868354707881179</v>
      </c>
      <c r="E240" s="10">
        <v>15</v>
      </c>
      <c r="F240" s="5">
        <v>1</v>
      </c>
      <c r="G240" s="5">
        <v>10</v>
      </c>
      <c r="H240" s="40">
        <f t="shared" si="35"/>
        <v>0.9212101282472871</v>
      </c>
      <c r="I240" s="41">
        <v>1924</v>
      </c>
      <c r="J240" s="33">
        <f t="shared" si="36"/>
        <v>174.90909090909091</v>
      </c>
      <c r="K240" s="33">
        <f t="shared" si="37"/>
        <v>161.1</v>
      </c>
      <c r="L240" s="33">
        <f t="shared" si="38"/>
        <v>-13.809090909090912</v>
      </c>
      <c r="M240" s="33">
        <v>22.4</v>
      </c>
      <c r="N240" s="33">
        <f t="shared" si="39"/>
        <v>183.5</v>
      </c>
      <c r="O240" s="67"/>
      <c r="P240" s="67"/>
      <c r="Q240" s="68"/>
      <c r="R240" s="68"/>
      <c r="S240" s="33">
        <f t="shared" si="40"/>
        <v>183.5</v>
      </c>
      <c r="T240" s="33"/>
      <c r="U240" s="33">
        <f t="shared" si="41"/>
        <v>183.5</v>
      </c>
      <c r="V240" s="1"/>
      <c r="W240" s="60"/>
      <c r="X240" s="1"/>
      <c r="Y240" s="1"/>
      <c r="Z240" s="60"/>
      <c r="AA240" s="60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9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9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9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9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9"/>
      <c r="FG240" s="8"/>
      <c r="FH240" s="8"/>
    </row>
    <row r="241" spans="1:164" s="2" customFormat="1" ht="17.100000000000001" customHeight="1">
      <c r="A241" s="17" t="s">
        <v>222</v>
      </c>
      <c r="B241" s="57"/>
      <c r="C241" s="57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33"/>
      <c r="V241" s="1"/>
      <c r="W241" s="60"/>
      <c r="X241" s="1"/>
      <c r="Y241" s="1"/>
      <c r="Z241" s="60"/>
      <c r="AA241" s="60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9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9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9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9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9"/>
      <c r="FG241" s="8"/>
      <c r="FH241" s="8"/>
    </row>
    <row r="242" spans="1:164" s="2" customFormat="1" ht="17.100000000000001" customHeight="1">
      <c r="A242" s="13" t="s">
        <v>223</v>
      </c>
      <c r="B242" s="56">
        <v>101.1</v>
      </c>
      <c r="C242" s="56">
        <v>123.2</v>
      </c>
      <c r="D242" s="4">
        <f t="shared" si="34"/>
        <v>1.2018595450049456</v>
      </c>
      <c r="E242" s="10">
        <v>15</v>
      </c>
      <c r="F242" s="5">
        <v>1</v>
      </c>
      <c r="G242" s="5">
        <v>10</v>
      </c>
      <c r="H242" s="40">
        <f t="shared" si="35"/>
        <v>1.1211157270029672</v>
      </c>
      <c r="I242" s="41">
        <v>2197</v>
      </c>
      <c r="J242" s="33">
        <f t="shared" si="36"/>
        <v>199.72727272727272</v>
      </c>
      <c r="K242" s="33">
        <f t="shared" si="37"/>
        <v>223.9</v>
      </c>
      <c r="L242" s="33">
        <f t="shared" si="38"/>
        <v>24.172727272727286</v>
      </c>
      <c r="M242" s="33">
        <v>43.2</v>
      </c>
      <c r="N242" s="33">
        <f t="shared" si="39"/>
        <v>267.10000000000002</v>
      </c>
      <c r="O242" s="67"/>
      <c r="P242" s="67"/>
      <c r="Q242" s="68"/>
      <c r="R242" s="68"/>
      <c r="S242" s="33">
        <f t="shared" si="40"/>
        <v>267.10000000000002</v>
      </c>
      <c r="T242" s="33">
        <f>MIN(S242,24)</f>
        <v>24</v>
      </c>
      <c r="U242" s="33">
        <f t="shared" si="41"/>
        <v>243.1</v>
      </c>
      <c r="V242" s="1"/>
      <c r="W242" s="60"/>
      <c r="X242" s="1"/>
      <c r="Y242" s="1"/>
      <c r="Z242" s="60"/>
      <c r="AA242" s="60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9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9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9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9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9"/>
      <c r="FG242" s="8"/>
      <c r="FH242" s="8"/>
    </row>
    <row r="243" spans="1:164" s="2" customFormat="1" ht="17.100000000000001" customHeight="1">
      <c r="A243" s="13" t="s">
        <v>224</v>
      </c>
      <c r="B243" s="56">
        <v>63.8</v>
      </c>
      <c r="C243" s="56">
        <v>201.6</v>
      </c>
      <c r="D243" s="4">
        <f t="shared" si="34"/>
        <v>1.3</v>
      </c>
      <c r="E243" s="10">
        <v>15</v>
      </c>
      <c r="F243" s="5">
        <v>1</v>
      </c>
      <c r="G243" s="5">
        <v>10</v>
      </c>
      <c r="H243" s="40">
        <f t="shared" si="35"/>
        <v>1.18</v>
      </c>
      <c r="I243" s="41">
        <v>1441</v>
      </c>
      <c r="J243" s="33">
        <f t="shared" si="36"/>
        <v>131</v>
      </c>
      <c r="K243" s="33">
        <f t="shared" si="37"/>
        <v>154.6</v>
      </c>
      <c r="L243" s="33">
        <f t="shared" si="38"/>
        <v>23.599999999999994</v>
      </c>
      <c r="M243" s="33">
        <v>10.9</v>
      </c>
      <c r="N243" s="33">
        <f t="shared" si="39"/>
        <v>165.5</v>
      </c>
      <c r="O243" s="67"/>
      <c r="P243" s="67"/>
      <c r="Q243" s="68"/>
      <c r="R243" s="68"/>
      <c r="S243" s="33">
        <f t="shared" si="40"/>
        <v>165.5</v>
      </c>
      <c r="T243" s="33">
        <f>MIN(S243,65.5)</f>
        <v>65.5</v>
      </c>
      <c r="U243" s="33">
        <f t="shared" si="41"/>
        <v>100</v>
      </c>
      <c r="V243" s="1"/>
      <c r="W243" s="60"/>
      <c r="X243" s="1"/>
      <c r="Y243" s="1"/>
      <c r="Z243" s="60"/>
      <c r="AA243" s="60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9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9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9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9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9"/>
      <c r="FG243" s="8"/>
      <c r="FH243" s="8"/>
    </row>
    <row r="244" spans="1:164" s="2" customFormat="1" ht="17.100000000000001" customHeight="1">
      <c r="A244" s="13" t="s">
        <v>225</v>
      </c>
      <c r="B244" s="56">
        <v>308.39999999999998</v>
      </c>
      <c r="C244" s="56">
        <v>871.5</v>
      </c>
      <c r="D244" s="4">
        <f t="shared" si="34"/>
        <v>1.3</v>
      </c>
      <c r="E244" s="10">
        <v>15</v>
      </c>
      <c r="F244" s="5">
        <v>1</v>
      </c>
      <c r="G244" s="5">
        <v>10</v>
      </c>
      <c r="H244" s="40">
        <f t="shared" si="35"/>
        <v>1.18</v>
      </c>
      <c r="I244" s="41">
        <v>2617</v>
      </c>
      <c r="J244" s="33">
        <f t="shared" si="36"/>
        <v>237.90909090909091</v>
      </c>
      <c r="K244" s="33">
        <f t="shared" si="37"/>
        <v>280.7</v>
      </c>
      <c r="L244" s="33">
        <f t="shared" si="38"/>
        <v>42.790909090909082</v>
      </c>
      <c r="M244" s="33">
        <v>77.900000000000006</v>
      </c>
      <c r="N244" s="33">
        <f t="shared" si="39"/>
        <v>358.6</v>
      </c>
      <c r="O244" s="67"/>
      <c r="P244" s="67"/>
      <c r="Q244" s="68"/>
      <c r="R244" s="68"/>
      <c r="S244" s="33">
        <f t="shared" si="40"/>
        <v>358.6</v>
      </c>
      <c r="T244" s="33">
        <f>MIN(S244,92.4)</f>
        <v>92.4</v>
      </c>
      <c r="U244" s="33">
        <f t="shared" si="41"/>
        <v>266.2</v>
      </c>
      <c r="V244" s="1"/>
      <c r="W244" s="60"/>
      <c r="X244" s="1"/>
      <c r="Y244" s="1"/>
      <c r="Z244" s="60"/>
      <c r="AA244" s="60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9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9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9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9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9"/>
      <c r="FG244" s="8"/>
      <c r="FH244" s="8"/>
    </row>
    <row r="245" spans="1:164" s="2" customFormat="1" ht="17.100000000000001" customHeight="1">
      <c r="A245" s="13" t="s">
        <v>226</v>
      </c>
      <c r="B245" s="56">
        <v>314.10000000000002</v>
      </c>
      <c r="C245" s="56">
        <v>412</v>
      </c>
      <c r="D245" s="4">
        <f t="shared" si="34"/>
        <v>1.2111684177013688</v>
      </c>
      <c r="E245" s="10">
        <v>15</v>
      </c>
      <c r="F245" s="5">
        <v>1</v>
      </c>
      <c r="G245" s="5">
        <v>10</v>
      </c>
      <c r="H245" s="40">
        <f t="shared" si="35"/>
        <v>1.1267010506208213</v>
      </c>
      <c r="I245" s="41">
        <v>1369</v>
      </c>
      <c r="J245" s="33">
        <f t="shared" si="36"/>
        <v>124.45454545454545</v>
      </c>
      <c r="K245" s="33">
        <f t="shared" si="37"/>
        <v>140.19999999999999</v>
      </c>
      <c r="L245" s="33">
        <f t="shared" si="38"/>
        <v>15.745454545454535</v>
      </c>
      <c r="M245" s="33">
        <v>18.600000000000001</v>
      </c>
      <c r="N245" s="33">
        <f t="shared" si="39"/>
        <v>158.80000000000001</v>
      </c>
      <c r="O245" s="67"/>
      <c r="P245" s="67"/>
      <c r="Q245" s="68"/>
      <c r="R245" s="68"/>
      <c r="S245" s="33">
        <f t="shared" si="40"/>
        <v>158.80000000000001</v>
      </c>
      <c r="T245" s="33"/>
      <c r="U245" s="33">
        <f t="shared" si="41"/>
        <v>158.80000000000001</v>
      </c>
      <c r="V245" s="1"/>
      <c r="W245" s="60"/>
      <c r="X245" s="1"/>
      <c r="Y245" s="1"/>
      <c r="Z245" s="60"/>
      <c r="AA245" s="60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9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9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9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9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9"/>
      <c r="FG245" s="8"/>
      <c r="FH245" s="8"/>
    </row>
    <row r="246" spans="1:164" s="2" customFormat="1" ht="17.100000000000001" customHeight="1">
      <c r="A246" s="13" t="s">
        <v>227</v>
      </c>
      <c r="B246" s="56">
        <v>140.80000000000001</v>
      </c>
      <c r="C246" s="56">
        <v>47.8</v>
      </c>
      <c r="D246" s="4">
        <f t="shared" si="34"/>
        <v>0.3394886363636363</v>
      </c>
      <c r="E246" s="10">
        <v>15</v>
      </c>
      <c r="F246" s="5">
        <v>1</v>
      </c>
      <c r="G246" s="5">
        <v>10</v>
      </c>
      <c r="H246" s="40">
        <f t="shared" si="35"/>
        <v>0.60369318181818177</v>
      </c>
      <c r="I246" s="41">
        <v>1339</v>
      </c>
      <c r="J246" s="33">
        <f t="shared" si="36"/>
        <v>121.72727272727273</v>
      </c>
      <c r="K246" s="33">
        <f t="shared" si="37"/>
        <v>73.5</v>
      </c>
      <c r="L246" s="33">
        <f t="shared" si="38"/>
        <v>-48.227272727272734</v>
      </c>
      <c r="M246" s="33">
        <v>18.899999999999999</v>
      </c>
      <c r="N246" s="33">
        <f t="shared" si="39"/>
        <v>92.4</v>
      </c>
      <c r="O246" s="67"/>
      <c r="P246" s="67"/>
      <c r="Q246" s="68"/>
      <c r="R246" s="68"/>
      <c r="S246" s="33">
        <f t="shared" si="40"/>
        <v>92.4</v>
      </c>
      <c r="T246" s="33">
        <f>MIN(S246,1)</f>
        <v>1</v>
      </c>
      <c r="U246" s="33">
        <f t="shared" si="41"/>
        <v>91.4</v>
      </c>
      <c r="V246" s="1"/>
      <c r="W246" s="60"/>
      <c r="X246" s="1"/>
      <c r="Y246" s="1"/>
      <c r="Z246" s="60"/>
      <c r="AA246" s="60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9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9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9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9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9"/>
      <c r="FG246" s="8"/>
      <c r="FH246" s="8"/>
    </row>
    <row r="247" spans="1:164" s="2" customFormat="1" ht="17.100000000000001" customHeight="1">
      <c r="A247" s="13" t="s">
        <v>228</v>
      </c>
      <c r="B247" s="56">
        <v>170.9</v>
      </c>
      <c r="C247" s="56">
        <v>88.2</v>
      </c>
      <c r="D247" s="4">
        <f t="shared" si="34"/>
        <v>0.51609128145114103</v>
      </c>
      <c r="E247" s="10">
        <v>15</v>
      </c>
      <c r="F247" s="5">
        <v>1</v>
      </c>
      <c r="G247" s="5">
        <v>10</v>
      </c>
      <c r="H247" s="40">
        <f t="shared" si="35"/>
        <v>0.70965476887068457</v>
      </c>
      <c r="I247" s="41">
        <v>2442</v>
      </c>
      <c r="J247" s="33">
        <f t="shared" si="36"/>
        <v>222</v>
      </c>
      <c r="K247" s="33">
        <f t="shared" si="37"/>
        <v>157.5</v>
      </c>
      <c r="L247" s="33">
        <f t="shared" si="38"/>
        <v>-64.5</v>
      </c>
      <c r="M247" s="33">
        <v>36.1</v>
      </c>
      <c r="N247" s="33">
        <f t="shared" si="39"/>
        <v>193.6</v>
      </c>
      <c r="O247" s="67"/>
      <c r="P247" s="67"/>
      <c r="Q247" s="68"/>
      <c r="R247" s="68"/>
      <c r="S247" s="33">
        <f t="shared" si="40"/>
        <v>193.6</v>
      </c>
      <c r="T247" s="33"/>
      <c r="U247" s="33">
        <f t="shared" si="41"/>
        <v>193.6</v>
      </c>
      <c r="V247" s="1"/>
      <c r="W247" s="60"/>
      <c r="X247" s="1"/>
      <c r="Y247" s="1"/>
      <c r="Z247" s="60"/>
      <c r="AA247" s="60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9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9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9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9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9"/>
      <c r="FG247" s="8"/>
      <c r="FH247" s="8"/>
    </row>
    <row r="248" spans="1:164" s="2" customFormat="1" ht="17.100000000000001" customHeight="1">
      <c r="A248" s="13" t="s">
        <v>229</v>
      </c>
      <c r="B248" s="56">
        <v>236.4</v>
      </c>
      <c r="C248" s="56">
        <v>213.4</v>
      </c>
      <c r="D248" s="4">
        <f t="shared" si="34"/>
        <v>0.90270727580372245</v>
      </c>
      <c r="E248" s="10">
        <v>15</v>
      </c>
      <c r="F248" s="5">
        <v>1</v>
      </c>
      <c r="G248" s="5">
        <v>10</v>
      </c>
      <c r="H248" s="40">
        <f t="shared" si="35"/>
        <v>0.94162436548223349</v>
      </c>
      <c r="I248" s="41">
        <v>4585</v>
      </c>
      <c r="J248" s="33">
        <f t="shared" si="36"/>
        <v>416.81818181818181</v>
      </c>
      <c r="K248" s="33">
        <f t="shared" si="37"/>
        <v>392.5</v>
      </c>
      <c r="L248" s="33">
        <f t="shared" si="38"/>
        <v>-24.318181818181813</v>
      </c>
      <c r="M248" s="33">
        <v>85.3</v>
      </c>
      <c r="N248" s="33">
        <f t="shared" si="39"/>
        <v>477.8</v>
      </c>
      <c r="O248" s="67"/>
      <c r="P248" s="67"/>
      <c r="Q248" s="68"/>
      <c r="R248" s="68"/>
      <c r="S248" s="33">
        <f t="shared" si="40"/>
        <v>477.8</v>
      </c>
      <c r="T248" s="33">
        <f>MIN(S248,101.7)</f>
        <v>101.7</v>
      </c>
      <c r="U248" s="33">
        <f t="shared" si="41"/>
        <v>376.1</v>
      </c>
      <c r="V248" s="1"/>
      <c r="W248" s="60"/>
      <c r="X248" s="1"/>
      <c r="Y248" s="1"/>
      <c r="Z248" s="60"/>
      <c r="AA248" s="60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9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9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9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9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9"/>
      <c r="FG248" s="8"/>
      <c r="FH248" s="8"/>
    </row>
    <row r="249" spans="1:164" s="2" customFormat="1" ht="17.100000000000001" customHeight="1">
      <c r="A249" s="13" t="s">
        <v>230</v>
      </c>
      <c r="B249" s="56">
        <v>2150.6999999999998</v>
      </c>
      <c r="C249" s="56">
        <v>2094.6</v>
      </c>
      <c r="D249" s="4">
        <f t="shared" si="34"/>
        <v>0.97391546938206175</v>
      </c>
      <c r="E249" s="10">
        <v>15</v>
      </c>
      <c r="F249" s="5">
        <v>1</v>
      </c>
      <c r="G249" s="5">
        <v>10</v>
      </c>
      <c r="H249" s="40">
        <f t="shared" si="35"/>
        <v>0.98434928162923707</v>
      </c>
      <c r="I249" s="41">
        <v>756</v>
      </c>
      <c r="J249" s="33">
        <f t="shared" si="36"/>
        <v>68.727272727272734</v>
      </c>
      <c r="K249" s="33">
        <f t="shared" si="37"/>
        <v>67.7</v>
      </c>
      <c r="L249" s="33">
        <f t="shared" si="38"/>
        <v>-1.0272727272727309</v>
      </c>
      <c r="M249" s="33">
        <v>11.1</v>
      </c>
      <c r="N249" s="33">
        <f t="shared" si="39"/>
        <v>78.8</v>
      </c>
      <c r="O249" s="67"/>
      <c r="P249" s="67"/>
      <c r="Q249" s="68"/>
      <c r="R249" s="68"/>
      <c r="S249" s="33">
        <f t="shared" si="40"/>
        <v>78.8</v>
      </c>
      <c r="T249" s="33">
        <f>MIN(S249,34.4)</f>
        <v>34.4</v>
      </c>
      <c r="U249" s="33">
        <f t="shared" si="41"/>
        <v>44.4</v>
      </c>
      <c r="V249" s="1"/>
      <c r="W249" s="60"/>
      <c r="X249" s="1"/>
      <c r="Y249" s="1"/>
      <c r="Z249" s="60"/>
      <c r="AA249" s="60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9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9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9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9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9"/>
      <c r="FG249" s="8"/>
      <c r="FH249" s="8"/>
    </row>
    <row r="250" spans="1:164" s="2" customFormat="1" ht="17.100000000000001" customHeight="1">
      <c r="A250" s="17" t="s">
        <v>231</v>
      </c>
      <c r="B250" s="57"/>
      <c r="C250" s="57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33"/>
      <c r="V250" s="1"/>
      <c r="W250" s="60"/>
      <c r="X250" s="1"/>
      <c r="Y250" s="1"/>
      <c r="Z250" s="60"/>
      <c r="AA250" s="60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9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9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9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9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9"/>
      <c r="FG250" s="8"/>
      <c r="FH250" s="8"/>
    </row>
    <row r="251" spans="1:164" s="2" customFormat="1" ht="17.100000000000001" customHeight="1">
      <c r="A251" s="13" t="s">
        <v>232</v>
      </c>
      <c r="B251" s="56">
        <v>183.4</v>
      </c>
      <c r="C251" s="56">
        <v>196.9</v>
      </c>
      <c r="D251" s="4">
        <f t="shared" ref="D251:D314" si="42">IF(E251=0,0,IF(B251=0,1,IF(C251&lt;0,0,IF(C251/B251&gt;1.2,IF((C251/B251-1.2)*0.1+1.2&gt;1.3,1.3,(C251/B251-1.2)*0.1+1.2),C251/B251))))</f>
        <v>1.0736095965103598</v>
      </c>
      <c r="E251" s="10">
        <v>15</v>
      </c>
      <c r="F251" s="5">
        <v>1</v>
      </c>
      <c r="G251" s="5">
        <v>10</v>
      </c>
      <c r="H251" s="40">
        <f t="shared" ref="H251:H314" si="43">(D251*E251+F251*G251)/(E251+G251)</f>
        <v>1.044165757906216</v>
      </c>
      <c r="I251" s="41">
        <v>2375</v>
      </c>
      <c r="J251" s="33">
        <f t="shared" ref="J251:J314" si="44">I251/11</f>
        <v>215.90909090909091</v>
      </c>
      <c r="K251" s="33">
        <f t="shared" ref="K251:K314" si="45">ROUND(H251*J251,1)</f>
        <v>225.4</v>
      </c>
      <c r="L251" s="33">
        <f t="shared" ref="L251:L314" si="46">K251-J251</f>
        <v>9.4909090909090992</v>
      </c>
      <c r="M251" s="33">
        <v>19.5</v>
      </c>
      <c r="N251" s="33">
        <f t="shared" ref="N251:N314" si="47">IF((K251+M251)&gt;0,ROUND(K251+M251,1),0)</f>
        <v>244.9</v>
      </c>
      <c r="O251" s="67"/>
      <c r="P251" s="67"/>
      <c r="Q251" s="68"/>
      <c r="R251" s="68"/>
      <c r="S251" s="33">
        <f t="shared" ref="S251:S314" si="48">IF(OR(O251="+",P251="+",Q251="+",R251="+"),0,N251)</f>
        <v>244.9</v>
      </c>
      <c r="T251" s="33"/>
      <c r="U251" s="33">
        <f t="shared" ref="U251:U314" si="49">ROUND(S251-T251,1)</f>
        <v>244.9</v>
      </c>
      <c r="V251" s="1"/>
      <c r="W251" s="60"/>
      <c r="X251" s="1"/>
      <c r="Y251" s="1"/>
      <c r="Z251" s="60"/>
      <c r="AA251" s="60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9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9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9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9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9"/>
      <c r="FG251" s="8"/>
      <c r="FH251" s="8"/>
    </row>
    <row r="252" spans="1:164" s="2" customFormat="1" ht="17.100000000000001" customHeight="1">
      <c r="A252" s="13" t="s">
        <v>233</v>
      </c>
      <c r="B252" s="56">
        <v>283.5</v>
      </c>
      <c r="C252" s="56">
        <v>354.7</v>
      </c>
      <c r="D252" s="4">
        <f t="shared" si="42"/>
        <v>1.2051146384479718</v>
      </c>
      <c r="E252" s="10">
        <v>15</v>
      </c>
      <c r="F252" s="5">
        <v>1</v>
      </c>
      <c r="G252" s="5">
        <v>10</v>
      </c>
      <c r="H252" s="40">
        <f t="shared" si="43"/>
        <v>1.1230687830687831</v>
      </c>
      <c r="I252" s="41">
        <v>2595</v>
      </c>
      <c r="J252" s="33">
        <f t="shared" si="44"/>
        <v>235.90909090909091</v>
      </c>
      <c r="K252" s="33">
        <f t="shared" si="45"/>
        <v>264.89999999999998</v>
      </c>
      <c r="L252" s="33">
        <f t="shared" si="46"/>
        <v>28.990909090909071</v>
      </c>
      <c r="M252" s="33">
        <v>35.6</v>
      </c>
      <c r="N252" s="33">
        <f t="shared" si="47"/>
        <v>300.5</v>
      </c>
      <c r="O252" s="67"/>
      <c r="P252" s="67"/>
      <c r="Q252" s="68"/>
      <c r="R252" s="68"/>
      <c r="S252" s="33">
        <f t="shared" si="48"/>
        <v>300.5</v>
      </c>
      <c r="T252" s="33"/>
      <c r="U252" s="33">
        <f t="shared" si="49"/>
        <v>300.5</v>
      </c>
      <c r="V252" s="1"/>
      <c r="W252" s="60"/>
      <c r="X252" s="1"/>
      <c r="Y252" s="1"/>
      <c r="Z252" s="60"/>
      <c r="AA252" s="60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9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9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9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9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9"/>
      <c r="FG252" s="8"/>
      <c r="FH252" s="8"/>
    </row>
    <row r="253" spans="1:164" s="2" customFormat="1" ht="17.100000000000001" customHeight="1">
      <c r="A253" s="13" t="s">
        <v>234</v>
      </c>
      <c r="B253" s="56">
        <v>120.4</v>
      </c>
      <c r="C253" s="56">
        <v>314.3</v>
      </c>
      <c r="D253" s="4">
        <f t="shared" si="42"/>
        <v>1.3</v>
      </c>
      <c r="E253" s="10">
        <v>15</v>
      </c>
      <c r="F253" s="5">
        <v>1</v>
      </c>
      <c r="G253" s="5">
        <v>10</v>
      </c>
      <c r="H253" s="40">
        <f t="shared" si="43"/>
        <v>1.18</v>
      </c>
      <c r="I253" s="41">
        <v>1989</v>
      </c>
      <c r="J253" s="33">
        <f t="shared" si="44"/>
        <v>180.81818181818181</v>
      </c>
      <c r="K253" s="33">
        <f t="shared" si="45"/>
        <v>213.4</v>
      </c>
      <c r="L253" s="33">
        <f t="shared" si="46"/>
        <v>32.581818181818193</v>
      </c>
      <c r="M253" s="33">
        <v>32.799999999999997</v>
      </c>
      <c r="N253" s="33">
        <f t="shared" si="47"/>
        <v>246.2</v>
      </c>
      <c r="O253" s="67"/>
      <c r="P253" s="67"/>
      <c r="Q253" s="68"/>
      <c r="R253" s="68"/>
      <c r="S253" s="33">
        <f t="shared" si="48"/>
        <v>246.2</v>
      </c>
      <c r="T253" s="33"/>
      <c r="U253" s="33">
        <f t="shared" si="49"/>
        <v>246.2</v>
      </c>
      <c r="V253" s="1"/>
      <c r="W253" s="60"/>
      <c r="X253" s="1"/>
      <c r="Y253" s="1"/>
      <c r="Z253" s="60"/>
      <c r="AA253" s="60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9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9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9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9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9"/>
      <c r="FG253" s="8"/>
      <c r="FH253" s="8"/>
    </row>
    <row r="254" spans="1:164" s="2" customFormat="1" ht="17.100000000000001" customHeight="1">
      <c r="A254" s="13" t="s">
        <v>235</v>
      </c>
      <c r="B254" s="56">
        <v>124.2</v>
      </c>
      <c r="C254" s="56">
        <v>136.80000000000001</v>
      </c>
      <c r="D254" s="4">
        <f t="shared" si="42"/>
        <v>1.1014492753623188</v>
      </c>
      <c r="E254" s="10">
        <v>15</v>
      </c>
      <c r="F254" s="5">
        <v>1</v>
      </c>
      <c r="G254" s="5">
        <v>10</v>
      </c>
      <c r="H254" s="40">
        <f t="shared" si="43"/>
        <v>1.0608695652173912</v>
      </c>
      <c r="I254" s="41">
        <v>2582</v>
      </c>
      <c r="J254" s="33">
        <f t="shared" si="44"/>
        <v>234.72727272727272</v>
      </c>
      <c r="K254" s="33">
        <f t="shared" si="45"/>
        <v>249</v>
      </c>
      <c r="L254" s="33">
        <f t="shared" si="46"/>
        <v>14.27272727272728</v>
      </c>
      <c r="M254" s="33">
        <v>39.4</v>
      </c>
      <c r="N254" s="33">
        <f t="shared" si="47"/>
        <v>288.39999999999998</v>
      </c>
      <c r="O254" s="67"/>
      <c r="P254" s="67"/>
      <c r="Q254" s="68"/>
      <c r="R254" s="68"/>
      <c r="S254" s="33">
        <f t="shared" si="48"/>
        <v>288.39999999999998</v>
      </c>
      <c r="T254" s="33"/>
      <c r="U254" s="33">
        <f t="shared" si="49"/>
        <v>288.39999999999998</v>
      </c>
      <c r="V254" s="1"/>
      <c r="W254" s="60"/>
      <c r="X254" s="1"/>
      <c r="Y254" s="1"/>
      <c r="Z254" s="60"/>
      <c r="AA254" s="60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9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9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9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9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9"/>
      <c r="FG254" s="8"/>
      <c r="FH254" s="8"/>
    </row>
    <row r="255" spans="1:164" s="2" customFormat="1" ht="17.100000000000001" customHeight="1">
      <c r="A255" s="13" t="s">
        <v>236</v>
      </c>
      <c r="B255" s="56">
        <v>107</v>
      </c>
      <c r="C255" s="56">
        <v>54</v>
      </c>
      <c r="D255" s="4">
        <f t="shared" si="42"/>
        <v>0.50467289719626163</v>
      </c>
      <c r="E255" s="10">
        <v>15</v>
      </c>
      <c r="F255" s="5">
        <v>1</v>
      </c>
      <c r="G255" s="5">
        <v>10</v>
      </c>
      <c r="H255" s="40">
        <f t="shared" si="43"/>
        <v>0.702803738317757</v>
      </c>
      <c r="I255" s="41">
        <v>2074</v>
      </c>
      <c r="J255" s="33">
        <f t="shared" si="44"/>
        <v>188.54545454545453</v>
      </c>
      <c r="K255" s="33">
        <f t="shared" si="45"/>
        <v>132.5</v>
      </c>
      <c r="L255" s="33">
        <f t="shared" si="46"/>
        <v>-56.045454545454533</v>
      </c>
      <c r="M255" s="33">
        <v>15.1</v>
      </c>
      <c r="N255" s="33">
        <f t="shared" si="47"/>
        <v>147.6</v>
      </c>
      <c r="O255" s="67"/>
      <c r="P255" s="67"/>
      <c r="Q255" s="68"/>
      <c r="R255" s="68"/>
      <c r="S255" s="33">
        <f t="shared" si="48"/>
        <v>147.6</v>
      </c>
      <c r="T255" s="33"/>
      <c r="U255" s="33">
        <f t="shared" si="49"/>
        <v>147.6</v>
      </c>
      <c r="V255" s="1"/>
      <c r="W255" s="60"/>
      <c r="X255" s="1"/>
      <c r="Y255" s="1"/>
      <c r="Z255" s="60"/>
      <c r="AA255" s="60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9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9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9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9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9"/>
      <c r="FG255" s="8"/>
      <c r="FH255" s="8"/>
    </row>
    <row r="256" spans="1:164" s="2" customFormat="1" ht="17.100000000000001" customHeight="1">
      <c r="A256" s="13" t="s">
        <v>237</v>
      </c>
      <c r="B256" s="56">
        <v>182.3</v>
      </c>
      <c r="C256" s="56">
        <v>189.3</v>
      </c>
      <c r="D256" s="4">
        <f t="shared" si="42"/>
        <v>1.0383982446516731</v>
      </c>
      <c r="E256" s="10">
        <v>15</v>
      </c>
      <c r="F256" s="5">
        <v>1</v>
      </c>
      <c r="G256" s="5">
        <v>10</v>
      </c>
      <c r="H256" s="40">
        <f t="shared" si="43"/>
        <v>1.0230389467910037</v>
      </c>
      <c r="I256" s="41">
        <v>2450</v>
      </c>
      <c r="J256" s="33">
        <f t="shared" si="44"/>
        <v>222.72727272727272</v>
      </c>
      <c r="K256" s="33">
        <f t="shared" si="45"/>
        <v>227.9</v>
      </c>
      <c r="L256" s="33">
        <f t="shared" si="46"/>
        <v>5.1727272727272862</v>
      </c>
      <c r="M256" s="33">
        <v>20.5</v>
      </c>
      <c r="N256" s="33">
        <f t="shared" si="47"/>
        <v>248.4</v>
      </c>
      <c r="O256" s="67"/>
      <c r="P256" s="67"/>
      <c r="Q256" s="68"/>
      <c r="R256" s="68"/>
      <c r="S256" s="33">
        <f t="shared" si="48"/>
        <v>248.4</v>
      </c>
      <c r="T256" s="33"/>
      <c r="U256" s="33">
        <f t="shared" si="49"/>
        <v>248.4</v>
      </c>
      <c r="V256" s="1"/>
      <c r="W256" s="60"/>
      <c r="X256" s="1"/>
      <c r="Y256" s="1"/>
      <c r="Z256" s="60"/>
      <c r="AA256" s="60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9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9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9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9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9"/>
      <c r="FG256" s="8"/>
      <c r="FH256" s="8"/>
    </row>
    <row r="257" spans="1:164" s="2" customFormat="1" ht="17.100000000000001" customHeight="1">
      <c r="A257" s="13" t="s">
        <v>238</v>
      </c>
      <c r="B257" s="56">
        <v>497</v>
      </c>
      <c r="C257" s="56">
        <v>664.3</v>
      </c>
      <c r="D257" s="4">
        <f t="shared" si="42"/>
        <v>1.2136619718309858</v>
      </c>
      <c r="E257" s="10">
        <v>15</v>
      </c>
      <c r="F257" s="5">
        <v>1</v>
      </c>
      <c r="G257" s="5">
        <v>10</v>
      </c>
      <c r="H257" s="40">
        <f t="shared" si="43"/>
        <v>1.1281971830985915</v>
      </c>
      <c r="I257" s="41">
        <v>2621</v>
      </c>
      <c r="J257" s="33">
        <f t="shared" si="44"/>
        <v>238.27272727272728</v>
      </c>
      <c r="K257" s="33">
        <f t="shared" si="45"/>
        <v>268.8</v>
      </c>
      <c r="L257" s="33">
        <f t="shared" si="46"/>
        <v>30.527272727272731</v>
      </c>
      <c r="M257" s="33">
        <v>22.8</v>
      </c>
      <c r="N257" s="33">
        <f t="shared" si="47"/>
        <v>291.60000000000002</v>
      </c>
      <c r="O257" s="67"/>
      <c r="P257" s="67"/>
      <c r="Q257" s="68"/>
      <c r="R257" s="68"/>
      <c r="S257" s="33">
        <f t="shared" si="48"/>
        <v>291.60000000000002</v>
      </c>
      <c r="T257" s="33"/>
      <c r="U257" s="33">
        <f t="shared" si="49"/>
        <v>291.60000000000002</v>
      </c>
      <c r="V257" s="1"/>
      <c r="W257" s="60"/>
      <c r="X257" s="1"/>
      <c r="Y257" s="1"/>
      <c r="Z257" s="60"/>
      <c r="AA257" s="60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9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9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9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9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9"/>
      <c r="FG257" s="8"/>
      <c r="FH257" s="8"/>
    </row>
    <row r="258" spans="1:164" s="2" customFormat="1" ht="17.100000000000001" customHeight="1">
      <c r="A258" s="13" t="s">
        <v>239</v>
      </c>
      <c r="B258" s="56">
        <v>228.2</v>
      </c>
      <c r="C258" s="56">
        <v>169.6</v>
      </c>
      <c r="D258" s="4">
        <f t="shared" si="42"/>
        <v>0.74320771253286588</v>
      </c>
      <c r="E258" s="10">
        <v>15</v>
      </c>
      <c r="F258" s="5">
        <v>1</v>
      </c>
      <c r="G258" s="5">
        <v>10</v>
      </c>
      <c r="H258" s="40">
        <f t="shared" si="43"/>
        <v>0.84592462751971953</v>
      </c>
      <c r="I258" s="41">
        <v>1938</v>
      </c>
      <c r="J258" s="33">
        <f t="shared" si="44"/>
        <v>176.18181818181819</v>
      </c>
      <c r="K258" s="33">
        <f t="shared" si="45"/>
        <v>149</v>
      </c>
      <c r="L258" s="33">
        <f t="shared" si="46"/>
        <v>-27.181818181818187</v>
      </c>
      <c r="M258" s="33">
        <v>17.5</v>
      </c>
      <c r="N258" s="33">
        <f t="shared" si="47"/>
        <v>166.5</v>
      </c>
      <c r="O258" s="67"/>
      <c r="P258" s="67"/>
      <c r="Q258" s="68"/>
      <c r="R258" s="68"/>
      <c r="S258" s="33">
        <f t="shared" si="48"/>
        <v>166.5</v>
      </c>
      <c r="T258" s="33"/>
      <c r="U258" s="33">
        <f t="shared" si="49"/>
        <v>166.5</v>
      </c>
      <c r="V258" s="1"/>
      <c r="W258" s="60"/>
      <c r="X258" s="1"/>
      <c r="Y258" s="1"/>
      <c r="Z258" s="60"/>
      <c r="AA258" s="60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9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9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9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9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9"/>
      <c r="FG258" s="8"/>
      <c r="FH258" s="8"/>
    </row>
    <row r="259" spans="1:164" s="2" customFormat="1" ht="17.100000000000001" customHeight="1">
      <c r="A259" s="13" t="s">
        <v>240</v>
      </c>
      <c r="B259" s="56">
        <v>458.5</v>
      </c>
      <c r="C259" s="56">
        <v>498.4</v>
      </c>
      <c r="D259" s="4">
        <f t="shared" si="42"/>
        <v>1.0870229007633587</v>
      </c>
      <c r="E259" s="10">
        <v>15</v>
      </c>
      <c r="F259" s="5">
        <v>1</v>
      </c>
      <c r="G259" s="5">
        <v>10</v>
      </c>
      <c r="H259" s="40">
        <f t="shared" si="43"/>
        <v>1.0522137404580152</v>
      </c>
      <c r="I259" s="41">
        <v>2395</v>
      </c>
      <c r="J259" s="33">
        <f t="shared" si="44"/>
        <v>217.72727272727272</v>
      </c>
      <c r="K259" s="33">
        <f t="shared" si="45"/>
        <v>229.1</v>
      </c>
      <c r="L259" s="33">
        <f t="shared" si="46"/>
        <v>11.372727272727275</v>
      </c>
      <c r="M259" s="33">
        <v>34.9</v>
      </c>
      <c r="N259" s="33">
        <f t="shared" si="47"/>
        <v>264</v>
      </c>
      <c r="O259" s="67"/>
      <c r="P259" s="67"/>
      <c r="Q259" s="68"/>
      <c r="R259" s="68"/>
      <c r="S259" s="33">
        <f t="shared" si="48"/>
        <v>264</v>
      </c>
      <c r="T259" s="33"/>
      <c r="U259" s="33">
        <f t="shared" si="49"/>
        <v>264</v>
      </c>
      <c r="V259" s="1"/>
      <c r="W259" s="60"/>
      <c r="X259" s="1"/>
      <c r="Y259" s="1"/>
      <c r="Z259" s="60"/>
      <c r="AA259" s="60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9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9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9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9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9"/>
      <c r="FG259" s="8"/>
      <c r="FH259" s="8"/>
    </row>
    <row r="260" spans="1:164" s="2" customFormat="1" ht="17.100000000000001" customHeight="1">
      <c r="A260" s="13" t="s">
        <v>241</v>
      </c>
      <c r="B260" s="56">
        <v>148.6</v>
      </c>
      <c r="C260" s="56">
        <v>264.2</v>
      </c>
      <c r="D260" s="4">
        <f t="shared" si="42"/>
        <v>1.2577927321668909</v>
      </c>
      <c r="E260" s="10">
        <v>15</v>
      </c>
      <c r="F260" s="5">
        <v>1</v>
      </c>
      <c r="G260" s="5">
        <v>10</v>
      </c>
      <c r="H260" s="40">
        <f t="shared" si="43"/>
        <v>1.1546756393001345</v>
      </c>
      <c r="I260" s="41">
        <v>2342</v>
      </c>
      <c r="J260" s="33">
        <f t="shared" si="44"/>
        <v>212.90909090909091</v>
      </c>
      <c r="K260" s="33">
        <f t="shared" si="45"/>
        <v>245.8</v>
      </c>
      <c r="L260" s="33">
        <f t="shared" si="46"/>
        <v>32.890909090909105</v>
      </c>
      <c r="M260" s="33">
        <v>25.4</v>
      </c>
      <c r="N260" s="33">
        <f t="shared" si="47"/>
        <v>271.2</v>
      </c>
      <c r="O260" s="67"/>
      <c r="P260" s="67"/>
      <c r="Q260" s="68"/>
      <c r="R260" s="68"/>
      <c r="S260" s="33">
        <f t="shared" si="48"/>
        <v>271.2</v>
      </c>
      <c r="T260" s="33"/>
      <c r="U260" s="33">
        <f t="shared" si="49"/>
        <v>271.2</v>
      </c>
      <c r="V260" s="1"/>
      <c r="W260" s="60"/>
      <c r="X260" s="1"/>
      <c r="Y260" s="1"/>
      <c r="Z260" s="60"/>
      <c r="AA260" s="60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9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9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9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9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9"/>
      <c r="FG260" s="8"/>
      <c r="FH260" s="8"/>
    </row>
    <row r="261" spans="1:164" s="2" customFormat="1" ht="17.100000000000001" customHeight="1">
      <c r="A261" s="13" t="s">
        <v>242</v>
      </c>
      <c r="B261" s="56">
        <v>632.1</v>
      </c>
      <c r="C261" s="56">
        <v>376.9</v>
      </c>
      <c r="D261" s="4">
        <f t="shared" si="42"/>
        <v>0.59626641354216103</v>
      </c>
      <c r="E261" s="10">
        <v>15</v>
      </c>
      <c r="F261" s="5">
        <v>1</v>
      </c>
      <c r="G261" s="5">
        <v>10</v>
      </c>
      <c r="H261" s="40">
        <f t="shared" si="43"/>
        <v>0.75775984812529662</v>
      </c>
      <c r="I261" s="41">
        <v>1955</v>
      </c>
      <c r="J261" s="33">
        <f t="shared" si="44"/>
        <v>177.72727272727272</v>
      </c>
      <c r="K261" s="33">
        <f t="shared" si="45"/>
        <v>134.69999999999999</v>
      </c>
      <c r="L261" s="33">
        <f t="shared" si="46"/>
        <v>-43.027272727272731</v>
      </c>
      <c r="M261" s="33">
        <v>41.8</v>
      </c>
      <c r="N261" s="33">
        <f t="shared" si="47"/>
        <v>176.5</v>
      </c>
      <c r="O261" s="67"/>
      <c r="P261" s="67"/>
      <c r="Q261" s="68"/>
      <c r="R261" s="68"/>
      <c r="S261" s="33">
        <f t="shared" si="48"/>
        <v>176.5</v>
      </c>
      <c r="T261" s="33"/>
      <c r="U261" s="33">
        <f t="shared" si="49"/>
        <v>176.5</v>
      </c>
      <c r="V261" s="1"/>
      <c r="W261" s="60"/>
      <c r="X261" s="1"/>
      <c r="Y261" s="1"/>
      <c r="Z261" s="60"/>
      <c r="AA261" s="60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9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9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9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9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9"/>
      <c r="FG261" s="8"/>
      <c r="FH261" s="8"/>
    </row>
    <row r="262" spans="1:164" s="2" customFormat="1" ht="17.100000000000001" customHeight="1">
      <c r="A262" s="13" t="s">
        <v>243</v>
      </c>
      <c r="B262" s="56">
        <v>257.39999999999998</v>
      </c>
      <c r="C262" s="56">
        <v>264</v>
      </c>
      <c r="D262" s="4">
        <f t="shared" si="42"/>
        <v>1.0256410256410258</v>
      </c>
      <c r="E262" s="10">
        <v>15</v>
      </c>
      <c r="F262" s="5">
        <v>1</v>
      </c>
      <c r="G262" s="5">
        <v>10</v>
      </c>
      <c r="H262" s="40">
        <f t="shared" si="43"/>
        <v>1.0153846153846156</v>
      </c>
      <c r="I262" s="41">
        <v>3177</v>
      </c>
      <c r="J262" s="33">
        <f t="shared" si="44"/>
        <v>288.81818181818181</v>
      </c>
      <c r="K262" s="33">
        <f t="shared" si="45"/>
        <v>293.3</v>
      </c>
      <c r="L262" s="33">
        <f t="shared" si="46"/>
        <v>4.4818181818181984</v>
      </c>
      <c r="M262" s="33">
        <v>48.9</v>
      </c>
      <c r="N262" s="33">
        <f t="shared" si="47"/>
        <v>342.2</v>
      </c>
      <c r="O262" s="67"/>
      <c r="P262" s="67"/>
      <c r="Q262" s="68"/>
      <c r="R262" s="68"/>
      <c r="S262" s="33">
        <f t="shared" si="48"/>
        <v>342.2</v>
      </c>
      <c r="T262" s="33"/>
      <c r="U262" s="33">
        <f t="shared" si="49"/>
        <v>342.2</v>
      </c>
      <c r="V262" s="1"/>
      <c r="W262" s="60"/>
      <c r="X262" s="1"/>
      <c r="Y262" s="1"/>
      <c r="Z262" s="60"/>
      <c r="AA262" s="60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9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9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9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9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9"/>
      <c r="FG262" s="8"/>
      <c r="FH262" s="8"/>
    </row>
    <row r="263" spans="1:164" s="2" customFormat="1" ht="17.100000000000001" customHeight="1">
      <c r="A263" s="13" t="s">
        <v>244</v>
      </c>
      <c r="B263" s="56">
        <v>75</v>
      </c>
      <c r="C263" s="56">
        <v>140.6</v>
      </c>
      <c r="D263" s="4">
        <f t="shared" si="42"/>
        <v>1.2674666666666665</v>
      </c>
      <c r="E263" s="10">
        <v>15</v>
      </c>
      <c r="F263" s="5">
        <v>1</v>
      </c>
      <c r="G263" s="5">
        <v>10</v>
      </c>
      <c r="H263" s="40">
        <f t="shared" si="43"/>
        <v>1.16048</v>
      </c>
      <c r="I263" s="41">
        <v>2648</v>
      </c>
      <c r="J263" s="33">
        <f t="shared" si="44"/>
        <v>240.72727272727272</v>
      </c>
      <c r="K263" s="33">
        <f t="shared" si="45"/>
        <v>279.39999999999998</v>
      </c>
      <c r="L263" s="33">
        <f t="shared" si="46"/>
        <v>38.672727272727258</v>
      </c>
      <c r="M263" s="33">
        <v>29.2</v>
      </c>
      <c r="N263" s="33">
        <f t="shared" si="47"/>
        <v>308.60000000000002</v>
      </c>
      <c r="O263" s="67"/>
      <c r="P263" s="67"/>
      <c r="Q263" s="68"/>
      <c r="R263" s="68"/>
      <c r="S263" s="33">
        <f t="shared" si="48"/>
        <v>308.60000000000002</v>
      </c>
      <c r="T263" s="33"/>
      <c r="U263" s="33">
        <f t="shared" si="49"/>
        <v>308.60000000000002</v>
      </c>
      <c r="V263" s="1"/>
      <c r="W263" s="60"/>
      <c r="X263" s="1"/>
      <c r="Y263" s="1"/>
      <c r="Z263" s="60"/>
      <c r="AA263" s="60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9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9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9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9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9"/>
      <c r="FG263" s="8"/>
      <c r="FH263" s="8"/>
    </row>
    <row r="264" spans="1:164" s="2" customFormat="1" ht="17.100000000000001" customHeight="1">
      <c r="A264" s="13" t="s">
        <v>245</v>
      </c>
      <c r="B264" s="56">
        <v>151.4</v>
      </c>
      <c r="C264" s="56">
        <v>167.7</v>
      </c>
      <c r="D264" s="4">
        <f t="shared" si="42"/>
        <v>1.1076618229854689</v>
      </c>
      <c r="E264" s="10">
        <v>15</v>
      </c>
      <c r="F264" s="5">
        <v>1</v>
      </c>
      <c r="G264" s="5">
        <v>10</v>
      </c>
      <c r="H264" s="40">
        <f t="shared" si="43"/>
        <v>1.0645970937912812</v>
      </c>
      <c r="I264" s="41">
        <v>1332</v>
      </c>
      <c r="J264" s="33">
        <f t="shared" si="44"/>
        <v>121.09090909090909</v>
      </c>
      <c r="K264" s="33">
        <f t="shared" si="45"/>
        <v>128.9</v>
      </c>
      <c r="L264" s="33">
        <f t="shared" si="46"/>
        <v>7.8090909090909122</v>
      </c>
      <c r="M264" s="33">
        <v>25.4</v>
      </c>
      <c r="N264" s="33">
        <f t="shared" si="47"/>
        <v>154.30000000000001</v>
      </c>
      <c r="O264" s="67"/>
      <c r="P264" s="67"/>
      <c r="Q264" s="68"/>
      <c r="R264" s="68"/>
      <c r="S264" s="33">
        <f t="shared" si="48"/>
        <v>154.30000000000001</v>
      </c>
      <c r="T264" s="33"/>
      <c r="U264" s="33">
        <f t="shared" si="49"/>
        <v>154.30000000000001</v>
      </c>
      <c r="V264" s="1"/>
      <c r="W264" s="60"/>
      <c r="X264" s="1"/>
      <c r="Y264" s="1"/>
      <c r="Z264" s="60"/>
      <c r="AA264" s="60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9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9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9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9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9"/>
      <c r="FG264" s="8"/>
      <c r="FH264" s="8"/>
    </row>
    <row r="265" spans="1:164" s="2" customFormat="1" ht="17.100000000000001" customHeight="1">
      <c r="A265" s="13" t="s">
        <v>246</v>
      </c>
      <c r="B265" s="56">
        <v>309</v>
      </c>
      <c r="C265" s="56">
        <v>375.5</v>
      </c>
      <c r="D265" s="4">
        <f t="shared" si="42"/>
        <v>1.2015210355987054</v>
      </c>
      <c r="E265" s="10">
        <v>15</v>
      </c>
      <c r="F265" s="5">
        <v>1</v>
      </c>
      <c r="G265" s="5">
        <v>10</v>
      </c>
      <c r="H265" s="40">
        <f t="shared" si="43"/>
        <v>1.1209126213592233</v>
      </c>
      <c r="I265" s="41">
        <v>2380</v>
      </c>
      <c r="J265" s="33">
        <f t="shared" si="44"/>
        <v>216.36363636363637</v>
      </c>
      <c r="K265" s="33">
        <f t="shared" si="45"/>
        <v>242.5</v>
      </c>
      <c r="L265" s="33">
        <f t="shared" si="46"/>
        <v>26.136363636363626</v>
      </c>
      <c r="M265" s="33">
        <v>32.700000000000003</v>
      </c>
      <c r="N265" s="33">
        <f t="shared" si="47"/>
        <v>275.2</v>
      </c>
      <c r="O265" s="67"/>
      <c r="P265" s="67"/>
      <c r="Q265" s="68"/>
      <c r="R265" s="68"/>
      <c r="S265" s="33">
        <f t="shared" si="48"/>
        <v>275.2</v>
      </c>
      <c r="T265" s="33"/>
      <c r="U265" s="33">
        <f t="shared" si="49"/>
        <v>275.2</v>
      </c>
      <c r="V265" s="1"/>
      <c r="W265" s="60"/>
      <c r="X265" s="1"/>
      <c r="Y265" s="1"/>
      <c r="Z265" s="60"/>
      <c r="AA265" s="60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9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9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9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9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9"/>
      <c r="FG265" s="8"/>
      <c r="FH265" s="8"/>
    </row>
    <row r="266" spans="1:164" s="2" customFormat="1" ht="17.100000000000001" customHeight="1">
      <c r="A266" s="17" t="s">
        <v>247</v>
      </c>
      <c r="B266" s="57"/>
      <c r="C266" s="57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33"/>
      <c r="V266" s="1"/>
      <c r="W266" s="60"/>
      <c r="X266" s="1"/>
      <c r="Y266" s="1"/>
      <c r="Z266" s="60"/>
      <c r="AA266" s="60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9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9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9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9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9"/>
      <c r="FG266" s="8"/>
      <c r="FH266" s="8"/>
    </row>
    <row r="267" spans="1:164" s="2" customFormat="1" ht="16.7" customHeight="1">
      <c r="A267" s="13" t="s">
        <v>248</v>
      </c>
      <c r="B267" s="56">
        <v>107.2</v>
      </c>
      <c r="C267" s="56">
        <v>99.8</v>
      </c>
      <c r="D267" s="4">
        <f t="shared" si="42"/>
        <v>0.93097014925373134</v>
      </c>
      <c r="E267" s="10">
        <v>15</v>
      </c>
      <c r="F267" s="5">
        <v>1</v>
      </c>
      <c r="G267" s="5">
        <v>10</v>
      </c>
      <c r="H267" s="40">
        <f t="shared" si="43"/>
        <v>0.95858208955223889</v>
      </c>
      <c r="I267" s="41">
        <v>2127</v>
      </c>
      <c r="J267" s="33">
        <f t="shared" si="44"/>
        <v>193.36363636363637</v>
      </c>
      <c r="K267" s="33">
        <f t="shared" si="45"/>
        <v>185.4</v>
      </c>
      <c r="L267" s="33">
        <f t="shared" si="46"/>
        <v>-7.9636363636363683</v>
      </c>
      <c r="M267" s="33">
        <v>66.7</v>
      </c>
      <c r="N267" s="33">
        <f t="shared" si="47"/>
        <v>252.1</v>
      </c>
      <c r="O267" s="67"/>
      <c r="P267" s="67"/>
      <c r="Q267" s="68"/>
      <c r="R267" s="68"/>
      <c r="S267" s="33">
        <f t="shared" si="48"/>
        <v>252.1</v>
      </c>
      <c r="T267" s="33">
        <f>MIN(S267,35.4)</f>
        <v>35.4</v>
      </c>
      <c r="U267" s="33">
        <f t="shared" si="49"/>
        <v>216.7</v>
      </c>
      <c r="V267" s="1"/>
      <c r="W267" s="60"/>
      <c r="X267" s="1"/>
      <c r="Y267" s="1"/>
      <c r="Z267" s="60"/>
      <c r="AA267" s="60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9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9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9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9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9"/>
      <c r="FG267" s="8"/>
      <c r="FH267" s="8"/>
    </row>
    <row r="268" spans="1:164" s="2" customFormat="1" ht="17.100000000000001" customHeight="1">
      <c r="A268" s="13" t="s">
        <v>249</v>
      </c>
      <c r="B268" s="56">
        <v>286.7</v>
      </c>
      <c r="C268" s="56">
        <v>172.4</v>
      </c>
      <c r="D268" s="4">
        <f t="shared" si="42"/>
        <v>0.60132542727589822</v>
      </c>
      <c r="E268" s="10">
        <v>15</v>
      </c>
      <c r="F268" s="5">
        <v>1</v>
      </c>
      <c r="G268" s="5">
        <v>10</v>
      </c>
      <c r="H268" s="40">
        <f t="shared" si="43"/>
        <v>0.76079525636553891</v>
      </c>
      <c r="I268" s="41">
        <v>1178</v>
      </c>
      <c r="J268" s="33">
        <f t="shared" si="44"/>
        <v>107.09090909090909</v>
      </c>
      <c r="K268" s="33">
        <f t="shared" si="45"/>
        <v>81.5</v>
      </c>
      <c r="L268" s="33">
        <f t="shared" si="46"/>
        <v>-25.590909090909093</v>
      </c>
      <c r="M268" s="33">
        <v>24.3</v>
      </c>
      <c r="N268" s="33">
        <f t="shared" si="47"/>
        <v>105.8</v>
      </c>
      <c r="O268" s="67"/>
      <c r="P268" s="67"/>
      <c r="Q268" s="68"/>
      <c r="R268" s="68"/>
      <c r="S268" s="33">
        <f t="shared" si="48"/>
        <v>105.8</v>
      </c>
      <c r="T268" s="33"/>
      <c r="U268" s="33">
        <f t="shared" si="49"/>
        <v>105.8</v>
      </c>
      <c r="V268" s="1"/>
      <c r="W268" s="60"/>
      <c r="X268" s="1"/>
      <c r="Y268" s="1"/>
      <c r="Z268" s="60"/>
      <c r="AA268" s="60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9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9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9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9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9"/>
      <c r="FG268" s="8"/>
      <c r="FH268" s="8"/>
    </row>
    <row r="269" spans="1:164" s="2" customFormat="1" ht="17.100000000000001" customHeight="1">
      <c r="A269" s="13" t="s">
        <v>250</v>
      </c>
      <c r="B269" s="56">
        <v>118.9</v>
      </c>
      <c r="C269" s="56">
        <v>150.69999999999999</v>
      </c>
      <c r="D269" s="4">
        <f t="shared" si="42"/>
        <v>1.2067451640033642</v>
      </c>
      <c r="E269" s="10">
        <v>15</v>
      </c>
      <c r="F269" s="5">
        <v>1</v>
      </c>
      <c r="G269" s="5">
        <v>10</v>
      </c>
      <c r="H269" s="40">
        <f t="shared" si="43"/>
        <v>1.1240470984020186</v>
      </c>
      <c r="I269" s="41">
        <v>3137</v>
      </c>
      <c r="J269" s="33">
        <f t="shared" si="44"/>
        <v>285.18181818181819</v>
      </c>
      <c r="K269" s="33">
        <f t="shared" si="45"/>
        <v>320.60000000000002</v>
      </c>
      <c r="L269" s="33">
        <f t="shared" si="46"/>
        <v>35.418181818181836</v>
      </c>
      <c r="M269" s="33">
        <v>72.099999999999994</v>
      </c>
      <c r="N269" s="33">
        <f t="shared" si="47"/>
        <v>392.7</v>
      </c>
      <c r="O269" s="67"/>
      <c r="P269" s="67"/>
      <c r="Q269" s="68"/>
      <c r="R269" s="68"/>
      <c r="S269" s="33">
        <f t="shared" si="48"/>
        <v>392.7</v>
      </c>
      <c r="T269" s="33">
        <f>MIN(S269,27.6)</f>
        <v>27.6</v>
      </c>
      <c r="U269" s="33">
        <f t="shared" si="49"/>
        <v>365.1</v>
      </c>
      <c r="V269" s="1"/>
      <c r="W269" s="60"/>
      <c r="X269" s="1"/>
      <c r="Y269" s="1"/>
      <c r="Z269" s="60"/>
      <c r="AA269" s="60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9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9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9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9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9"/>
      <c r="FG269" s="8"/>
      <c r="FH269" s="8"/>
    </row>
    <row r="270" spans="1:164" s="2" customFormat="1" ht="17.100000000000001" customHeight="1">
      <c r="A270" s="13" t="s">
        <v>251</v>
      </c>
      <c r="B270" s="56">
        <v>2259.5</v>
      </c>
      <c r="C270" s="56">
        <v>1490.9</v>
      </c>
      <c r="D270" s="4">
        <f t="shared" si="42"/>
        <v>0.65983624695729148</v>
      </c>
      <c r="E270" s="10">
        <v>15</v>
      </c>
      <c r="F270" s="5">
        <v>1</v>
      </c>
      <c r="G270" s="5">
        <v>10</v>
      </c>
      <c r="H270" s="40">
        <f t="shared" si="43"/>
        <v>0.79590174817437487</v>
      </c>
      <c r="I270" s="41">
        <v>1383</v>
      </c>
      <c r="J270" s="33">
        <f t="shared" si="44"/>
        <v>125.72727272727273</v>
      </c>
      <c r="K270" s="33">
        <f t="shared" si="45"/>
        <v>100.1</v>
      </c>
      <c r="L270" s="33">
        <f t="shared" si="46"/>
        <v>-25.627272727272739</v>
      </c>
      <c r="M270" s="33">
        <v>27.2</v>
      </c>
      <c r="N270" s="33">
        <f t="shared" si="47"/>
        <v>127.3</v>
      </c>
      <c r="O270" s="67"/>
      <c r="P270" s="67"/>
      <c r="Q270" s="68"/>
      <c r="R270" s="68"/>
      <c r="S270" s="33">
        <f t="shared" si="48"/>
        <v>127.3</v>
      </c>
      <c r="T270" s="33">
        <f>MIN(S270,62.9)</f>
        <v>62.9</v>
      </c>
      <c r="U270" s="33">
        <f t="shared" si="49"/>
        <v>64.400000000000006</v>
      </c>
      <c r="V270" s="1"/>
      <c r="W270" s="60"/>
      <c r="X270" s="1"/>
      <c r="Y270" s="1"/>
      <c r="Z270" s="60"/>
      <c r="AA270" s="60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9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9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9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9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9"/>
      <c r="FG270" s="8"/>
      <c r="FH270" s="8"/>
    </row>
    <row r="271" spans="1:164" s="2" customFormat="1" ht="17.100000000000001" customHeight="1">
      <c r="A271" s="13" t="s">
        <v>252</v>
      </c>
      <c r="B271" s="56">
        <v>680.5</v>
      </c>
      <c r="C271" s="56">
        <v>555</v>
      </c>
      <c r="D271" s="4">
        <f t="shared" si="42"/>
        <v>0.81557678177810433</v>
      </c>
      <c r="E271" s="10">
        <v>15</v>
      </c>
      <c r="F271" s="5">
        <v>1</v>
      </c>
      <c r="G271" s="5">
        <v>10</v>
      </c>
      <c r="H271" s="40">
        <f t="shared" si="43"/>
        <v>0.88934606906686264</v>
      </c>
      <c r="I271" s="41">
        <v>3332</v>
      </c>
      <c r="J271" s="33">
        <f t="shared" si="44"/>
        <v>302.90909090909093</v>
      </c>
      <c r="K271" s="33">
        <f t="shared" si="45"/>
        <v>269.39999999999998</v>
      </c>
      <c r="L271" s="33">
        <f t="shared" si="46"/>
        <v>-33.509090909090958</v>
      </c>
      <c r="M271" s="33">
        <v>72.8</v>
      </c>
      <c r="N271" s="33">
        <f t="shared" si="47"/>
        <v>342.2</v>
      </c>
      <c r="O271" s="67"/>
      <c r="P271" s="67"/>
      <c r="Q271" s="68"/>
      <c r="R271" s="68"/>
      <c r="S271" s="33">
        <f t="shared" si="48"/>
        <v>342.2</v>
      </c>
      <c r="T271" s="33">
        <f>MIN(S271,19.1)</f>
        <v>19.100000000000001</v>
      </c>
      <c r="U271" s="33">
        <f t="shared" si="49"/>
        <v>323.10000000000002</v>
      </c>
      <c r="V271" s="1"/>
      <c r="W271" s="60"/>
      <c r="X271" s="1"/>
      <c r="Y271" s="1"/>
      <c r="Z271" s="60"/>
      <c r="AA271" s="60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9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9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9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9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9"/>
      <c r="FG271" s="8"/>
      <c r="FH271" s="8"/>
    </row>
    <row r="272" spans="1:164" s="2" customFormat="1" ht="17.100000000000001" customHeight="1">
      <c r="A272" s="13" t="s">
        <v>253</v>
      </c>
      <c r="B272" s="56">
        <v>2138.3000000000002</v>
      </c>
      <c r="C272" s="56">
        <v>1889.1</v>
      </c>
      <c r="D272" s="4">
        <f t="shared" si="42"/>
        <v>0.88345882242903229</v>
      </c>
      <c r="E272" s="10">
        <v>15</v>
      </c>
      <c r="F272" s="5">
        <v>1</v>
      </c>
      <c r="G272" s="5">
        <v>10</v>
      </c>
      <c r="H272" s="40">
        <f t="shared" si="43"/>
        <v>0.93007529345741946</v>
      </c>
      <c r="I272" s="41">
        <v>1289</v>
      </c>
      <c r="J272" s="33">
        <f t="shared" si="44"/>
        <v>117.18181818181819</v>
      </c>
      <c r="K272" s="33">
        <f t="shared" si="45"/>
        <v>109</v>
      </c>
      <c r="L272" s="33">
        <f t="shared" si="46"/>
        <v>-8.181818181818187</v>
      </c>
      <c r="M272" s="33">
        <v>32.200000000000003</v>
      </c>
      <c r="N272" s="33">
        <f t="shared" si="47"/>
        <v>141.19999999999999</v>
      </c>
      <c r="O272" s="67"/>
      <c r="P272" s="67"/>
      <c r="Q272" s="68"/>
      <c r="R272" s="68"/>
      <c r="S272" s="33">
        <f t="shared" si="48"/>
        <v>141.19999999999999</v>
      </c>
      <c r="T272" s="33">
        <f>MIN(S272,58.6)</f>
        <v>58.6</v>
      </c>
      <c r="U272" s="33">
        <f t="shared" si="49"/>
        <v>82.6</v>
      </c>
      <c r="V272" s="1"/>
      <c r="W272" s="60"/>
      <c r="X272" s="1"/>
      <c r="Y272" s="1"/>
      <c r="Z272" s="60"/>
      <c r="AA272" s="60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9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9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9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9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9"/>
      <c r="FG272" s="8"/>
      <c r="FH272" s="8"/>
    </row>
    <row r="273" spans="1:164" s="2" customFormat="1" ht="17.100000000000001" customHeight="1">
      <c r="A273" s="13" t="s">
        <v>254</v>
      </c>
      <c r="B273" s="56">
        <v>926.1</v>
      </c>
      <c r="C273" s="56">
        <v>954.2</v>
      </c>
      <c r="D273" s="4">
        <f t="shared" si="42"/>
        <v>1.0303422956484181</v>
      </c>
      <c r="E273" s="10">
        <v>15</v>
      </c>
      <c r="F273" s="5">
        <v>1</v>
      </c>
      <c r="G273" s="5">
        <v>10</v>
      </c>
      <c r="H273" s="40">
        <f t="shared" si="43"/>
        <v>1.0182053773890507</v>
      </c>
      <c r="I273" s="41">
        <v>160</v>
      </c>
      <c r="J273" s="33">
        <f t="shared" si="44"/>
        <v>14.545454545454545</v>
      </c>
      <c r="K273" s="33">
        <f t="shared" si="45"/>
        <v>14.8</v>
      </c>
      <c r="L273" s="33">
        <f t="shared" si="46"/>
        <v>0.25454545454545574</v>
      </c>
      <c r="M273" s="33">
        <v>3.9</v>
      </c>
      <c r="N273" s="33">
        <f t="shared" si="47"/>
        <v>18.7</v>
      </c>
      <c r="O273" s="67"/>
      <c r="P273" s="67"/>
      <c r="Q273" s="68"/>
      <c r="R273" s="68"/>
      <c r="S273" s="33">
        <f t="shared" si="48"/>
        <v>18.7</v>
      </c>
      <c r="T273" s="33">
        <f>MIN(S273,7.3)</f>
        <v>7.3</v>
      </c>
      <c r="U273" s="33">
        <f t="shared" si="49"/>
        <v>11.4</v>
      </c>
      <c r="V273" s="1"/>
      <c r="W273" s="60"/>
      <c r="X273" s="1"/>
      <c r="Y273" s="1"/>
      <c r="Z273" s="60"/>
      <c r="AA273" s="60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9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9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9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9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9"/>
      <c r="FG273" s="8"/>
      <c r="FH273" s="8"/>
    </row>
    <row r="274" spans="1:164" s="2" customFormat="1" ht="17.100000000000001" customHeight="1">
      <c r="A274" s="17" t="s">
        <v>255</v>
      </c>
      <c r="B274" s="57"/>
      <c r="C274" s="57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33"/>
      <c r="V274" s="1"/>
      <c r="W274" s="60"/>
      <c r="X274" s="1"/>
      <c r="Y274" s="1"/>
      <c r="Z274" s="60"/>
      <c r="AA274" s="60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9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9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9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9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9"/>
      <c r="FG274" s="8"/>
      <c r="FH274" s="8"/>
    </row>
    <row r="275" spans="1:164" s="2" customFormat="1" ht="17.100000000000001" customHeight="1">
      <c r="A275" s="13" t="s">
        <v>256</v>
      </c>
      <c r="B275" s="56">
        <v>591.5</v>
      </c>
      <c r="C275" s="56">
        <v>118</v>
      </c>
      <c r="D275" s="4">
        <f t="shared" si="42"/>
        <v>0.19949281487743026</v>
      </c>
      <c r="E275" s="10">
        <v>15</v>
      </c>
      <c r="F275" s="5">
        <v>1</v>
      </c>
      <c r="G275" s="5">
        <v>10</v>
      </c>
      <c r="H275" s="40">
        <f t="shared" si="43"/>
        <v>0.51969568892645812</v>
      </c>
      <c r="I275" s="41">
        <v>424</v>
      </c>
      <c r="J275" s="33">
        <f t="shared" si="44"/>
        <v>38.545454545454547</v>
      </c>
      <c r="K275" s="33">
        <f t="shared" si="45"/>
        <v>20</v>
      </c>
      <c r="L275" s="33">
        <f t="shared" si="46"/>
        <v>-18.545454545454547</v>
      </c>
      <c r="M275" s="33">
        <v>3.8</v>
      </c>
      <c r="N275" s="33">
        <f t="shared" si="47"/>
        <v>23.8</v>
      </c>
      <c r="O275" s="67"/>
      <c r="P275" s="67"/>
      <c r="Q275" s="68"/>
      <c r="R275" s="68"/>
      <c r="S275" s="33">
        <f t="shared" si="48"/>
        <v>23.8</v>
      </c>
      <c r="T275" s="33"/>
      <c r="U275" s="33">
        <f t="shared" si="49"/>
        <v>23.8</v>
      </c>
      <c r="V275" s="1"/>
      <c r="W275" s="60"/>
      <c r="X275" s="1"/>
      <c r="Y275" s="1"/>
      <c r="Z275" s="60"/>
      <c r="AA275" s="60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9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9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9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9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9"/>
      <c r="FG275" s="8"/>
      <c r="FH275" s="8"/>
    </row>
    <row r="276" spans="1:164" s="2" customFormat="1" ht="17.100000000000001" customHeight="1">
      <c r="A276" s="13" t="s">
        <v>257</v>
      </c>
      <c r="B276" s="56">
        <v>201.7</v>
      </c>
      <c r="C276" s="56">
        <v>148.80000000000001</v>
      </c>
      <c r="D276" s="4">
        <f t="shared" si="42"/>
        <v>0.73772930094199318</v>
      </c>
      <c r="E276" s="10">
        <v>15</v>
      </c>
      <c r="F276" s="5">
        <v>1</v>
      </c>
      <c r="G276" s="5">
        <v>10</v>
      </c>
      <c r="H276" s="40">
        <f t="shared" si="43"/>
        <v>0.84263758056519589</v>
      </c>
      <c r="I276" s="41">
        <v>672</v>
      </c>
      <c r="J276" s="33">
        <f t="shared" si="44"/>
        <v>61.090909090909093</v>
      </c>
      <c r="K276" s="33">
        <f t="shared" si="45"/>
        <v>51.5</v>
      </c>
      <c r="L276" s="33">
        <f t="shared" si="46"/>
        <v>-9.5909090909090935</v>
      </c>
      <c r="M276" s="33">
        <v>13.7</v>
      </c>
      <c r="N276" s="33">
        <f t="shared" si="47"/>
        <v>65.2</v>
      </c>
      <c r="O276" s="67"/>
      <c r="P276" s="67"/>
      <c r="Q276" s="68"/>
      <c r="R276" s="68"/>
      <c r="S276" s="33">
        <f t="shared" si="48"/>
        <v>65.2</v>
      </c>
      <c r="T276" s="33"/>
      <c r="U276" s="33">
        <f t="shared" si="49"/>
        <v>65.2</v>
      </c>
      <c r="V276" s="1"/>
      <c r="W276" s="60"/>
      <c r="X276" s="1"/>
      <c r="Y276" s="1"/>
      <c r="Z276" s="60"/>
      <c r="AA276" s="60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9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9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9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9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9"/>
      <c r="FG276" s="8"/>
      <c r="FH276" s="8"/>
    </row>
    <row r="277" spans="1:164" s="2" customFormat="1" ht="17.100000000000001" customHeight="1">
      <c r="A277" s="13" t="s">
        <v>258</v>
      </c>
      <c r="B277" s="56">
        <v>461.4</v>
      </c>
      <c r="C277" s="56">
        <v>354.2</v>
      </c>
      <c r="D277" s="4">
        <f t="shared" si="42"/>
        <v>0.76766363242306024</v>
      </c>
      <c r="E277" s="10">
        <v>15</v>
      </c>
      <c r="F277" s="5">
        <v>1</v>
      </c>
      <c r="G277" s="5">
        <v>10</v>
      </c>
      <c r="H277" s="40">
        <f t="shared" si="43"/>
        <v>0.8605981794538361</v>
      </c>
      <c r="I277" s="41">
        <v>886</v>
      </c>
      <c r="J277" s="33">
        <f t="shared" si="44"/>
        <v>80.545454545454547</v>
      </c>
      <c r="K277" s="33">
        <f t="shared" si="45"/>
        <v>69.3</v>
      </c>
      <c r="L277" s="33">
        <f t="shared" si="46"/>
        <v>-11.24545454545455</v>
      </c>
      <c r="M277" s="33">
        <v>10.6</v>
      </c>
      <c r="N277" s="33">
        <f t="shared" si="47"/>
        <v>79.900000000000006</v>
      </c>
      <c r="O277" s="67"/>
      <c r="P277" s="67"/>
      <c r="Q277" s="68"/>
      <c r="R277" s="68"/>
      <c r="S277" s="33">
        <f t="shared" si="48"/>
        <v>79.900000000000006</v>
      </c>
      <c r="T277" s="33"/>
      <c r="U277" s="33">
        <f t="shared" si="49"/>
        <v>79.900000000000006</v>
      </c>
      <c r="V277" s="1"/>
      <c r="W277" s="60"/>
      <c r="X277" s="1"/>
      <c r="Y277" s="1"/>
      <c r="Z277" s="60"/>
      <c r="AA277" s="60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9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9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9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9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9"/>
      <c r="FG277" s="8"/>
      <c r="FH277" s="8"/>
    </row>
    <row r="278" spans="1:164" s="2" customFormat="1" ht="17.100000000000001" customHeight="1">
      <c r="A278" s="13" t="s">
        <v>259</v>
      </c>
      <c r="B278" s="56">
        <v>216.5</v>
      </c>
      <c r="C278" s="56">
        <v>186.8</v>
      </c>
      <c r="D278" s="4">
        <f t="shared" si="42"/>
        <v>0.86281755196304855</v>
      </c>
      <c r="E278" s="10">
        <v>15</v>
      </c>
      <c r="F278" s="5">
        <v>1</v>
      </c>
      <c r="G278" s="5">
        <v>10</v>
      </c>
      <c r="H278" s="40">
        <f t="shared" si="43"/>
        <v>0.91769053117782906</v>
      </c>
      <c r="I278" s="41">
        <v>1587</v>
      </c>
      <c r="J278" s="33">
        <f t="shared" si="44"/>
        <v>144.27272727272728</v>
      </c>
      <c r="K278" s="33">
        <f t="shared" si="45"/>
        <v>132.4</v>
      </c>
      <c r="L278" s="33">
        <f t="shared" si="46"/>
        <v>-11.872727272727275</v>
      </c>
      <c r="M278" s="33">
        <v>32.299999999999997</v>
      </c>
      <c r="N278" s="33">
        <f t="shared" si="47"/>
        <v>164.7</v>
      </c>
      <c r="O278" s="67"/>
      <c r="P278" s="67"/>
      <c r="Q278" s="68"/>
      <c r="R278" s="68"/>
      <c r="S278" s="33">
        <f t="shared" si="48"/>
        <v>164.7</v>
      </c>
      <c r="T278" s="33"/>
      <c r="U278" s="33">
        <f t="shared" si="49"/>
        <v>164.7</v>
      </c>
      <c r="V278" s="1"/>
      <c r="W278" s="60"/>
      <c r="X278" s="1"/>
      <c r="Y278" s="1"/>
      <c r="Z278" s="60"/>
      <c r="AA278" s="60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9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9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9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9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9"/>
      <c r="FG278" s="8"/>
      <c r="FH278" s="8"/>
    </row>
    <row r="279" spans="1:164" s="2" customFormat="1" ht="17.100000000000001" customHeight="1">
      <c r="A279" s="13" t="s">
        <v>260</v>
      </c>
      <c r="B279" s="56">
        <v>106.9</v>
      </c>
      <c r="C279" s="56">
        <v>313.10000000000002</v>
      </c>
      <c r="D279" s="4">
        <f t="shared" si="42"/>
        <v>1.3</v>
      </c>
      <c r="E279" s="10">
        <v>15</v>
      </c>
      <c r="F279" s="5">
        <v>1</v>
      </c>
      <c r="G279" s="5">
        <v>10</v>
      </c>
      <c r="H279" s="40">
        <f t="shared" si="43"/>
        <v>1.18</v>
      </c>
      <c r="I279" s="41">
        <v>551</v>
      </c>
      <c r="J279" s="33">
        <f t="shared" si="44"/>
        <v>50.090909090909093</v>
      </c>
      <c r="K279" s="33">
        <f t="shared" si="45"/>
        <v>59.1</v>
      </c>
      <c r="L279" s="33">
        <f t="shared" si="46"/>
        <v>9.0090909090909079</v>
      </c>
      <c r="M279" s="33">
        <v>12.3</v>
      </c>
      <c r="N279" s="33">
        <f t="shared" si="47"/>
        <v>71.400000000000006</v>
      </c>
      <c r="O279" s="67"/>
      <c r="P279" s="67"/>
      <c r="Q279" s="68"/>
      <c r="R279" s="68"/>
      <c r="S279" s="33">
        <f t="shared" si="48"/>
        <v>71.400000000000006</v>
      </c>
      <c r="T279" s="33"/>
      <c r="U279" s="33">
        <f t="shared" si="49"/>
        <v>71.400000000000006</v>
      </c>
      <c r="V279" s="1"/>
      <c r="W279" s="60"/>
      <c r="X279" s="1"/>
      <c r="Y279" s="1"/>
      <c r="Z279" s="60"/>
      <c r="AA279" s="60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9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9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9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9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9"/>
      <c r="FG279" s="8"/>
      <c r="FH279" s="8"/>
    </row>
    <row r="280" spans="1:164" s="2" customFormat="1" ht="17.100000000000001" customHeight="1">
      <c r="A280" s="13" t="s">
        <v>261</v>
      </c>
      <c r="B280" s="56">
        <v>283.7</v>
      </c>
      <c r="C280" s="56">
        <v>194.5</v>
      </c>
      <c r="D280" s="4">
        <f t="shared" si="42"/>
        <v>0.68558336270708498</v>
      </c>
      <c r="E280" s="10">
        <v>15</v>
      </c>
      <c r="F280" s="5">
        <v>1</v>
      </c>
      <c r="G280" s="5">
        <v>10</v>
      </c>
      <c r="H280" s="40">
        <f t="shared" si="43"/>
        <v>0.81135001762425107</v>
      </c>
      <c r="I280" s="41">
        <v>1151</v>
      </c>
      <c r="J280" s="33">
        <f t="shared" si="44"/>
        <v>104.63636363636364</v>
      </c>
      <c r="K280" s="33">
        <f t="shared" si="45"/>
        <v>84.9</v>
      </c>
      <c r="L280" s="33">
        <f t="shared" si="46"/>
        <v>-19.736363636363635</v>
      </c>
      <c r="M280" s="33">
        <v>9.1999999999999993</v>
      </c>
      <c r="N280" s="33">
        <f t="shared" si="47"/>
        <v>94.1</v>
      </c>
      <c r="O280" s="67"/>
      <c r="P280" s="67"/>
      <c r="Q280" s="68"/>
      <c r="R280" s="68"/>
      <c r="S280" s="33">
        <f t="shared" si="48"/>
        <v>94.1</v>
      </c>
      <c r="T280" s="33"/>
      <c r="U280" s="33">
        <f t="shared" si="49"/>
        <v>94.1</v>
      </c>
      <c r="V280" s="1"/>
      <c r="W280" s="60"/>
      <c r="X280" s="1"/>
      <c r="Y280" s="1"/>
      <c r="Z280" s="60"/>
      <c r="AA280" s="60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9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9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9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9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9"/>
      <c r="FG280" s="8"/>
      <c r="FH280" s="8"/>
    </row>
    <row r="281" spans="1:164" s="2" customFormat="1" ht="17.100000000000001" customHeight="1">
      <c r="A281" s="13" t="s">
        <v>262</v>
      </c>
      <c r="B281" s="56">
        <v>183</v>
      </c>
      <c r="C281" s="56">
        <v>211.5</v>
      </c>
      <c r="D281" s="4">
        <f t="shared" si="42"/>
        <v>1.1557377049180328</v>
      </c>
      <c r="E281" s="10">
        <v>15</v>
      </c>
      <c r="F281" s="5">
        <v>1</v>
      </c>
      <c r="G281" s="5">
        <v>10</v>
      </c>
      <c r="H281" s="40">
        <f t="shared" si="43"/>
        <v>1.0934426229508198</v>
      </c>
      <c r="I281" s="41">
        <v>971</v>
      </c>
      <c r="J281" s="33">
        <f t="shared" si="44"/>
        <v>88.272727272727266</v>
      </c>
      <c r="K281" s="33">
        <f t="shared" si="45"/>
        <v>96.5</v>
      </c>
      <c r="L281" s="33">
        <f t="shared" si="46"/>
        <v>8.2272727272727337</v>
      </c>
      <c r="M281" s="33">
        <v>10.8</v>
      </c>
      <c r="N281" s="33">
        <f t="shared" si="47"/>
        <v>107.3</v>
      </c>
      <c r="O281" s="67"/>
      <c r="P281" s="67"/>
      <c r="Q281" s="68"/>
      <c r="R281" s="68"/>
      <c r="S281" s="33">
        <f t="shared" si="48"/>
        <v>107.3</v>
      </c>
      <c r="T281" s="33">
        <f>MIN(S281,4.8)</f>
        <v>4.8</v>
      </c>
      <c r="U281" s="33">
        <f t="shared" si="49"/>
        <v>102.5</v>
      </c>
      <c r="V281" s="1"/>
      <c r="W281" s="60"/>
      <c r="X281" s="1"/>
      <c r="Y281" s="1"/>
      <c r="Z281" s="60"/>
      <c r="AA281" s="60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9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9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9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9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9"/>
      <c r="FG281" s="8"/>
      <c r="FH281" s="8"/>
    </row>
    <row r="282" spans="1:164" s="2" customFormat="1" ht="17.100000000000001" customHeight="1">
      <c r="A282" s="13" t="s">
        <v>263</v>
      </c>
      <c r="B282" s="56">
        <v>52.7</v>
      </c>
      <c r="C282" s="56">
        <v>107.8</v>
      </c>
      <c r="D282" s="4">
        <f t="shared" si="42"/>
        <v>1.2845540796963946</v>
      </c>
      <c r="E282" s="10">
        <v>15</v>
      </c>
      <c r="F282" s="5">
        <v>1</v>
      </c>
      <c r="G282" s="5">
        <v>10</v>
      </c>
      <c r="H282" s="40">
        <f t="shared" si="43"/>
        <v>1.1707324478178367</v>
      </c>
      <c r="I282" s="41">
        <v>1350</v>
      </c>
      <c r="J282" s="33">
        <f t="shared" si="44"/>
        <v>122.72727272727273</v>
      </c>
      <c r="K282" s="33">
        <f t="shared" si="45"/>
        <v>143.69999999999999</v>
      </c>
      <c r="L282" s="33">
        <f t="shared" si="46"/>
        <v>20.972727272727255</v>
      </c>
      <c r="M282" s="33">
        <v>22.5</v>
      </c>
      <c r="N282" s="33">
        <f t="shared" si="47"/>
        <v>166.2</v>
      </c>
      <c r="O282" s="67"/>
      <c r="P282" s="67"/>
      <c r="Q282" s="68"/>
      <c r="R282" s="68"/>
      <c r="S282" s="33">
        <f t="shared" si="48"/>
        <v>166.2</v>
      </c>
      <c r="T282" s="33"/>
      <c r="U282" s="33">
        <f t="shared" si="49"/>
        <v>166.2</v>
      </c>
      <c r="V282" s="1"/>
      <c r="W282" s="60"/>
      <c r="X282" s="1"/>
      <c r="Y282" s="1"/>
      <c r="Z282" s="60"/>
      <c r="AA282" s="60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9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9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9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9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9"/>
      <c r="FG282" s="8"/>
      <c r="FH282" s="8"/>
    </row>
    <row r="283" spans="1:164" s="2" customFormat="1" ht="17.100000000000001" customHeight="1">
      <c r="A283" s="13" t="s">
        <v>264</v>
      </c>
      <c r="B283" s="56">
        <v>142.80000000000001</v>
      </c>
      <c r="C283" s="56">
        <v>116.2</v>
      </c>
      <c r="D283" s="4">
        <f t="shared" si="42"/>
        <v>0.81372549019607843</v>
      </c>
      <c r="E283" s="10">
        <v>15</v>
      </c>
      <c r="F283" s="5">
        <v>1</v>
      </c>
      <c r="G283" s="5">
        <v>10</v>
      </c>
      <c r="H283" s="40">
        <f t="shared" si="43"/>
        <v>0.88823529411764701</v>
      </c>
      <c r="I283" s="41">
        <v>1085</v>
      </c>
      <c r="J283" s="33">
        <f t="shared" si="44"/>
        <v>98.63636363636364</v>
      </c>
      <c r="K283" s="33">
        <f t="shared" si="45"/>
        <v>87.6</v>
      </c>
      <c r="L283" s="33">
        <f t="shared" si="46"/>
        <v>-11.036363636363646</v>
      </c>
      <c r="M283" s="33">
        <v>8.3000000000000007</v>
      </c>
      <c r="N283" s="33">
        <f t="shared" si="47"/>
        <v>95.9</v>
      </c>
      <c r="O283" s="67"/>
      <c r="P283" s="67"/>
      <c r="Q283" s="68"/>
      <c r="R283" s="68"/>
      <c r="S283" s="33">
        <f t="shared" si="48"/>
        <v>95.9</v>
      </c>
      <c r="T283" s="33"/>
      <c r="U283" s="33">
        <f t="shared" si="49"/>
        <v>95.9</v>
      </c>
      <c r="V283" s="1"/>
      <c r="W283" s="60"/>
      <c r="X283" s="1"/>
      <c r="Y283" s="1"/>
      <c r="Z283" s="60"/>
      <c r="AA283" s="60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9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9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9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9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9"/>
      <c r="FG283" s="8"/>
      <c r="FH283" s="8"/>
    </row>
    <row r="284" spans="1:164" s="2" customFormat="1" ht="17.100000000000001" customHeight="1">
      <c r="A284" s="13" t="s">
        <v>265</v>
      </c>
      <c r="B284" s="56">
        <v>229.9</v>
      </c>
      <c r="C284" s="56">
        <v>246.6</v>
      </c>
      <c r="D284" s="4">
        <f t="shared" si="42"/>
        <v>1.0726402783819051</v>
      </c>
      <c r="E284" s="10">
        <v>15</v>
      </c>
      <c r="F284" s="5">
        <v>1</v>
      </c>
      <c r="G284" s="5">
        <v>10</v>
      </c>
      <c r="H284" s="40">
        <f t="shared" si="43"/>
        <v>1.043584167029143</v>
      </c>
      <c r="I284" s="41">
        <v>1014</v>
      </c>
      <c r="J284" s="33">
        <f t="shared" si="44"/>
        <v>92.181818181818187</v>
      </c>
      <c r="K284" s="33">
        <f t="shared" si="45"/>
        <v>96.2</v>
      </c>
      <c r="L284" s="33">
        <f t="shared" si="46"/>
        <v>4.0181818181818159</v>
      </c>
      <c r="M284" s="33">
        <v>17.3</v>
      </c>
      <c r="N284" s="33">
        <f t="shared" si="47"/>
        <v>113.5</v>
      </c>
      <c r="O284" s="67"/>
      <c r="P284" s="67"/>
      <c r="Q284" s="68"/>
      <c r="R284" s="68"/>
      <c r="S284" s="33">
        <f t="shared" si="48"/>
        <v>113.5</v>
      </c>
      <c r="T284" s="33"/>
      <c r="U284" s="33">
        <f t="shared" si="49"/>
        <v>113.5</v>
      </c>
      <c r="V284" s="1"/>
      <c r="W284" s="60"/>
      <c r="X284" s="1"/>
      <c r="Y284" s="1"/>
      <c r="Z284" s="60"/>
      <c r="AA284" s="60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9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9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9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9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9"/>
      <c r="FG284" s="8"/>
      <c r="FH284" s="8"/>
    </row>
    <row r="285" spans="1:164" s="2" customFormat="1" ht="17.100000000000001" customHeight="1">
      <c r="A285" s="13" t="s">
        <v>266</v>
      </c>
      <c r="B285" s="56">
        <v>179.1</v>
      </c>
      <c r="C285" s="56">
        <v>130</v>
      </c>
      <c r="D285" s="4">
        <f t="shared" si="42"/>
        <v>0.72585147962032381</v>
      </c>
      <c r="E285" s="10">
        <v>15</v>
      </c>
      <c r="F285" s="5">
        <v>1</v>
      </c>
      <c r="G285" s="5">
        <v>10</v>
      </c>
      <c r="H285" s="40">
        <f t="shared" si="43"/>
        <v>0.83551088777219429</v>
      </c>
      <c r="I285" s="41">
        <v>1099</v>
      </c>
      <c r="J285" s="33">
        <f t="shared" si="44"/>
        <v>99.909090909090907</v>
      </c>
      <c r="K285" s="33">
        <f t="shared" si="45"/>
        <v>83.5</v>
      </c>
      <c r="L285" s="33">
        <f t="shared" si="46"/>
        <v>-16.409090909090907</v>
      </c>
      <c r="M285" s="33">
        <v>14.4</v>
      </c>
      <c r="N285" s="33">
        <f t="shared" si="47"/>
        <v>97.9</v>
      </c>
      <c r="O285" s="67"/>
      <c r="P285" s="67"/>
      <c r="Q285" s="68"/>
      <c r="R285" s="68"/>
      <c r="S285" s="33">
        <f t="shared" si="48"/>
        <v>97.9</v>
      </c>
      <c r="T285" s="33">
        <f>MIN(S285,9.2)</f>
        <v>9.1999999999999993</v>
      </c>
      <c r="U285" s="33">
        <f t="shared" si="49"/>
        <v>88.7</v>
      </c>
      <c r="V285" s="1"/>
      <c r="W285" s="60"/>
      <c r="X285" s="1"/>
      <c r="Y285" s="1"/>
      <c r="Z285" s="60"/>
      <c r="AA285" s="60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9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9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9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9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9"/>
      <c r="FG285" s="8"/>
      <c r="FH285" s="8"/>
    </row>
    <row r="286" spans="1:164" s="2" customFormat="1" ht="17.100000000000001" customHeight="1">
      <c r="A286" s="13" t="s">
        <v>267</v>
      </c>
      <c r="B286" s="56">
        <v>340</v>
      </c>
      <c r="C286" s="56">
        <v>111.9</v>
      </c>
      <c r="D286" s="4">
        <f t="shared" si="42"/>
        <v>0.32911764705882357</v>
      </c>
      <c r="E286" s="10">
        <v>15</v>
      </c>
      <c r="F286" s="5">
        <v>1</v>
      </c>
      <c r="G286" s="5">
        <v>10</v>
      </c>
      <c r="H286" s="40">
        <f t="shared" si="43"/>
        <v>0.5974705882352942</v>
      </c>
      <c r="I286" s="41">
        <v>1022</v>
      </c>
      <c r="J286" s="33">
        <f t="shared" si="44"/>
        <v>92.909090909090907</v>
      </c>
      <c r="K286" s="33">
        <f t="shared" si="45"/>
        <v>55.5</v>
      </c>
      <c r="L286" s="33">
        <f t="shared" si="46"/>
        <v>-37.409090909090907</v>
      </c>
      <c r="M286" s="33">
        <v>22.3</v>
      </c>
      <c r="N286" s="33">
        <f t="shared" si="47"/>
        <v>77.8</v>
      </c>
      <c r="O286" s="67"/>
      <c r="P286" s="67"/>
      <c r="Q286" s="68"/>
      <c r="R286" s="68"/>
      <c r="S286" s="33">
        <f t="shared" si="48"/>
        <v>77.8</v>
      </c>
      <c r="T286" s="33"/>
      <c r="U286" s="33">
        <f t="shared" si="49"/>
        <v>77.8</v>
      </c>
      <c r="V286" s="1"/>
      <c r="W286" s="60"/>
      <c r="X286" s="1"/>
      <c r="Y286" s="1"/>
      <c r="Z286" s="60"/>
      <c r="AA286" s="60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9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9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9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9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9"/>
      <c r="FG286" s="8"/>
      <c r="FH286" s="8"/>
    </row>
    <row r="287" spans="1:164" s="2" customFormat="1" ht="17.100000000000001" customHeight="1">
      <c r="A287" s="13" t="s">
        <v>268</v>
      </c>
      <c r="B287" s="56">
        <v>2930.4</v>
      </c>
      <c r="C287" s="56">
        <v>1988.7</v>
      </c>
      <c r="D287" s="4">
        <f t="shared" si="42"/>
        <v>0.67864455364455367</v>
      </c>
      <c r="E287" s="10">
        <v>15</v>
      </c>
      <c r="F287" s="5">
        <v>1</v>
      </c>
      <c r="G287" s="5">
        <v>10</v>
      </c>
      <c r="H287" s="40">
        <f t="shared" si="43"/>
        <v>0.8071867321867322</v>
      </c>
      <c r="I287" s="41">
        <v>136</v>
      </c>
      <c r="J287" s="33">
        <f t="shared" si="44"/>
        <v>12.363636363636363</v>
      </c>
      <c r="K287" s="33">
        <f t="shared" si="45"/>
        <v>10</v>
      </c>
      <c r="L287" s="33">
        <f t="shared" si="46"/>
        <v>-2.3636363636363633</v>
      </c>
      <c r="M287" s="33">
        <v>1.9</v>
      </c>
      <c r="N287" s="33">
        <f t="shared" si="47"/>
        <v>11.9</v>
      </c>
      <c r="O287" s="67"/>
      <c r="P287" s="67"/>
      <c r="Q287" s="68"/>
      <c r="R287" s="68"/>
      <c r="S287" s="33">
        <f t="shared" si="48"/>
        <v>11.9</v>
      </c>
      <c r="T287" s="33"/>
      <c r="U287" s="33">
        <f t="shared" si="49"/>
        <v>11.9</v>
      </c>
      <c r="V287" s="1"/>
      <c r="W287" s="60"/>
      <c r="X287" s="1"/>
      <c r="Y287" s="1"/>
      <c r="Z287" s="60"/>
      <c r="AA287" s="60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9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9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9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9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9"/>
      <c r="FG287" s="8"/>
      <c r="FH287" s="8"/>
    </row>
    <row r="288" spans="1:164" s="2" customFormat="1" ht="17.100000000000001" customHeight="1">
      <c r="A288" s="13" t="s">
        <v>269</v>
      </c>
      <c r="B288" s="56">
        <v>678.3</v>
      </c>
      <c r="C288" s="56">
        <v>349.8</v>
      </c>
      <c r="D288" s="4">
        <f t="shared" si="42"/>
        <v>0.51570101724900497</v>
      </c>
      <c r="E288" s="10">
        <v>15</v>
      </c>
      <c r="F288" s="5">
        <v>1</v>
      </c>
      <c r="G288" s="5">
        <v>10</v>
      </c>
      <c r="H288" s="40">
        <f t="shared" si="43"/>
        <v>0.70942061034940296</v>
      </c>
      <c r="I288" s="41">
        <v>1433</v>
      </c>
      <c r="J288" s="33">
        <f t="shared" si="44"/>
        <v>130.27272727272728</v>
      </c>
      <c r="K288" s="33">
        <f t="shared" si="45"/>
        <v>92.4</v>
      </c>
      <c r="L288" s="33">
        <f t="shared" si="46"/>
        <v>-37.872727272727275</v>
      </c>
      <c r="M288" s="33">
        <v>25.5</v>
      </c>
      <c r="N288" s="33">
        <f t="shared" si="47"/>
        <v>117.9</v>
      </c>
      <c r="O288" s="67"/>
      <c r="P288" s="67"/>
      <c r="Q288" s="68"/>
      <c r="R288" s="68"/>
      <c r="S288" s="33">
        <f t="shared" si="48"/>
        <v>117.9</v>
      </c>
      <c r="T288" s="33"/>
      <c r="U288" s="33">
        <f t="shared" si="49"/>
        <v>117.9</v>
      </c>
      <c r="V288" s="1"/>
      <c r="W288" s="60"/>
      <c r="X288" s="1"/>
      <c r="Y288" s="1"/>
      <c r="Z288" s="60"/>
      <c r="AA288" s="60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9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9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9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9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9"/>
      <c r="FG288" s="8"/>
      <c r="FH288" s="8"/>
    </row>
    <row r="289" spans="1:164" s="2" customFormat="1" ht="17.100000000000001" customHeight="1">
      <c r="A289" s="13" t="s">
        <v>270</v>
      </c>
      <c r="B289" s="56">
        <v>828.6</v>
      </c>
      <c r="C289" s="56">
        <v>955.7</v>
      </c>
      <c r="D289" s="4">
        <f t="shared" si="42"/>
        <v>1.1533912623702631</v>
      </c>
      <c r="E289" s="10">
        <v>15</v>
      </c>
      <c r="F289" s="5">
        <v>1</v>
      </c>
      <c r="G289" s="5">
        <v>10</v>
      </c>
      <c r="H289" s="40">
        <f t="shared" si="43"/>
        <v>1.0920347574221578</v>
      </c>
      <c r="I289" s="41">
        <v>1116</v>
      </c>
      <c r="J289" s="33">
        <f t="shared" si="44"/>
        <v>101.45454545454545</v>
      </c>
      <c r="K289" s="33">
        <f t="shared" si="45"/>
        <v>110.8</v>
      </c>
      <c r="L289" s="33">
        <f t="shared" si="46"/>
        <v>9.3454545454545439</v>
      </c>
      <c r="M289" s="33">
        <v>22</v>
      </c>
      <c r="N289" s="33">
        <f t="shared" si="47"/>
        <v>132.80000000000001</v>
      </c>
      <c r="O289" s="67"/>
      <c r="P289" s="67"/>
      <c r="Q289" s="68"/>
      <c r="R289" s="68"/>
      <c r="S289" s="33">
        <f t="shared" si="48"/>
        <v>132.80000000000001</v>
      </c>
      <c r="T289" s="33"/>
      <c r="U289" s="33">
        <f t="shared" si="49"/>
        <v>132.80000000000001</v>
      </c>
      <c r="V289" s="1"/>
      <c r="W289" s="60"/>
      <c r="X289" s="1"/>
      <c r="Y289" s="1"/>
      <c r="Z289" s="60"/>
      <c r="AA289" s="60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9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9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9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9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9"/>
      <c r="FG289" s="8"/>
      <c r="FH289" s="8"/>
    </row>
    <row r="290" spans="1:164" s="2" customFormat="1" ht="17.100000000000001" customHeight="1">
      <c r="A290" s="13" t="s">
        <v>271</v>
      </c>
      <c r="B290" s="56">
        <v>4781.6000000000004</v>
      </c>
      <c r="C290" s="56">
        <v>6228.6</v>
      </c>
      <c r="D290" s="4">
        <f t="shared" si="42"/>
        <v>1.2102618370419942</v>
      </c>
      <c r="E290" s="10">
        <v>15</v>
      </c>
      <c r="F290" s="5">
        <v>1</v>
      </c>
      <c r="G290" s="5">
        <v>10</v>
      </c>
      <c r="H290" s="40">
        <f t="shared" si="43"/>
        <v>1.1261571022251966</v>
      </c>
      <c r="I290" s="41">
        <v>38</v>
      </c>
      <c r="J290" s="33">
        <f t="shared" si="44"/>
        <v>3.4545454545454546</v>
      </c>
      <c r="K290" s="33">
        <f t="shared" si="45"/>
        <v>3.9</v>
      </c>
      <c r="L290" s="33">
        <f t="shared" si="46"/>
        <v>0.44545454545454533</v>
      </c>
      <c r="M290" s="33">
        <v>0.7</v>
      </c>
      <c r="N290" s="33">
        <f t="shared" si="47"/>
        <v>4.5999999999999996</v>
      </c>
      <c r="O290" s="67"/>
      <c r="P290" s="67"/>
      <c r="Q290" s="68"/>
      <c r="R290" s="68"/>
      <c r="S290" s="33">
        <f t="shared" si="48"/>
        <v>4.5999999999999996</v>
      </c>
      <c r="T290" s="33"/>
      <c r="U290" s="33">
        <f t="shared" si="49"/>
        <v>4.5999999999999996</v>
      </c>
      <c r="V290" s="1"/>
      <c r="W290" s="60"/>
      <c r="X290" s="1"/>
      <c r="Y290" s="1"/>
      <c r="Z290" s="60"/>
      <c r="AA290" s="60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9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9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9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9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9"/>
      <c r="FG290" s="8"/>
      <c r="FH290" s="8"/>
    </row>
    <row r="291" spans="1:164" s="2" customFormat="1" ht="17.100000000000001" customHeight="1">
      <c r="A291" s="13" t="s">
        <v>164</v>
      </c>
      <c r="B291" s="56">
        <v>415.8</v>
      </c>
      <c r="C291" s="56">
        <v>175.8</v>
      </c>
      <c r="D291" s="4">
        <f t="shared" si="42"/>
        <v>0.42279942279942284</v>
      </c>
      <c r="E291" s="10">
        <v>15</v>
      </c>
      <c r="F291" s="5">
        <v>1</v>
      </c>
      <c r="G291" s="5">
        <v>10</v>
      </c>
      <c r="H291" s="40">
        <f t="shared" si="43"/>
        <v>0.65367965367965364</v>
      </c>
      <c r="I291" s="41">
        <v>517</v>
      </c>
      <c r="J291" s="33">
        <f t="shared" si="44"/>
        <v>47</v>
      </c>
      <c r="K291" s="33">
        <f t="shared" si="45"/>
        <v>30.7</v>
      </c>
      <c r="L291" s="33">
        <f t="shared" si="46"/>
        <v>-16.3</v>
      </c>
      <c r="M291" s="33">
        <v>10.9</v>
      </c>
      <c r="N291" s="33">
        <f t="shared" si="47"/>
        <v>41.6</v>
      </c>
      <c r="O291" s="67"/>
      <c r="P291" s="67"/>
      <c r="Q291" s="68"/>
      <c r="R291" s="68"/>
      <c r="S291" s="33">
        <f t="shared" si="48"/>
        <v>41.6</v>
      </c>
      <c r="T291" s="33">
        <f>MIN(S291,23.5)</f>
        <v>23.5</v>
      </c>
      <c r="U291" s="33">
        <f t="shared" si="49"/>
        <v>18.100000000000001</v>
      </c>
      <c r="V291" s="1"/>
      <c r="W291" s="60"/>
      <c r="X291" s="1"/>
      <c r="Y291" s="1"/>
      <c r="Z291" s="60"/>
      <c r="AA291" s="60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9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9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9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9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9"/>
      <c r="FG291" s="8"/>
      <c r="FH291" s="8"/>
    </row>
    <row r="292" spans="1:164" s="2" customFormat="1" ht="17.100000000000001" customHeight="1">
      <c r="A292" s="17" t="s">
        <v>272</v>
      </c>
      <c r="B292" s="57"/>
      <c r="C292" s="57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33"/>
      <c r="V292" s="1"/>
      <c r="W292" s="60"/>
      <c r="X292" s="1"/>
      <c r="Y292" s="1"/>
      <c r="Z292" s="60"/>
      <c r="AA292" s="60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9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9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9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9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9"/>
      <c r="FG292" s="8"/>
      <c r="FH292" s="8"/>
    </row>
    <row r="293" spans="1:164" s="2" customFormat="1" ht="17.100000000000001" customHeight="1">
      <c r="A293" s="42" t="s">
        <v>68</v>
      </c>
      <c r="B293" s="56">
        <v>266.39999999999998</v>
      </c>
      <c r="C293" s="56">
        <v>224.3</v>
      </c>
      <c r="D293" s="4">
        <f t="shared" si="42"/>
        <v>0.84196696696696705</v>
      </c>
      <c r="E293" s="10">
        <v>15</v>
      </c>
      <c r="F293" s="5">
        <v>1</v>
      </c>
      <c r="G293" s="5">
        <v>10</v>
      </c>
      <c r="H293" s="40">
        <f t="shared" si="43"/>
        <v>0.9051801801801802</v>
      </c>
      <c r="I293" s="41">
        <v>846</v>
      </c>
      <c r="J293" s="33">
        <f t="shared" si="44"/>
        <v>76.909090909090907</v>
      </c>
      <c r="K293" s="33">
        <f t="shared" si="45"/>
        <v>69.599999999999994</v>
      </c>
      <c r="L293" s="33">
        <f t="shared" si="46"/>
        <v>-7.3090909090909122</v>
      </c>
      <c r="M293" s="33">
        <v>15.9</v>
      </c>
      <c r="N293" s="33">
        <f t="shared" si="47"/>
        <v>85.5</v>
      </c>
      <c r="O293" s="67"/>
      <c r="P293" s="67"/>
      <c r="Q293" s="68"/>
      <c r="R293" s="68"/>
      <c r="S293" s="33">
        <f t="shared" si="48"/>
        <v>85.5</v>
      </c>
      <c r="T293" s="33"/>
      <c r="U293" s="33">
        <f t="shared" si="49"/>
        <v>85.5</v>
      </c>
      <c r="V293" s="1"/>
      <c r="W293" s="60"/>
      <c r="X293" s="1"/>
      <c r="Y293" s="1"/>
      <c r="Z293" s="60"/>
      <c r="AA293" s="60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9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9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9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9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9"/>
      <c r="FG293" s="8"/>
      <c r="FH293" s="8"/>
    </row>
    <row r="294" spans="1:164" s="2" customFormat="1" ht="17.100000000000001" customHeight="1">
      <c r="A294" s="42" t="s">
        <v>273</v>
      </c>
      <c r="B294" s="56">
        <v>652.79999999999995</v>
      </c>
      <c r="C294" s="56">
        <v>224.4</v>
      </c>
      <c r="D294" s="4">
        <f t="shared" si="42"/>
        <v>0.34375000000000006</v>
      </c>
      <c r="E294" s="10">
        <v>15</v>
      </c>
      <c r="F294" s="5">
        <v>1</v>
      </c>
      <c r="G294" s="5">
        <v>10</v>
      </c>
      <c r="H294" s="40">
        <f t="shared" si="43"/>
        <v>0.60624999999999996</v>
      </c>
      <c r="I294" s="41">
        <v>61</v>
      </c>
      <c r="J294" s="33">
        <f t="shared" si="44"/>
        <v>5.5454545454545459</v>
      </c>
      <c r="K294" s="33">
        <f t="shared" si="45"/>
        <v>3.4</v>
      </c>
      <c r="L294" s="33">
        <f t="shared" si="46"/>
        <v>-2.1454545454545459</v>
      </c>
      <c r="M294" s="33">
        <v>1.3</v>
      </c>
      <c r="N294" s="33">
        <f t="shared" si="47"/>
        <v>4.7</v>
      </c>
      <c r="O294" s="67"/>
      <c r="P294" s="67"/>
      <c r="Q294" s="68"/>
      <c r="R294" s="68"/>
      <c r="S294" s="33">
        <f t="shared" si="48"/>
        <v>4.7</v>
      </c>
      <c r="T294" s="33"/>
      <c r="U294" s="33">
        <f t="shared" si="49"/>
        <v>4.7</v>
      </c>
      <c r="V294" s="1"/>
      <c r="W294" s="60"/>
      <c r="X294" s="1"/>
      <c r="Y294" s="1"/>
      <c r="Z294" s="60"/>
      <c r="AA294" s="60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9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9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9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9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9"/>
      <c r="FG294" s="8"/>
      <c r="FH294" s="8"/>
    </row>
    <row r="295" spans="1:164" s="2" customFormat="1" ht="17.100000000000001" customHeight="1">
      <c r="A295" s="42" t="s">
        <v>274</v>
      </c>
      <c r="B295" s="56">
        <v>179.8</v>
      </c>
      <c r="C295" s="56">
        <v>918.6</v>
      </c>
      <c r="D295" s="4">
        <f t="shared" si="42"/>
        <v>1.3</v>
      </c>
      <c r="E295" s="10">
        <v>15</v>
      </c>
      <c r="F295" s="5">
        <v>1</v>
      </c>
      <c r="G295" s="5">
        <v>10</v>
      </c>
      <c r="H295" s="40">
        <f t="shared" si="43"/>
        <v>1.18</v>
      </c>
      <c r="I295" s="41">
        <v>142</v>
      </c>
      <c r="J295" s="33">
        <f t="shared" si="44"/>
        <v>12.909090909090908</v>
      </c>
      <c r="K295" s="33">
        <f t="shared" si="45"/>
        <v>15.2</v>
      </c>
      <c r="L295" s="33">
        <f t="shared" si="46"/>
        <v>2.290909090909091</v>
      </c>
      <c r="M295" s="33">
        <v>2.6</v>
      </c>
      <c r="N295" s="33">
        <f t="shared" si="47"/>
        <v>17.8</v>
      </c>
      <c r="O295" s="67"/>
      <c r="P295" s="67"/>
      <c r="Q295" s="68"/>
      <c r="R295" s="68"/>
      <c r="S295" s="33">
        <f t="shared" si="48"/>
        <v>17.8</v>
      </c>
      <c r="T295" s="33"/>
      <c r="U295" s="33">
        <f t="shared" si="49"/>
        <v>17.8</v>
      </c>
      <c r="V295" s="1"/>
      <c r="W295" s="60"/>
      <c r="X295" s="1"/>
      <c r="Y295" s="1"/>
      <c r="Z295" s="60"/>
      <c r="AA295" s="60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9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9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9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9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9"/>
      <c r="FG295" s="8"/>
      <c r="FH295" s="8"/>
    </row>
    <row r="296" spans="1:164" s="2" customFormat="1" ht="17.100000000000001" customHeight="1">
      <c r="A296" s="42" t="s">
        <v>50</v>
      </c>
      <c r="B296" s="56">
        <v>5040.7</v>
      </c>
      <c r="C296" s="56">
        <v>4893.2</v>
      </c>
      <c r="D296" s="4">
        <f t="shared" si="42"/>
        <v>0.97073819112424864</v>
      </c>
      <c r="E296" s="10">
        <v>15</v>
      </c>
      <c r="F296" s="5">
        <v>1</v>
      </c>
      <c r="G296" s="5">
        <v>10</v>
      </c>
      <c r="H296" s="40">
        <f t="shared" si="43"/>
        <v>0.98244291467454925</v>
      </c>
      <c r="I296" s="41">
        <v>84</v>
      </c>
      <c r="J296" s="33">
        <f t="shared" si="44"/>
        <v>7.6363636363636367</v>
      </c>
      <c r="K296" s="33">
        <f t="shared" si="45"/>
        <v>7.5</v>
      </c>
      <c r="L296" s="33">
        <f t="shared" si="46"/>
        <v>-0.13636363636363669</v>
      </c>
      <c r="M296" s="33">
        <v>1.1000000000000001</v>
      </c>
      <c r="N296" s="33">
        <f t="shared" si="47"/>
        <v>8.6</v>
      </c>
      <c r="O296" s="67"/>
      <c r="P296" s="67"/>
      <c r="Q296" s="68"/>
      <c r="R296" s="68"/>
      <c r="S296" s="33">
        <f t="shared" si="48"/>
        <v>8.6</v>
      </c>
      <c r="T296" s="33"/>
      <c r="U296" s="33">
        <f t="shared" si="49"/>
        <v>8.6</v>
      </c>
      <c r="V296" s="1"/>
      <c r="W296" s="60"/>
      <c r="X296" s="1"/>
      <c r="Y296" s="1"/>
      <c r="Z296" s="60"/>
      <c r="AA296" s="60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9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9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9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9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9"/>
      <c r="FG296" s="8"/>
      <c r="FH296" s="8"/>
    </row>
    <row r="297" spans="1:164" s="2" customFormat="1" ht="17.100000000000001" customHeight="1">
      <c r="A297" s="42" t="s">
        <v>275</v>
      </c>
      <c r="B297" s="56">
        <v>252.4</v>
      </c>
      <c r="C297" s="56">
        <v>198.5</v>
      </c>
      <c r="D297" s="4">
        <f t="shared" si="42"/>
        <v>0.78645007923930266</v>
      </c>
      <c r="E297" s="10">
        <v>15</v>
      </c>
      <c r="F297" s="5">
        <v>1</v>
      </c>
      <c r="G297" s="5">
        <v>10</v>
      </c>
      <c r="H297" s="40">
        <f t="shared" si="43"/>
        <v>0.87187004754358155</v>
      </c>
      <c r="I297" s="41">
        <v>771</v>
      </c>
      <c r="J297" s="33">
        <f t="shared" si="44"/>
        <v>70.090909090909093</v>
      </c>
      <c r="K297" s="33">
        <f t="shared" si="45"/>
        <v>61.1</v>
      </c>
      <c r="L297" s="33">
        <f t="shared" si="46"/>
        <v>-8.9909090909090921</v>
      </c>
      <c r="M297" s="33">
        <v>10.9</v>
      </c>
      <c r="N297" s="33">
        <f t="shared" si="47"/>
        <v>72</v>
      </c>
      <c r="O297" s="67"/>
      <c r="P297" s="67"/>
      <c r="Q297" s="68"/>
      <c r="R297" s="68"/>
      <c r="S297" s="33">
        <f t="shared" si="48"/>
        <v>72</v>
      </c>
      <c r="T297" s="33"/>
      <c r="U297" s="33">
        <f t="shared" si="49"/>
        <v>72</v>
      </c>
      <c r="V297" s="1"/>
      <c r="W297" s="60"/>
      <c r="X297" s="1"/>
      <c r="Y297" s="1"/>
      <c r="Z297" s="60"/>
      <c r="AA297" s="60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9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9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9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9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9"/>
      <c r="FG297" s="8"/>
      <c r="FH297" s="8"/>
    </row>
    <row r="298" spans="1:164" s="2" customFormat="1" ht="17.100000000000001" customHeight="1">
      <c r="A298" s="42" t="s">
        <v>276</v>
      </c>
      <c r="B298" s="56">
        <v>350.6</v>
      </c>
      <c r="C298" s="56">
        <v>160.69999999999999</v>
      </c>
      <c r="D298" s="4">
        <f t="shared" si="42"/>
        <v>0.45835710211066738</v>
      </c>
      <c r="E298" s="10">
        <v>15</v>
      </c>
      <c r="F298" s="5">
        <v>1</v>
      </c>
      <c r="G298" s="5">
        <v>10</v>
      </c>
      <c r="H298" s="40">
        <f t="shared" si="43"/>
        <v>0.67501426126640041</v>
      </c>
      <c r="I298" s="41">
        <v>1113</v>
      </c>
      <c r="J298" s="33">
        <f t="shared" si="44"/>
        <v>101.18181818181819</v>
      </c>
      <c r="K298" s="33">
        <f t="shared" si="45"/>
        <v>68.3</v>
      </c>
      <c r="L298" s="33">
        <f t="shared" si="46"/>
        <v>-32.88181818181819</v>
      </c>
      <c r="M298" s="33">
        <v>25.4</v>
      </c>
      <c r="N298" s="33">
        <f t="shared" si="47"/>
        <v>93.7</v>
      </c>
      <c r="O298" s="67"/>
      <c r="P298" s="67"/>
      <c r="Q298" s="68"/>
      <c r="R298" s="68"/>
      <c r="S298" s="33">
        <f t="shared" si="48"/>
        <v>93.7</v>
      </c>
      <c r="T298" s="33"/>
      <c r="U298" s="33">
        <f t="shared" si="49"/>
        <v>93.7</v>
      </c>
      <c r="V298" s="1"/>
      <c r="W298" s="60"/>
      <c r="X298" s="1"/>
      <c r="Y298" s="1"/>
      <c r="Z298" s="60"/>
      <c r="AA298" s="60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9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9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9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9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9"/>
      <c r="FG298" s="8"/>
      <c r="FH298" s="8"/>
    </row>
    <row r="299" spans="1:164" s="2" customFormat="1" ht="17.100000000000001" customHeight="1">
      <c r="A299" s="42" t="s">
        <v>277</v>
      </c>
      <c r="B299" s="56">
        <v>1280.0999999999999</v>
      </c>
      <c r="C299" s="56">
        <v>973.6</v>
      </c>
      <c r="D299" s="4">
        <f t="shared" si="42"/>
        <v>0.76056558081399894</v>
      </c>
      <c r="E299" s="10">
        <v>15</v>
      </c>
      <c r="F299" s="5">
        <v>1</v>
      </c>
      <c r="G299" s="5">
        <v>10</v>
      </c>
      <c r="H299" s="40">
        <f t="shared" si="43"/>
        <v>0.85633934848839943</v>
      </c>
      <c r="I299" s="41">
        <v>115</v>
      </c>
      <c r="J299" s="33">
        <f t="shared" si="44"/>
        <v>10.454545454545455</v>
      </c>
      <c r="K299" s="33">
        <f t="shared" si="45"/>
        <v>9</v>
      </c>
      <c r="L299" s="33">
        <f t="shared" si="46"/>
        <v>-1.454545454545455</v>
      </c>
      <c r="M299" s="33">
        <v>1.6</v>
      </c>
      <c r="N299" s="33">
        <f t="shared" si="47"/>
        <v>10.6</v>
      </c>
      <c r="O299" s="67"/>
      <c r="P299" s="67"/>
      <c r="Q299" s="68"/>
      <c r="R299" s="68"/>
      <c r="S299" s="33">
        <f t="shared" si="48"/>
        <v>10.6</v>
      </c>
      <c r="T299" s="33"/>
      <c r="U299" s="33">
        <f t="shared" si="49"/>
        <v>10.6</v>
      </c>
      <c r="V299" s="1"/>
      <c r="W299" s="60"/>
      <c r="X299" s="1"/>
      <c r="Y299" s="1"/>
      <c r="Z299" s="60"/>
      <c r="AA299" s="60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9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9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9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9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9"/>
      <c r="FG299" s="8"/>
      <c r="FH299" s="8"/>
    </row>
    <row r="300" spans="1:164" s="2" customFormat="1" ht="17.100000000000001" customHeight="1">
      <c r="A300" s="42" t="s">
        <v>278</v>
      </c>
      <c r="B300" s="56">
        <v>402.4</v>
      </c>
      <c r="C300" s="56">
        <v>307.8</v>
      </c>
      <c r="D300" s="4">
        <f t="shared" si="42"/>
        <v>0.76491053677932408</v>
      </c>
      <c r="E300" s="10">
        <v>15</v>
      </c>
      <c r="F300" s="5">
        <v>1</v>
      </c>
      <c r="G300" s="5">
        <v>10</v>
      </c>
      <c r="H300" s="40">
        <f t="shared" si="43"/>
        <v>0.85894632206759436</v>
      </c>
      <c r="I300" s="41">
        <v>1109</v>
      </c>
      <c r="J300" s="33">
        <f t="shared" si="44"/>
        <v>100.81818181818181</v>
      </c>
      <c r="K300" s="33">
        <f t="shared" si="45"/>
        <v>86.6</v>
      </c>
      <c r="L300" s="33">
        <f t="shared" si="46"/>
        <v>-14.218181818181819</v>
      </c>
      <c r="M300" s="33">
        <v>17.5</v>
      </c>
      <c r="N300" s="33">
        <f t="shared" si="47"/>
        <v>104.1</v>
      </c>
      <c r="O300" s="67"/>
      <c r="P300" s="67"/>
      <c r="Q300" s="68"/>
      <c r="R300" s="68"/>
      <c r="S300" s="33">
        <f t="shared" si="48"/>
        <v>104.1</v>
      </c>
      <c r="T300" s="33"/>
      <c r="U300" s="33">
        <f t="shared" si="49"/>
        <v>104.1</v>
      </c>
      <c r="V300" s="1"/>
      <c r="W300" s="60"/>
      <c r="X300" s="1"/>
      <c r="Y300" s="1"/>
      <c r="Z300" s="60"/>
      <c r="AA300" s="60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9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9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9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9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9"/>
      <c r="FG300" s="8"/>
      <c r="FH300" s="8"/>
    </row>
    <row r="301" spans="1:164" s="2" customFormat="1" ht="17.100000000000001" customHeight="1">
      <c r="A301" s="42" t="s">
        <v>279</v>
      </c>
      <c r="B301" s="56">
        <v>740.1</v>
      </c>
      <c r="C301" s="56">
        <v>31.5</v>
      </c>
      <c r="D301" s="4">
        <f t="shared" si="42"/>
        <v>4.2561815970814751E-2</v>
      </c>
      <c r="E301" s="10">
        <v>15</v>
      </c>
      <c r="F301" s="5">
        <v>1</v>
      </c>
      <c r="G301" s="5">
        <v>10</v>
      </c>
      <c r="H301" s="40">
        <f t="shared" si="43"/>
        <v>0.42553708958248881</v>
      </c>
      <c r="I301" s="41">
        <v>517</v>
      </c>
      <c r="J301" s="33">
        <f t="shared" si="44"/>
        <v>47</v>
      </c>
      <c r="K301" s="33">
        <f t="shared" si="45"/>
        <v>20</v>
      </c>
      <c r="L301" s="33">
        <f t="shared" si="46"/>
        <v>-27</v>
      </c>
      <c r="M301" s="33">
        <v>12.2</v>
      </c>
      <c r="N301" s="33">
        <f t="shared" si="47"/>
        <v>32.200000000000003</v>
      </c>
      <c r="O301" s="67"/>
      <c r="P301" s="67"/>
      <c r="Q301" s="68"/>
      <c r="R301" s="68"/>
      <c r="S301" s="33">
        <f t="shared" si="48"/>
        <v>32.200000000000003</v>
      </c>
      <c r="T301" s="33"/>
      <c r="U301" s="33">
        <f t="shared" si="49"/>
        <v>32.200000000000003</v>
      </c>
      <c r="V301" s="1"/>
      <c r="W301" s="60"/>
      <c r="X301" s="1"/>
      <c r="Y301" s="1"/>
      <c r="Z301" s="60"/>
      <c r="AA301" s="60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9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9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9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9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9"/>
      <c r="FG301" s="8"/>
      <c r="FH301" s="8"/>
    </row>
    <row r="302" spans="1:164" s="2" customFormat="1" ht="17.100000000000001" customHeight="1">
      <c r="A302" s="42" t="s">
        <v>280</v>
      </c>
      <c r="B302" s="56">
        <v>411.7</v>
      </c>
      <c r="C302" s="56">
        <v>421.7</v>
      </c>
      <c r="D302" s="4">
        <f t="shared" si="42"/>
        <v>1.0242895312120477</v>
      </c>
      <c r="E302" s="10">
        <v>15</v>
      </c>
      <c r="F302" s="5">
        <v>1</v>
      </c>
      <c r="G302" s="5">
        <v>10</v>
      </c>
      <c r="H302" s="40">
        <f t="shared" si="43"/>
        <v>1.0145737187272286</v>
      </c>
      <c r="I302" s="41">
        <v>105</v>
      </c>
      <c r="J302" s="33">
        <f t="shared" si="44"/>
        <v>9.545454545454545</v>
      </c>
      <c r="K302" s="33">
        <f t="shared" si="45"/>
        <v>9.6999999999999993</v>
      </c>
      <c r="L302" s="33">
        <f t="shared" si="46"/>
        <v>0.15454545454545432</v>
      </c>
      <c r="M302" s="33">
        <v>0.9</v>
      </c>
      <c r="N302" s="33">
        <f t="shared" si="47"/>
        <v>10.6</v>
      </c>
      <c r="O302" s="67"/>
      <c r="P302" s="67"/>
      <c r="Q302" s="68"/>
      <c r="R302" s="68"/>
      <c r="S302" s="33">
        <f t="shared" si="48"/>
        <v>10.6</v>
      </c>
      <c r="T302" s="33"/>
      <c r="U302" s="33">
        <f t="shared" si="49"/>
        <v>10.6</v>
      </c>
      <c r="V302" s="1"/>
      <c r="W302" s="60"/>
      <c r="X302" s="1"/>
      <c r="Y302" s="1"/>
      <c r="Z302" s="60"/>
      <c r="AA302" s="60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9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9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9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9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9"/>
      <c r="FG302" s="8"/>
      <c r="FH302" s="8"/>
    </row>
    <row r="303" spans="1:164" s="2" customFormat="1" ht="17.100000000000001" customHeight="1">
      <c r="A303" s="42" t="s">
        <v>281</v>
      </c>
      <c r="B303" s="56">
        <v>492.6</v>
      </c>
      <c r="C303" s="56">
        <v>713.1</v>
      </c>
      <c r="D303" s="4">
        <f t="shared" si="42"/>
        <v>1.224762484774665</v>
      </c>
      <c r="E303" s="10">
        <v>15</v>
      </c>
      <c r="F303" s="5">
        <v>1</v>
      </c>
      <c r="G303" s="5">
        <v>10</v>
      </c>
      <c r="H303" s="40">
        <f t="shared" si="43"/>
        <v>1.134857490864799</v>
      </c>
      <c r="I303" s="41">
        <v>1115</v>
      </c>
      <c r="J303" s="33">
        <f t="shared" si="44"/>
        <v>101.36363636363636</v>
      </c>
      <c r="K303" s="33">
        <f t="shared" si="45"/>
        <v>115</v>
      </c>
      <c r="L303" s="33">
        <f t="shared" si="46"/>
        <v>13.63636363636364</v>
      </c>
      <c r="M303" s="33">
        <v>22.5</v>
      </c>
      <c r="N303" s="33">
        <f t="shared" si="47"/>
        <v>137.5</v>
      </c>
      <c r="O303" s="67"/>
      <c r="P303" s="67"/>
      <c r="Q303" s="68"/>
      <c r="R303" s="68"/>
      <c r="S303" s="33">
        <f t="shared" si="48"/>
        <v>137.5</v>
      </c>
      <c r="T303" s="33"/>
      <c r="U303" s="33">
        <f t="shared" si="49"/>
        <v>137.5</v>
      </c>
      <c r="V303" s="1"/>
      <c r="W303" s="60"/>
      <c r="X303" s="1"/>
      <c r="Y303" s="1"/>
      <c r="Z303" s="60"/>
      <c r="AA303" s="60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9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9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9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9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9"/>
      <c r="FG303" s="8"/>
      <c r="FH303" s="8"/>
    </row>
    <row r="304" spans="1:164" s="2" customFormat="1" ht="17.100000000000001" customHeight="1">
      <c r="A304" s="42" t="s">
        <v>282</v>
      </c>
      <c r="B304" s="56">
        <v>1501.7</v>
      </c>
      <c r="C304" s="56">
        <v>1308.0999999999999</v>
      </c>
      <c r="D304" s="4">
        <f t="shared" si="42"/>
        <v>0.87107944329759601</v>
      </c>
      <c r="E304" s="10">
        <v>15</v>
      </c>
      <c r="F304" s="5">
        <v>1</v>
      </c>
      <c r="G304" s="5">
        <v>10</v>
      </c>
      <c r="H304" s="40">
        <f t="shared" si="43"/>
        <v>0.92264766597855752</v>
      </c>
      <c r="I304" s="41">
        <v>57</v>
      </c>
      <c r="J304" s="33">
        <f t="shared" si="44"/>
        <v>5.1818181818181817</v>
      </c>
      <c r="K304" s="33">
        <f t="shared" si="45"/>
        <v>4.8</v>
      </c>
      <c r="L304" s="33">
        <f t="shared" si="46"/>
        <v>-0.38181818181818183</v>
      </c>
      <c r="M304" s="33">
        <v>1.4</v>
      </c>
      <c r="N304" s="33">
        <f t="shared" si="47"/>
        <v>6.2</v>
      </c>
      <c r="O304" s="67"/>
      <c r="P304" s="67"/>
      <c r="Q304" s="68"/>
      <c r="R304" s="68"/>
      <c r="S304" s="33">
        <f t="shared" si="48"/>
        <v>6.2</v>
      </c>
      <c r="T304" s="33"/>
      <c r="U304" s="33">
        <f t="shared" si="49"/>
        <v>6.2</v>
      </c>
      <c r="V304" s="1"/>
      <c r="W304" s="60"/>
      <c r="X304" s="1"/>
      <c r="Y304" s="1"/>
      <c r="Z304" s="60"/>
      <c r="AA304" s="60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9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9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9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9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9"/>
      <c r="FG304" s="8"/>
      <c r="FH304" s="8"/>
    </row>
    <row r="305" spans="1:164" s="2" customFormat="1" ht="17.100000000000001" customHeight="1">
      <c r="A305" s="42" t="s">
        <v>283</v>
      </c>
      <c r="B305" s="56">
        <v>64.5</v>
      </c>
      <c r="C305" s="56">
        <v>100.7</v>
      </c>
      <c r="D305" s="4">
        <f t="shared" si="42"/>
        <v>1.2361240310077519</v>
      </c>
      <c r="E305" s="10">
        <v>15</v>
      </c>
      <c r="F305" s="5">
        <v>1</v>
      </c>
      <c r="G305" s="5">
        <v>10</v>
      </c>
      <c r="H305" s="40">
        <f t="shared" si="43"/>
        <v>1.1416744186046512</v>
      </c>
      <c r="I305" s="41">
        <v>940</v>
      </c>
      <c r="J305" s="33">
        <f t="shared" si="44"/>
        <v>85.454545454545453</v>
      </c>
      <c r="K305" s="33">
        <f t="shared" si="45"/>
        <v>97.6</v>
      </c>
      <c r="L305" s="33">
        <f t="shared" si="46"/>
        <v>12.145454545454541</v>
      </c>
      <c r="M305" s="33">
        <v>12.4</v>
      </c>
      <c r="N305" s="33">
        <f t="shared" si="47"/>
        <v>110</v>
      </c>
      <c r="O305" s="67"/>
      <c r="P305" s="67"/>
      <c r="Q305" s="68"/>
      <c r="R305" s="68"/>
      <c r="S305" s="33">
        <f t="shared" si="48"/>
        <v>110</v>
      </c>
      <c r="T305" s="33"/>
      <c r="U305" s="33">
        <f t="shared" si="49"/>
        <v>110</v>
      </c>
      <c r="V305" s="1"/>
      <c r="W305" s="60"/>
      <c r="X305" s="1"/>
      <c r="Y305" s="1"/>
      <c r="Z305" s="60"/>
      <c r="AA305" s="60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9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9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9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9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9"/>
      <c r="FG305" s="8"/>
      <c r="FH305" s="8"/>
    </row>
    <row r="306" spans="1:164" s="2" customFormat="1" ht="17.100000000000001" customHeight="1">
      <c r="A306" s="42" t="s">
        <v>284</v>
      </c>
      <c r="B306" s="56">
        <v>256.39999999999998</v>
      </c>
      <c r="C306" s="56">
        <v>344.4</v>
      </c>
      <c r="D306" s="4">
        <f t="shared" si="42"/>
        <v>1.214321372854914</v>
      </c>
      <c r="E306" s="10">
        <v>15</v>
      </c>
      <c r="F306" s="5">
        <v>1</v>
      </c>
      <c r="G306" s="5">
        <v>10</v>
      </c>
      <c r="H306" s="40">
        <f t="shared" si="43"/>
        <v>1.1285928237129483</v>
      </c>
      <c r="I306" s="41">
        <v>45</v>
      </c>
      <c r="J306" s="33">
        <f t="shared" si="44"/>
        <v>4.0909090909090908</v>
      </c>
      <c r="K306" s="33">
        <f t="shared" si="45"/>
        <v>4.5999999999999996</v>
      </c>
      <c r="L306" s="33">
        <f t="shared" si="46"/>
        <v>0.50909090909090882</v>
      </c>
      <c r="M306" s="33">
        <v>0.5</v>
      </c>
      <c r="N306" s="33">
        <f t="shared" si="47"/>
        <v>5.0999999999999996</v>
      </c>
      <c r="O306" s="67"/>
      <c r="P306" s="67"/>
      <c r="Q306" s="68"/>
      <c r="R306" s="68"/>
      <c r="S306" s="33">
        <f t="shared" si="48"/>
        <v>5.0999999999999996</v>
      </c>
      <c r="T306" s="33"/>
      <c r="U306" s="33">
        <f t="shared" si="49"/>
        <v>5.0999999999999996</v>
      </c>
      <c r="V306" s="1"/>
      <c r="W306" s="60"/>
      <c r="X306" s="1"/>
      <c r="Y306" s="1"/>
      <c r="Z306" s="60"/>
      <c r="AA306" s="60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9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9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9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9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9"/>
      <c r="FG306" s="8"/>
      <c r="FH306" s="8"/>
    </row>
    <row r="307" spans="1:164" s="2" customFormat="1" ht="16.5" customHeight="1">
      <c r="A307" s="42" t="s">
        <v>285</v>
      </c>
      <c r="B307" s="56">
        <v>614.4</v>
      </c>
      <c r="C307" s="56">
        <v>711.4</v>
      </c>
      <c r="D307" s="4">
        <f t="shared" si="42"/>
        <v>1.1578776041666667</v>
      </c>
      <c r="E307" s="10">
        <v>15</v>
      </c>
      <c r="F307" s="5">
        <v>1</v>
      </c>
      <c r="G307" s="5">
        <v>10</v>
      </c>
      <c r="H307" s="40">
        <f t="shared" si="43"/>
        <v>1.0947265625</v>
      </c>
      <c r="I307" s="41">
        <v>146</v>
      </c>
      <c r="J307" s="33">
        <f t="shared" si="44"/>
        <v>13.272727272727273</v>
      </c>
      <c r="K307" s="33">
        <f t="shared" si="45"/>
        <v>14.5</v>
      </c>
      <c r="L307" s="33">
        <f t="shared" si="46"/>
        <v>1.2272727272727266</v>
      </c>
      <c r="M307" s="33">
        <v>2.5</v>
      </c>
      <c r="N307" s="33">
        <f t="shared" si="47"/>
        <v>17</v>
      </c>
      <c r="O307" s="67"/>
      <c r="P307" s="67"/>
      <c r="Q307" s="68"/>
      <c r="R307" s="68"/>
      <c r="S307" s="33">
        <f t="shared" si="48"/>
        <v>17</v>
      </c>
      <c r="T307" s="33"/>
      <c r="U307" s="33">
        <f t="shared" si="49"/>
        <v>17</v>
      </c>
      <c r="V307" s="1"/>
      <c r="W307" s="60"/>
      <c r="X307" s="1"/>
      <c r="Y307" s="1"/>
      <c r="Z307" s="60"/>
      <c r="AA307" s="60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9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9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9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9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9"/>
      <c r="FG307" s="8"/>
      <c r="FH307" s="8"/>
    </row>
    <row r="308" spans="1:164" s="2" customFormat="1" ht="17.100000000000001" customHeight="1">
      <c r="A308" s="42" t="s">
        <v>286</v>
      </c>
      <c r="B308" s="56">
        <v>3599.5</v>
      </c>
      <c r="C308" s="56">
        <v>2690.2</v>
      </c>
      <c r="D308" s="4">
        <f t="shared" si="42"/>
        <v>0.74738158077510763</v>
      </c>
      <c r="E308" s="10">
        <v>15</v>
      </c>
      <c r="F308" s="5">
        <v>1</v>
      </c>
      <c r="G308" s="5">
        <v>10</v>
      </c>
      <c r="H308" s="40">
        <f t="shared" si="43"/>
        <v>0.84842894846506456</v>
      </c>
      <c r="I308" s="41">
        <v>39</v>
      </c>
      <c r="J308" s="33">
        <f t="shared" si="44"/>
        <v>3.5454545454545454</v>
      </c>
      <c r="K308" s="33">
        <f t="shared" si="45"/>
        <v>3</v>
      </c>
      <c r="L308" s="33">
        <f t="shared" si="46"/>
        <v>-0.54545454545454541</v>
      </c>
      <c r="M308" s="33">
        <v>0.8</v>
      </c>
      <c r="N308" s="33">
        <f t="shared" si="47"/>
        <v>3.8</v>
      </c>
      <c r="O308" s="67"/>
      <c r="P308" s="67"/>
      <c r="Q308" s="68"/>
      <c r="R308" s="68"/>
      <c r="S308" s="33">
        <f t="shared" si="48"/>
        <v>3.8</v>
      </c>
      <c r="T308" s="33"/>
      <c r="U308" s="33">
        <f t="shared" si="49"/>
        <v>3.8</v>
      </c>
      <c r="V308" s="1"/>
      <c r="W308" s="60"/>
      <c r="X308" s="1"/>
      <c r="Y308" s="1"/>
      <c r="Z308" s="60"/>
      <c r="AA308" s="60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9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9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9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9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9"/>
      <c r="FG308" s="8"/>
      <c r="FH308" s="8"/>
    </row>
    <row r="309" spans="1:164" s="2" customFormat="1" ht="17.100000000000001" customHeight="1">
      <c r="A309" s="42" t="s">
        <v>287</v>
      </c>
      <c r="B309" s="56">
        <v>3990.3</v>
      </c>
      <c r="C309" s="56">
        <v>4054.9</v>
      </c>
      <c r="D309" s="4">
        <f t="shared" si="42"/>
        <v>1.0161892589529609</v>
      </c>
      <c r="E309" s="10">
        <v>15</v>
      </c>
      <c r="F309" s="5">
        <v>1</v>
      </c>
      <c r="G309" s="5">
        <v>10</v>
      </c>
      <c r="H309" s="40">
        <f t="shared" si="43"/>
        <v>1.0097135553717766</v>
      </c>
      <c r="I309" s="41">
        <v>19</v>
      </c>
      <c r="J309" s="33">
        <f t="shared" si="44"/>
        <v>1.7272727272727273</v>
      </c>
      <c r="K309" s="33">
        <f t="shared" si="45"/>
        <v>1.7</v>
      </c>
      <c r="L309" s="33">
        <f t="shared" si="46"/>
        <v>-2.7272727272727337E-2</v>
      </c>
      <c r="M309" s="33">
        <v>0.3</v>
      </c>
      <c r="N309" s="33">
        <f t="shared" si="47"/>
        <v>2</v>
      </c>
      <c r="O309" s="67"/>
      <c r="P309" s="67"/>
      <c r="Q309" s="68"/>
      <c r="R309" s="68"/>
      <c r="S309" s="33">
        <f t="shared" si="48"/>
        <v>2</v>
      </c>
      <c r="T309" s="33"/>
      <c r="U309" s="33">
        <f t="shared" si="49"/>
        <v>2</v>
      </c>
      <c r="V309" s="1"/>
      <c r="W309" s="60"/>
      <c r="X309" s="1"/>
      <c r="Y309" s="1"/>
      <c r="Z309" s="60"/>
      <c r="AA309" s="60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9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9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9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9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9"/>
      <c r="FG309" s="8"/>
      <c r="FH309" s="8"/>
    </row>
    <row r="310" spans="1:164" s="2" customFormat="1" ht="17.100000000000001" customHeight="1">
      <c r="A310" s="42" t="s">
        <v>288</v>
      </c>
      <c r="B310" s="56">
        <v>100.5</v>
      </c>
      <c r="C310" s="56">
        <v>168.8</v>
      </c>
      <c r="D310" s="4">
        <f t="shared" si="42"/>
        <v>1.2479601990049751</v>
      </c>
      <c r="E310" s="10">
        <v>15</v>
      </c>
      <c r="F310" s="5">
        <v>1</v>
      </c>
      <c r="G310" s="5">
        <v>10</v>
      </c>
      <c r="H310" s="40">
        <f t="shared" si="43"/>
        <v>1.1487761194029851</v>
      </c>
      <c r="I310" s="41">
        <v>654</v>
      </c>
      <c r="J310" s="33">
        <f t="shared" si="44"/>
        <v>59.454545454545453</v>
      </c>
      <c r="K310" s="33">
        <f t="shared" si="45"/>
        <v>68.3</v>
      </c>
      <c r="L310" s="33">
        <f t="shared" si="46"/>
        <v>8.8454545454545439</v>
      </c>
      <c r="M310" s="33">
        <v>5.4</v>
      </c>
      <c r="N310" s="33">
        <f t="shared" si="47"/>
        <v>73.7</v>
      </c>
      <c r="O310" s="67"/>
      <c r="P310" s="67"/>
      <c r="Q310" s="68"/>
      <c r="R310" s="68"/>
      <c r="S310" s="33">
        <f t="shared" si="48"/>
        <v>73.7</v>
      </c>
      <c r="T310" s="33"/>
      <c r="U310" s="33">
        <f t="shared" si="49"/>
        <v>73.7</v>
      </c>
      <c r="V310" s="1"/>
      <c r="W310" s="60"/>
      <c r="X310" s="1"/>
      <c r="Y310" s="1"/>
      <c r="Z310" s="60"/>
      <c r="AA310" s="60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9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9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9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9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9"/>
      <c r="FG310" s="8"/>
      <c r="FH310" s="8"/>
    </row>
    <row r="311" spans="1:164" s="2" customFormat="1" ht="17.100000000000001" customHeight="1">
      <c r="A311" s="42" t="s">
        <v>289</v>
      </c>
      <c r="B311" s="56">
        <v>249.3</v>
      </c>
      <c r="C311" s="56">
        <v>179.6</v>
      </c>
      <c r="D311" s="4">
        <f t="shared" si="42"/>
        <v>0.72041716807059764</v>
      </c>
      <c r="E311" s="10">
        <v>15</v>
      </c>
      <c r="F311" s="5">
        <v>1</v>
      </c>
      <c r="G311" s="5">
        <v>10</v>
      </c>
      <c r="H311" s="40">
        <f t="shared" si="43"/>
        <v>0.83225030084235874</v>
      </c>
      <c r="I311" s="41">
        <v>1144</v>
      </c>
      <c r="J311" s="33">
        <f t="shared" si="44"/>
        <v>104</v>
      </c>
      <c r="K311" s="33">
        <f t="shared" si="45"/>
        <v>86.6</v>
      </c>
      <c r="L311" s="33">
        <f t="shared" si="46"/>
        <v>-17.400000000000006</v>
      </c>
      <c r="M311" s="33">
        <v>25.4</v>
      </c>
      <c r="N311" s="33">
        <f t="shared" si="47"/>
        <v>112</v>
      </c>
      <c r="O311" s="67"/>
      <c r="P311" s="67"/>
      <c r="Q311" s="68"/>
      <c r="R311" s="68"/>
      <c r="S311" s="33">
        <f t="shared" si="48"/>
        <v>112</v>
      </c>
      <c r="T311" s="33"/>
      <c r="U311" s="33">
        <f t="shared" si="49"/>
        <v>112</v>
      </c>
      <c r="V311" s="1"/>
      <c r="W311" s="60"/>
      <c r="X311" s="1"/>
      <c r="Y311" s="1"/>
      <c r="Z311" s="60"/>
      <c r="AA311" s="60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9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9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9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9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9"/>
      <c r="FG311" s="8"/>
      <c r="FH311" s="8"/>
    </row>
    <row r="312" spans="1:164" s="2" customFormat="1" ht="17.100000000000001" customHeight="1">
      <c r="A312" s="42" t="s">
        <v>290</v>
      </c>
      <c r="B312" s="56">
        <v>323</v>
      </c>
      <c r="C312" s="56">
        <v>603.4</v>
      </c>
      <c r="D312" s="4">
        <f t="shared" si="42"/>
        <v>1.266811145510836</v>
      </c>
      <c r="E312" s="10">
        <v>15</v>
      </c>
      <c r="F312" s="5">
        <v>1</v>
      </c>
      <c r="G312" s="5">
        <v>10</v>
      </c>
      <c r="H312" s="40">
        <f t="shared" si="43"/>
        <v>1.1600866873065017</v>
      </c>
      <c r="I312" s="41">
        <v>1173</v>
      </c>
      <c r="J312" s="33">
        <f t="shared" si="44"/>
        <v>106.63636363636364</v>
      </c>
      <c r="K312" s="33">
        <f t="shared" si="45"/>
        <v>123.7</v>
      </c>
      <c r="L312" s="33">
        <f t="shared" si="46"/>
        <v>17.063636363636363</v>
      </c>
      <c r="M312" s="33">
        <v>24.9</v>
      </c>
      <c r="N312" s="33">
        <f t="shared" si="47"/>
        <v>148.6</v>
      </c>
      <c r="O312" s="67"/>
      <c r="P312" s="67"/>
      <c r="Q312" s="68"/>
      <c r="R312" s="68"/>
      <c r="S312" s="33">
        <f t="shared" si="48"/>
        <v>148.6</v>
      </c>
      <c r="T312" s="33"/>
      <c r="U312" s="33">
        <f t="shared" si="49"/>
        <v>148.6</v>
      </c>
      <c r="V312" s="1"/>
      <c r="W312" s="60"/>
      <c r="X312" s="1"/>
      <c r="Y312" s="1"/>
      <c r="Z312" s="60"/>
      <c r="AA312" s="60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9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9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9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9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9"/>
      <c r="FG312" s="8"/>
      <c r="FH312" s="8"/>
    </row>
    <row r="313" spans="1:164" s="2" customFormat="1" ht="17.100000000000001" customHeight="1">
      <c r="A313" s="42" t="s">
        <v>291</v>
      </c>
      <c r="B313" s="56">
        <v>3493.5</v>
      </c>
      <c r="C313" s="56">
        <v>2675.3</v>
      </c>
      <c r="D313" s="4">
        <f t="shared" si="42"/>
        <v>0.76579361671675972</v>
      </c>
      <c r="E313" s="10">
        <v>15</v>
      </c>
      <c r="F313" s="5">
        <v>1</v>
      </c>
      <c r="G313" s="5">
        <v>10</v>
      </c>
      <c r="H313" s="40">
        <f t="shared" si="43"/>
        <v>0.85947617003005572</v>
      </c>
      <c r="I313" s="41">
        <v>62</v>
      </c>
      <c r="J313" s="33">
        <f t="shared" si="44"/>
        <v>5.6363636363636367</v>
      </c>
      <c r="K313" s="33">
        <f t="shared" si="45"/>
        <v>4.8</v>
      </c>
      <c r="L313" s="33">
        <f t="shared" si="46"/>
        <v>-0.83636363636363686</v>
      </c>
      <c r="M313" s="33">
        <v>0.7</v>
      </c>
      <c r="N313" s="33">
        <f t="shared" si="47"/>
        <v>5.5</v>
      </c>
      <c r="O313" s="67"/>
      <c r="P313" s="67"/>
      <c r="Q313" s="68"/>
      <c r="R313" s="68"/>
      <c r="S313" s="33">
        <f t="shared" si="48"/>
        <v>5.5</v>
      </c>
      <c r="T313" s="33"/>
      <c r="U313" s="33">
        <f t="shared" si="49"/>
        <v>5.5</v>
      </c>
      <c r="V313" s="1"/>
      <c r="W313" s="60"/>
      <c r="X313" s="1"/>
      <c r="Y313" s="1"/>
      <c r="Z313" s="60"/>
      <c r="AA313" s="60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9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9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9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9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9"/>
      <c r="FG313" s="8"/>
      <c r="FH313" s="8"/>
    </row>
    <row r="314" spans="1:164" s="2" customFormat="1" ht="17.100000000000001" customHeight="1">
      <c r="A314" s="42" t="s">
        <v>292</v>
      </c>
      <c r="B314" s="56">
        <v>904.8</v>
      </c>
      <c r="C314" s="56">
        <v>665.7</v>
      </c>
      <c r="D314" s="4">
        <f t="shared" si="42"/>
        <v>0.73574270557029187</v>
      </c>
      <c r="E314" s="10">
        <v>15</v>
      </c>
      <c r="F314" s="5">
        <v>1</v>
      </c>
      <c r="G314" s="5">
        <v>10</v>
      </c>
      <c r="H314" s="40">
        <f t="shared" si="43"/>
        <v>0.8414456233421751</v>
      </c>
      <c r="I314" s="41">
        <v>118</v>
      </c>
      <c r="J314" s="33">
        <f t="shared" si="44"/>
        <v>10.727272727272727</v>
      </c>
      <c r="K314" s="33">
        <f t="shared" si="45"/>
        <v>9</v>
      </c>
      <c r="L314" s="33">
        <f t="shared" si="46"/>
        <v>-1.7272727272727266</v>
      </c>
      <c r="M314" s="33">
        <v>1.6</v>
      </c>
      <c r="N314" s="33">
        <f t="shared" si="47"/>
        <v>10.6</v>
      </c>
      <c r="O314" s="67"/>
      <c r="P314" s="67"/>
      <c r="Q314" s="68"/>
      <c r="R314" s="68"/>
      <c r="S314" s="33">
        <f t="shared" si="48"/>
        <v>10.6</v>
      </c>
      <c r="T314" s="33"/>
      <c r="U314" s="33">
        <f t="shared" si="49"/>
        <v>10.6</v>
      </c>
      <c r="V314" s="1"/>
      <c r="W314" s="60"/>
      <c r="X314" s="1"/>
      <c r="Y314" s="1"/>
      <c r="Z314" s="60"/>
      <c r="AA314" s="60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9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9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9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9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9"/>
      <c r="FG314" s="8"/>
      <c r="FH314" s="8"/>
    </row>
    <row r="315" spans="1:164" s="2" customFormat="1" ht="17.100000000000001" customHeight="1">
      <c r="A315" s="42" t="s">
        <v>293</v>
      </c>
      <c r="B315" s="56">
        <v>717.4</v>
      </c>
      <c r="C315" s="56">
        <v>498.7</v>
      </c>
      <c r="D315" s="4">
        <f t="shared" ref="D315:D378" si="50">IF(E315=0,0,IF(B315=0,1,IF(C315&lt;0,0,IF(C315/B315&gt;1.2,IF((C315/B315-1.2)*0.1+1.2&gt;1.3,1.3,(C315/B315-1.2)*0.1+1.2),C315/B315))))</f>
        <v>0.69514914970727626</v>
      </c>
      <c r="E315" s="10">
        <v>15</v>
      </c>
      <c r="F315" s="5">
        <v>1</v>
      </c>
      <c r="G315" s="5">
        <v>10</v>
      </c>
      <c r="H315" s="40">
        <f t="shared" ref="H315:H378" si="51">(D315*E315+F315*G315)/(E315+G315)</f>
        <v>0.81708948982436569</v>
      </c>
      <c r="I315" s="41">
        <v>461</v>
      </c>
      <c r="J315" s="33">
        <f t="shared" ref="J315:J378" si="52">I315/11</f>
        <v>41.909090909090907</v>
      </c>
      <c r="K315" s="33">
        <f t="shared" ref="K315:K378" si="53">ROUND(H315*J315,1)</f>
        <v>34.200000000000003</v>
      </c>
      <c r="L315" s="33">
        <f t="shared" ref="L315:L378" si="54">K315-J315</f>
        <v>-7.7090909090909037</v>
      </c>
      <c r="M315" s="33">
        <v>6.8</v>
      </c>
      <c r="N315" s="33">
        <f t="shared" ref="N315:N378" si="55">IF((K315+M315)&gt;0,ROUND(K315+M315,1),0)</f>
        <v>41</v>
      </c>
      <c r="O315" s="67"/>
      <c r="P315" s="67"/>
      <c r="Q315" s="68"/>
      <c r="R315" s="68"/>
      <c r="S315" s="33">
        <f t="shared" ref="S315:S378" si="56">IF(OR(O315="+",P315="+",Q315="+",R315="+"),0,N315)</f>
        <v>41</v>
      </c>
      <c r="T315" s="33"/>
      <c r="U315" s="33">
        <f t="shared" ref="U315:U378" si="57">ROUND(S315-T315,1)</f>
        <v>41</v>
      </c>
      <c r="V315" s="1"/>
      <c r="W315" s="60"/>
      <c r="X315" s="1"/>
      <c r="Y315" s="1"/>
      <c r="Z315" s="60"/>
      <c r="AA315" s="60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9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9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9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9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9"/>
      <c r="FG315" s="8"/>
      <c r="FH315" s="8"/>
    </row>
    <row r="316" spans="1:164" s="2" customFormat="1" ht="17.100000000000001" customHeight="1">
      <c r="A316" s="42" t="s">
        <v>294</v>
      </c>
      <c r="B316" s="56">
        <v>1410.4</v>
      </c>
      <c r="C316" s="56">
        <v>1322.4</v>
      </c>
      <c r="D316" s="4">
        <f t="shared" si="50"/>
        <v>0.93760635280771409</v>
      </c>
      <c r="E316" s="10">
        <v>15</v>
      </c>
      <c r="F316" s="5">
        <v>1</v>
      </c>
      <c r="G316" s="5">
        <v>10</v>
      </c>
      <c r="H316" s="40">
        <f t="shared" si="51"/>
        <v>0.96256381168462835</v>
      </c>
      <c r="I316" s="41">
        <v>68</v>
      </c>
      <c r="J316" s="33">
        <f t="shared" si="52"/>
        <v>6.1818181818181817</v>
      </c>
      <c r="K316" s="33">
        <f t="shared" si="53"/>
        <v>6</v>
      </c>
      <c r="L316" s="33">
        <f t="shared" si="54"/>
        <v>-0.18181818181818166</v>
      </c>
      <c r="M316" s="33">
        <v>1.4</v>
      </c>
      <c r="N316" s="33">
        <f t="shared" si="55"/>
        <v>7.4</v>
      </c>
      <c r="O316" s="67"/>
      <c r="P316" s="67"/>
      <c r="Q316" s="68"/>
      <c r="R316" s="68"/>
      <c r="S316" s="33">
        <f t="shared" si="56"/>
        <v>7.4</v>
      </c>
      <c r="T316" s="33"/>
      <c r="U316" s="33">
        <f t="shared" si="57"/>
        <v>7.4</v>
      </c>
      <c r="V316" s="1"/>
      <c r="W316" s="60"/>
      <c r="X316" s="1"/>
      <c r="Y316" s="1"/>
      <c r="Z316" s="60"/>
      <c r="AA316" s="60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9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9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9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9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9"/>
      <c r="FG316" s="8"/>
      <c r="FH316" s="8"/>
    </row>
    <row r="317" spans="1:164" s="2" customFormat="1" ht="17.100000000000001" customHeight="1">
      <c r="A317" s="17" t="s">
        <v>295</v>
      </c>
      <c r="B317" s="57"/>
      <c r="C317" s="57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33"/>
      <c r="V317" s="1"/>
      <c r="W317" s="60"/>
      <c r="X317" s="1"/>
      <c r="Y317" s="1"/>
      <c r="Z317" s="60"/>
      <c r="AA317" s="60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9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9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9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9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9"/>
      <c r="FG317" s="8"/>
      <c r="FH317" s="8"/>
    </row>
    <row r="318" spans="1:164" s="2" customFormat="1" ht="17.100000000000001" customHeight="1">
      <c r="A318" s="42" t="s">
        <v>296</v>
      </c>
      <c r="B318" s="56">
        <v>1801.4</v>
      </c>
      <c r="C318" s="56">
        <v>1790.5</v>
      </c>
      <c r="D318" s="4">
        <f t="shared" si="50"/>
        <v>0.9939491506605973</v>
      </c>
      <c r="E318" s="10">
        <v>15</v>
      </c>
      <c r="F318" s="5">
        <v>1</v>
      </c>
      <c r="G318" s="5">
        <v>10</v>
      </c>
      <c r="H318" s="40">
        <f t="shared" si="51"/>
        <v>0.99636949039635836</v>
      </c>
      <c r="I318" s="41">
        <v>34</v>
      </c>
      <c r="J318" s="33">
        <f t="shared" si="52"/>
        <v>3.0909090909090908</v>
      </c>
      <c r="K318" s="33">
        <f t="shared" si="53"/>
        <v>3.1</v>
      </c>
      <c r="L318" s="33">
        <f t="shared" si="54"/>
        <v>9.0909090909092605E-3</v>
      </c>
      <c r="M318" s="33">
        <v>0.9</v>
      </c>
      <c r="N318" s="33">
        <f t="shared" si="55"/>
        <v>4</v>
      </c>
      <c r="O318" s="67"/>
      <c r="P318" s="67"/>
      <c r="Q318" s="68"/>
      <c r="R318" s="68"/>
      <c r="S318" s="33">
        <f t="shared" si="56"/>
        <v>4</v>
      </c>
      <c r="T318" s="33">
        <f>MIN(S318,1.5)</f>
        <v>1.5</v>
      </c>
      <c r="U318" s="33">
        <f t="shared" si="57"/>
        <v>2.5</v>
      </c>
      <c r="V318" s="1"/>
      <c r="W318" s="60"/>
      <c r="X318" s="1"/>
      <c r="Y318" s="1"/>
      <c r="Z318" s="60"/>
      <c r="AA318" s="60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9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9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9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9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9"/>
      <c r="FG318" s="8"/>
      <c r="FH318" s="8"/>
    </row>
    <row r="319" spans="1:164" s="2" customFormat="1" ht="17.100000000000001" customHeight="1">
      <c r="A319" s="42" t="s">
        <v>297</v>
      </c>
      <c r="B319" s="56">
        <v>1502.2</v>
      </c>
      <c r="C319" s="56">
        <v>1671.9</v>
      </c>
      <c r="D319" s="4">
        <f t="shared" si="50"/>
        <v>1.112967647450406</v>
      </c>
      <c r="E319" s="10">
        <v>15</v>
      </c>
      <c r="F319" s="5">
        <v>1</v>
      </c>
      <c r="G319" s="5">
        <v>10</v>
      </c>
      <c r="H319" s="40">
        <f t="shared" si="51"/>
        <v>1.0677805884702436</v>
      </c>
      <c r="I319" s="41">
        <v>106</v>
      </c>
      <c r="J319" s="33">
        <f t="shared" si="52"/>
        <v>9.6363636363636367</v>
      </c>
      <c r="K319" s="33">
        <f t="shared" si="53"/>
        <v>10.3</v>
      </c>
      <c r="L319" s="33">
        <f t="shared" si="54"/>
        <v>0.66363636363636402</v>
      </c>
      <c r="M319" s="33">
        <v>3.8</v>
      </c>
      <c r="N319" s="33">
        <f t="shared" si="55"/>
        <v>14.1</v>
      </c>
      <c r="O319" s="67"/>
      <c r="P319" s="67"/>
      <c r="Q319" s="68"/>
      <c r="R319" s="68"/>
      <c r="S319" s="33">
        <f t="shared" si="56"/>
        <v>14.1</v>
      </c>
      <c r="T319" s="33"/>
      <c r="U319" s="33">
        <f t="shared" si="57"/>
        <v>14.1</v>
      </c>
      <c r="V319" s="1"/>
      <c r="W319" s="60"/>
      <c r="X319" s="1"/>
      <c r="Y319" s="1"/>
      <c r="Z319" s="60"/>
      <c r="AA319" s="60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9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9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9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9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9"/>
      <c r="FG319" s="8"/>
      <c r="FH319" s="8"/>
    </row>
    <row r="320" spans="1:164" s="2" customFormat="1" ht="17.100000000000001" customHeight="1">
      <c r="A320" s="42" t="s">
        <v>298</v>
      </c>
      <c r="B320" s="56">
        <v>701.6</v>
      </c>
      <c r="C320" s="56">
        <v>439.5</v>
      </c>
      <c r="D320" s="4">
        <f t="shared" si="50"/>
        <v>0.62642531356898512</v>
      </c>
      <c r="E320" s="10">
        <v>15</v>
      </c>
      <c r="F320" s="5">
        <v>1</v>
      </c>
      <c r="G320" s="5">
        <v>10</v>
      </c>
      <c r="H320" s="40">
        <f t="shared" si="51"/>
        <v>0.77585518814139109</v>
      </c>
      <c r="I320" s="41">
        <v>225</v>
      </c>
      <c r="J320" s="33">
        <f t="shared" si="52"/>
        <v>20.454545454545453</v>
      </c>
      <c r="K320" s="33">
        <f t="shared" si="53"/>
        <v>15.9</v>
      </c>
      <c r="L320" s="33">
        <f t="shared" si="54"/>
        <v>-4.5545454545454529</v>
      </c>
      <c r="M320" s="33">
        <v>5.6</v>
      </c>
      <c r="N320" s="33">
        <f t="shared" si="55"/>
        <v>21.5</v>
      </c>
      <c r="O320" s="67"/>
      <c r="P320" s="67"/>
      <c r="Q320" s="68"/>
      <c r="R320" s="68"/>
      <c r="S320" s="33">
        <f t="shared" si="56"/>
        <v>21.5</v>
      </c>
      <c r="T320" s="33">
        <f>MIN(S320,10.2)</f>
        <v>10.199999999999999</v>
      </c>
      <c r="U320" s="33">
        <f t="shared" si="57"/>
        <v>11.3</v>
      </c>
      <c r="V320" s="1"/>
      <c r="W320" s="60"/>
      <c r="X320" s="1"/>
      <c r="Y320" s="1"/>
      <c r="Z320" s="60"/>
      <c r="AA320" s="60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9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9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9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9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9"/>
      <c r="FG320" s="8"/>
      <c r="FH320" s="8"/>
    </row>
    <row r="321" spans="1:164" s="2" customFormat="1" ht="17.100000000000001" customHeight="1">
      <c r="A321" s="42" t="s">
        <v>299</v>
      </c>
      <c r="B321" s="56">
        <v>85.2</v>
      </c>
      <c r="C321" s="56">
        <v>56.9</v>
      </c>
      <c r="D321" s="4">
        <f t="shared" si="50"/>
        <v>0.66784037558685438</v>
      </c>
      <c r="E321" s="10">
        <v>15</v>
      </c>
      <c r="F321" s="5">
        <v>1</v>
      </c>
      <c r="G321" s="5">
        <v>10</v>
      </c>
      <c r="H321" s="40">
        <f t="shared" si="51"/>
        <v>0.80070422535211261</v>
      </c>
      <c r="I321" s="41">
        <v>1273</v>
      </c>
      <c r="J321" s="33">
        <f t="shared" si="52"/>
        <v>115.72727272727273</v>
      </c>
      <c r="K321" s="33">
        <f t="shared" si="53"/>
        <v>92.7</v>
      </c>
      <c r="L321" s="33">
        <f t="shared" si="54"/>
        <v>-23.027272727272731</v>
      </c>
      <c r="M321" s="33">
        <v>51</v>
      </c>
      <c r="N321" s="33">
        <f t="shared" si="55"/>
        <v>143.69999999999999</v>
      </c>
      <c r="O321" s="67"/>
      <c r="P321" s="67"/>
      <c r="Q321" s="68"/>
      <c r="R321" s="68"/>
      <c r="S321" s="33">
        <f t="shared" si="56"/>
        <v>143.69999999999999</v>
      </c>
      <c r="T321" s="33"/>
      <c r="U321" s="33">
        <f t="shared" si="57"/>
        <v>143.69999999999999</v>
      </c>
      <c r="V321" s="1"/>
      <c r="W321" s="60"/>
      <c r="X321" s="1"/>
      <c r="Y321" s="1"/>
      <c r="Z321" s="60"/>
      <c r="AA321" s="60"/>
      <c r="AB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9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9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9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9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9"/>
      <c r="FG321" s="8"/>
      <c r="FH321" s="8"/>
    </row>
    <row r="322" spans="1:164" s="2" customFormat="1" ht="17.100000000000001" customHeight="1">
      <c r="A322" s="42" t="s">
        <v>300</v>
      </c>
      <c r="B322" s="56">
        <v>113.9</v>
      </c>
      <c r="C322" s="56">
        <v>78.599999999999994</v>
      </c>
      <c r="D322" s="4">
        <f t="shared" si="50"/>
        <v>0.69007901668129934</v>
      </c>
      <c r="E322" s="10">
        <v>15</v>
      </c>
      <c r="F322" s="5">
        <v>1</v>
      </c>
      <c r="G322" s="5">
        <v>10</v>
      </c>
      <c r="H322" s="40">
        <f t="shared" si="51"/>
        <v>0.81404741000877967</v>
      </c>
      <c r="I322" s="41">
        <v>1223</v>
      </c>
      <c r="J322" s="33">
        <f t="shared" si="52"/>
        <v>111.18181818181819</v>
      </c>
      <c r="K322" s="33">
        <f t="shared" si="53"/>
        <v>90.5</v>
      </c>
      <c r="L322" s="33">
        <f t="shared" si="54"/>
        <v>-20.681818181818187</v>
      </c>
      <c r="M322" s="33">
        <v>39.799999999999997</v>
      </c>
      <c r="N322" s="33">
        <f t="shared" si="55"/>
        <v>130.30000000000001</v>
      </c>
      <c r="O322" s="67"/>
      <c r="P322" s="67"/>
      <c r="Q322" s="68"/>
      <c r="R322" s="68"/>
      <c r="S322" s="33">
        <f t="shared" si="56"/>
        <v>130.30000000000001</v>
      </c>
      <c r="T322" s="33"/>
      <c r="U322" s="33">
        <f t="shared" si="57"/>
        <v>130.30000000000001</v>
      </c>
      <c r="V322" s="1"/>
      <c r="W322" s="60"/>
      <c r="X322" s="1"/>
      <c r="Y322" s="1"/>
      <c r="Z322" s="60"/>
      <c r="AA322" s="60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9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9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9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9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9"/>
      <c r="FG322" s="8"/>
      <c r="FH322" s="8"/>
    </row>
    <row r="323" spans="1:164" s="2" customFormat="1" ht="17.100000000000001" customHeight="1">
      <c r="A323" s="42" t="s">
        <v>301</v>
      </c>
      <c r="B323" s="56">
        <v>939.5</v>
      </c>
      <c r="C323" s="56">
        <v>899.3</v>
      </c>
      <c r="D323" s="4">
        <f t="shared" si="50"/>
        <v>0.95721128259712607</v>
      </c>
      <c r="E323" s="10">
        <v>15</v>
      </c>
      <c r="F323" s="5">
        <v>1</v>
      </c>
      <c r="G323" s="5">
        <v>10</v>
      </c>
      <c r="H323" s="40">
        <f t="shared" si="51"/>
        <v>0.97432676955827557</v>
      </c>
      <c r="I323" s="41">
        <v>573</v>
      </c>
      <c r="J323" s="33">
        <f t="shared" si="52"/>
        <v>52.090909090909093</v>
      </c>
      <c r="K323" s="33">
        <f t="shared" si="53"/>
        <v>50.8</v>
      </c>
      <c r="L323" s="33">
        <f t="shared" si="54"/>
        <v>-1.2909090909090963</v>
      </c>
      <c r="M323" s="33">
        <v>12.5</v>
      </c>
      <c r="N323" s="33">
        <f t="shared" si="55"/>
        <v>63.3</v>
      </c>
      <c r="O323" s="67"/>
      <c r="P323" s="67"/>
      <c r="Q323" s="68"/>
      <c r="R323" s="68"/>
      <c r="S323" s="33">
        <f t="shared" si="56"/>
        <v>63.3</v>
      </c>
      <c r="T323" s="33"/>
      <c r="U323" s="33">
        <f t="shared" si="57"/>
        <v>63.3</v>
      </c>
      <c r="V323" s="1"/>
      <c r="W323" s="60"/>
      <c r="X323" s="1"/>
      <c r="Y323" s="1"/>
      <c r="Z323" s="60"/>
      <c r="AA323" s="60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9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9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9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9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9"/>
      <c r="FG323" s="8"/>
      <c r="FH323" s="8"/>
    </row>
    <row r="324" spans="1:164" s="2" customFormat="1" ht="17.100000000000001" customHeight="1">
      <c r="A324" s="42" t="s">
        <v>302</v>
      </c>
      <c r="B324" s="56">
        <v>1183.4000000000001</v>
      </c>
      <c r="C324" s="56">
        <v>2109.1999999999998</v>
      </c>
      <c r="D324" s="4">
        <f t="shared" si="50"/>
        <v>1.2582322122697311</v>
      </c>
      <c r="E324" s="10">
        <v>15</v>
      </c>
      <c r="F324" s="5">
        <v>1</v>
      </c>
      <c r="G324" s="5">
        <v>10</v>
      </c>
      <c r="H324" s="40">
        <f t="shared" si="51"/>
        <v>1.1549393273618387</v>
      </c>
      <c r="I324" s="41">
        <v>9</v>
      </c>
      <c r="J324" s="33">
        <f t="shared" si="52"/>
        <v>0.81818181818181823</v>
      </c>
      <c r="K324" s="33">
        <f t="shared" si="53"/>
        <v>0.9</v>
      </c>
      <c r="L324" s="33">
        <f t="shared" si="54"/>
        <v>8.181818181818179E-2</v>
      </c>
      <c r="M324" s="33">
        <v>0.2</v>
      </c>
      <c r="N324" s="33">
        <f t="shared" si="55"/>
        <v>1.1000000000000001</v>
      </c>
      <c r="O324" s="67"/>
      <c r="P324" s="67"/>
      <c r="Q324" s="68"/>
      <c r="R324" s="68"/>
      <c r="S324" s="33">
        <f t="shared" si="56"/>
        <v>1.1000000000000001</v>
      </c>
      <c r="T324" s="33"/>
      <c r="U324" s="33">
        <f t="shared" si="57"/>
        <v>1.1000000000000001</v>
      </c>
      <c r="V324" s="1"/>
      <c r="W324" s="60"/>
      <c r="X324" s="1"/>
      <c r="Y324" s="1"/>
      <c r="Z324" s="60"/>
      <c r="AA324" s="60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9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9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9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9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9"/>
      <c r="FG324" s="8"/>
      <c r="FH324" s="8"/>
    </row>
    <row r="325" spans="1:164" s="2" customFormat="1" ht="16.5" customHeight="1">
      <c r="A325" s="42" t="s">
        <v>303</v>
      </c>
      <c r="B325" s="56">
        <v>69.5</v>
      </c>
      <c r="C325" s="56">
        <v>643.20000000000005</v>
      </c>
      <c r="D325" s="4">
        <f t="shared" si="50"/>
        <v>1.3</v>
      </c>
      <c r="E325" s="10">
        <v>15</v>
      </c>
      <c r="F325" s="5">
        <v>1</v>
      </c>
      <c r="G325" s="5">
        <v>10</v>
      </c>
      <c r="H325" s="40">
        <f t="shared" si="51"/>
        <v>1.18</v>
      </c>
      <c r="I325" s="41">
        <v>528</v>
      </c>
      <c r="J325" s="33">
        <f t="shared" si="52"/>
        <v>48</v>
      </c>
      <c r="K325" s="33">
        <f t="shared" si="53"/>
        <v>56.6</v>
      </c>
      <c r="L325" s="33">
        <f t="shared" si="54"/>
        <v>8.6000000000000014</v>
      </c>
      <c r="M325" s="33">
        <v>11.6</v>
      </c>
      <c r="N325" s="33">
        <f t="shared" si="55"/>
        <v>68.2</v>
      </c>
      <c r="O325" s="67"/>
      <c r="P325" s="67"/>
      <c r="Q325" s="68"/>
      <c r="R325" s="68"/>
      <c r="S325" s="33">
        <f t="shared" si="56"/>
        <v>68.2</v>
      </c>
      <c r="T325" s="33"/>
      <c r="U325" s="33">
        <f t="shared" si="57"/>
        <v>68.2</v>
      </c>
      <c r="V325" s="1"/>
      <c r="W325" s="60"/>
      <c r="X325" s="1"/>
      <c r="Y325" s="1"/>
      <c r="Z325" s="60"/>
      <c r="AA325" s="60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9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9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9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9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9"/>
      <c r="FG325" s="8"/>
      <c r="FH325" s="8"/>
    </row>
    <row r="326" spans="1:164" s="2" customFormat="1" ht="17.100000000000001" customHeight="1">
      <c r="A326" s="42" t="s">
        <v>304</v>
      </c>
      <c r="B326" s="56">
        <v>186.3</v>
      </c>
      <c r="C326" s="56">
        <v>266.8</v>
      </c>
      <c r="D326" s="4">
        <f t="shared" si="50"/>
        <v>1.2232098765432098</v>
      </c>
      <c r="E326" s="10">
        <v>15</v>
      </c>
      <c r="F326" s="5">
        <v>1</v>
      </c>
      <c r="G326" s="5">
        <v>10</v>
      </c>
      <c r="H326" s="40">
        <f t="shared" si="51"/>
        <v>1.133925925925926</v>
      </c>
      <c r="I326" s="41">
        <v>1126</v>
      </c>
      <c r="J326" s="33">
        <f t="shared" si="52"/>
        <v>102.36363636363636</v>
      </c>
      <c r="K326" s="33">
        <f t="shared" si="53"/>
        <v>116.1</v>
      </c>
      <c r="L326" s="33">
        <f t="shared" si="54"/>
        <v>13.736363636363635</v>
      </c>
      <c r="M326" s="33">
        <v>30.3</v>
      </c>
      <c r="N326" s="33">
        <f t="shared" si="55"/>
        <v>146.4</v>
      </c>
      <c r="O326" s="67"/>
      <c r="P326" s="67"/>
      <c r="Q326" s="68"/>
      <c r="R326" s="68"/>
      <c r="S326" s="33">
        <f t="shared" si="56"/>
        <v>146.4</v>
      </c>
      <c r="T326" s="33">
        <f>MIN(S326,7.5)</f>
        <v>7.5</v>
      </c>
      <c r="U326" s="33">
        <f t="shared" si="57"/>
        <v>138.9</v>
      </c>
      <c r="V326" s="1"/>
      <c r="W326" s="60"/>
      <c r="X326" s="1"/>
      <c r="Y326" s="1"/>
      <c r="Z326" s="60"/>
      <c r="AA326" s="60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9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9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9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9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9"/>
      <c r="FG326" s="8"/>
      <c r="FH326" s="8"/>
    </row>
    <row r="327" spans="1:164" s="2" customFormat="1" ht="17.100000000000001" customHeight="1">
      <c r="A327" s="42" t="s">
        <v>305</v>
      </c>
      <c r="B327" s="56">
        <v>402.8</v>
      </c>
      <c r="C327" s="56">
        <v>121.4</v>
      </c>
      <c r="D327" s="4">
        <f t="shared" si="50"/>
        <v>0.30139026812313802</v>
      </c>
      <c r="E327" s="10">
        <v>15</v>
      </c>
      <c r="F327" s="5">
        <v>1</v>
      </c>
      <c r="G327" s="5">
        <v>10</v>
      </c>
      <c r="H327" s="40">
        <f t="shared" si="51"/>
        <v>0.58083416087388284</v>
      </c>
      <c r="I327" s="41">
        <v>230</v>
      </c>
      <c r="J327" s="33">
        <f t="shared" si="52"/>
        <v>20.90909090909091</v>
      </c>
      <c r="K327" s="33">
        <f t="shared" si="53"/>
        <v>12.1</v>
      </c>
      <c r="L327" s="33">
        <f t="shared" si="54"/>
        <v>-8.8090909090909104</v>
      </c>
      <c r="M327" s="33">
        <v>7.3</v>
      </c>
      <c r="N327" s="33">
        <f t="shared" si="55"/>
        <v>19.399999999999999</v>
      </c>
      <c r="O327" s="67"/>
      <c r="P327" s="67"/>
      <c r="Q327" s="68"/>
      <c r="R327" s="68"/>
      <c r="S327" s="33">
        <f t="shared" si="56"/>
        <v>19.399999999999999</v>
      </c>
      <c r="T327" s="33"/>
      <c r="U327" s="33">
        <f t="shared" si="57"/>
        <v>19.399999999999999</v>
      </c>
      <c r="V327" s="1"/>
      <c r="W327" s="60"/>
      <c r="X327" s="1"/>
      <c r="Y327" s="1"/>
      <c r="Z327" s="60"/>
      <c r="AA327" s="60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9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9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9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9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9"/>
      <c r="FG327" s="8"/>
      <c r="FH327" s="8"/>
    </row>
    <row r="328" spans="1:164" s="2" customFormat="1" ht="17.100000000000001" customHeight="1">
      <c r="A328" s="42" t="s">
        <v>306</v>
      </c>
      <c r="B328" s="56">
        <v>59.1</v>
      </c>
      <c r="C328" s="56">
        <v>39.200000000000003</v>
      </c>
      <c r="D328" s="4">
        <f t="shared" si="50"/>
        <v>0.66328257191201356</v>
      </c>
      <c r="E328" s="10">
        <v>15</v>
      </c>
      <c r="F328" s="5">
        <v>1</v>
      </c>
      <c r="G328" s="5">
        <v>10</v>
      </c>
      <c r="H328" s="40">
        <f t="shared" si="51"/>
        <v>0.79796954314720803</v>
      </c>
      <c r="I328" s="41">
        <v>1311</v>
      </c>
      <c r="J328" s="33">
        <f t="shared" si="52"/>
        <v>119.18181818181819</v>
      </c>
      <c r="K328" s="33">
        <f t="shared" si="53"/>
        <v>95.1</v>
      </c>
      <c r="L328" s="33">
        <f t="shared" si="54"/>
        <v>-24.081818181818193</v>
      </c>
      <c r="M328" s="33">
        <v>35.5</v>
      </c>
      <c r="N328" s="33">
        <f t="shared" si="55"/>
        <v>130.6</v>
      </c>
      <c r="O328" s="67"/>
      <c r="P328" s="67"/>
      <c r="Q328" s="68"/>
      <c r="R328" s="68"/>
      <c r="S328" s="33">
        <f t="shared" si="56"/>
        <v>130.6</v>
      </c>
      <c r="T328" s="33"/>
      <c r="U328" s="33">
        <f t="shared" si="57"/>
        <v>130.6</v>
      </c>
      <c r="V328" s="1"/>
      <c r="W328" s="60"/>
      <c r="X328" s="1"/>
      <c r="Y328" s="1"/>
      <c r="Z328" s="60"/>
      <c r="AA328" s="60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9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9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9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9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9"/>
      <c r="FG328" s="8"/>
      <c r="FH328" s="8"/>
    </row>
    <row r="329" spans="1:164" s="2" customFormat="1" ht="17.100000000000001" customHeight="1">
      <c r="A329" s="42" t="s">
        <v>307</v>
      </c>
      <c r="B329" s="56">
        <v>434.8</v>
      </c>
      <c r="C329" s="56">
        <v>132.80000000000001</v>
      </c>
      <c r="D329" s="4">
        <f t="shared" si="50"/>
        <v>0.3054277828886845</v>
      </c>
      <c r="E329" s="10">
        <v>15</v>
      </c>
      <c r="F329" s="5">
        <v>1</v>
      </c>
      <c r="G329" s="5">
        <v>10</v>
      </c>
      <c r="H329" s="40">
        <f t="shared" si="51"/>
        <v>0.58325666973321066</v>
      </c>
      <c r="I329" s="41">
        <v>1479</v>
      </c>
      <c r="J329" s="33">
        <f t="shared" si="52"/>
        <v>134.45454545454547</v>
      </c>
      <c r="K329" s="33">
        <f t="shared" si="53"/>
        <v>78.400000000000006</v>
      </c>
      <c r="L329" s="33">
        <f t="shared" si="54"/>
        <v>-56.054545454545462</v>
      </c>
      <c r="M329" s="33">
        <v>50.3</v>
      </c>
      <c r="N329" s="33">
        <f t="shared" si="55"/>
        <v>128.69999999999999</v>
      </c>
      <c r="O329" s="67"/>
      <c r="P329" s="67"/>
      <c r="Q329" s="68"/>
      <c r="R329" s="68"/>
      <c r="S329" s="33">
        <f t="shared" si="56"/>
        <v>128.69999999999999</v>
      </c>
      <c r="T329" s="33"/>
      <c r="U329" s="33">
        <f t="shared" si="57"/>
        <v>128.69999999999999</v>
      </c>
      <c r="V329" s="1"/>
      <c r="W329" s="60"/>
      <c r="X329" s="1"/>
      <c r="Y329" s="1"/>
      <c r="Z329" s="60"/>
      <c r="AA329" s="60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9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9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9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9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9"/>
      <c r="FG329" s="8"/>
      <c r="FH329" s="8"/>
    </row>
    <row r="330" spans="1:164" s="2" customFormat="1" ht="17.100000000000001" customHeight="1">
      <c r="A330" s="42" t="s">
        <v>308</v>
      </c>
      <c r="B330" s="56">
        <v>113.5</v>
      </c>
      <c r="C330" s="56">
        <v>42.2</v>
      </c>
      <c r="D330" s="4">
        <f t="shared" si="50"/>
        <v>0.37180616740088107</v>
      </c>
      <c r="E330" s="10">
        <v>15</v>
      </c>
      <c r="F330" s="5">
        <v>1</v>
      </c>
      <c r="G330" s="5">
        <v>10</v>
      </c>
      <c r="H330" s="40">
        <f t="shared" si="51"/>
        <v>0.62308370044052863</v>
      </c>
      <c r="I330" s="41">
        <v>1185</v>
      </c>
      <c r="J330" s="33">
        <f t="shared" si="52"/>
        <v>107.72727272727273</v>
      </c>
      <c r="K330" s="33">
        <f t="shared" si="53"/>
        <v>67.099999999999994</v>
      </c>
      <c r="L330" s="33">
        <f t="shared" si="54"/>
        <v>-40.627272727272739</v>
      </c>
      <c r="M330" s="33">
        <v>45.5</v>
      </c>
      <c r="N330" s="33">
        <f t="shared" si="55"/>
        <v>112.6</v>
      </c>
      <c r="O330" s="67"/>
      <c r="P330" s="67"/>
      <c r="Q330" s="68"/>
      <c r="R330" s="68"/>
      <c r="S330" s="33">
        <f t="shared" si="56"/>
        <v>112.6</v>
      </c>
      <c r="T330" s="33"/>
      <c r="U330" s="33">
        <f t="shared" si="57"/>
        <v>112.6</v>
      </c>
      <c r="V330" s="1"/>
      <c r="W330" s="60"/>
      <c r="X330" s="1"/>
      <c r="Y330" s="1"/>
      <c r="Z330" s="60"/>
      <c r="AA330" s="60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9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9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9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9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9"/>
      <c r="FG330" s="8"/>
      <c r="FH330" s="8"/>
    </row>
    <row r="331" spans="1:164" s="2" customFormat="1" ht="17.100000000000001" customHeight="1">
      <c r="A331" s="42" t="s">
        <v>309</v>
      </c>
      <c r="B331" s="56">
        <v>661</v>
      </c>
      <c r="C331" s="56">
        <v>206.7</v>
      </c>
      <c r="D331" s="4">
        <f t="shared" si="50"/>
        <v>0.31270801815431165</v>
      </c>
      <c r="E331" s="10">
        <v>15</v>
      </c>
      <c r="F331" s="5">
        <v>1</v>
      </c>
      <c r="G331" s="5">
        <v>10</v>
      </c>
      <c r="H331" s="40">
        <f t="shared" si="51"/>
        <v>0.587624810892587</v>
      </c>
      <c r="I331" s="41">
        <v>1403</v>
      </c>
      <c r="J331" s="33">
        <f t="shared" si="52"/>
        <v>127.54545454545455</v>
      </c>
      <c r="K331" s="33">
        <f t="shared" si="53"/>
        <v>74.900000000000006</v>
      </c>
      <c r="L331" s="33">
        <f t="shared" si="54"/>
        <v>-52.645454545454541</v>
      </c>
      <c r="M331" s="33">
        <v>26.3</v>
      </c>
      <c r="N331" s="33">
        <f t="shared" si="55"/>
        <v>101.2</v>
      </c>
      <c r="O331" s="67"/>
      <c r="P331" s="67"/>
      <c r="Q331" s="68"/>
      <c r="R331" s="68"/>
      <c r="S331" s="33">
        <f t="shared" si="56"/>
        <v>101.2</v>
      </c>
      <c r="T331" s="33">
        <f>MIN(S331,12.3)</f>
        <v>12.3</v>
      </c>
      <c r="U331" s="33">
        <f t="shared" si="57"/>
        <v>88.9</v>
      </c>
      <c r="V331" s="1"/>
      <c r="W331" s="60"/>
      <c r="X331" s="1"/>
      <c r="Y331" s="1"/>
      <c r="Z331" s="60"/>
      <c r="AA331" s="60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9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9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9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9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9"/>
      <c r="FG331" s="8"/>
      <c r="FH331" s="8"/>
    </row>
    <row r="332" spans="1:164" s="2" customFormat="1" ht="17.100000000000001" customHeight="1">
      <c r="A332" s="42" t="s">
        <v>310</v>
      </c>
      <c r="B332" s="56">
        <v>89.3</v>
      </c>
      <c r="C332" s="56">
        <v>71.900000000000006</v>
      </c>
      <c r="D332" s="4">
        <f t="shared" si="50"/>
        <v>0.80515117581187023</v>
      </c>
      <c r="E332" s="10">
        <v>15</v>
      </c>
      <c r="F332" s="5">
        <v>1</v>
      </c>
      <c r="G332" s="5">
        <v>10</v>
      </c>
      <c r="H332" s="40">
        <f t="shared" si="51"/>
        <v>0.8830907054871221</v>
      </c>
      <c r="I332" s="41">
        <v>857</v>
      </c>
      <c r="J332" s="33">
        <f t="shared" si="52"/>
        <v>77.909090909090907</v>
      </c>
      <c r="K332" s="33">
        <f t="shared" si="53"/>
        <v>68.8</v>
      </c>
      <c r="L332" s="33">
        <f t="shared" si="54"/>
        <v>-9.1090909090909093</v>
      </c>
      <c r="M332" s="33">
        <v>31.6</v>
      </c>
      <c r="N332" s="33">
        <f t="shared" si="55"/>
        <v>100.4</v>
      </c>
      <c r="O332" s="67"/>
      <c r="P332" s="67"/>
      <c r="Q332" s="68"/>
      <c r="R332" s="68"/>
      <c r="S332" s="33">
        <f t="shared" si="56"/>
        <v>100.4</v>
      </c>
      <c r="T332" s="33"/>
      <c r="U332" s="33">
        <f t="shared" si="57"/>
        <v>100.4</v>
      </c>
      <c r="V332" s="1"/>
      <c r="W332" s="60"/>
      <c r="X332" s="1"/>
      <c r="Y332" s="1"/>
      <c r="Z332" s="60"/>
      <c r="AA332" s="60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9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9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9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9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9"/>
      <c r="FG332" s="8"/>
      <c r="FH332" s="8"/>
    </row>
    <row r="333" spans="1:164" s="2" customFormat="1" ht="17.100000000000001" customHeight="1">
      <c r="A333" s="17" t="s">
        <v>311</v>
      </c>
      <c r="B333" s="57"/>
      <c r="C333" s="57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33"/>
      <c r="V333" s="1"/>
      <c r="W333" s="60"/>
      <c r="X333" s="1"/>
      <c r="Y333" s="1"/>
      <c r="Z333" s="60"/>
      <c r="AA333" s="60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9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9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9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9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9"/>
      <c r="FG333" s="8"/>
      <c r="FH333" s="8"/>
    </row>
    <row r="334" spans="1:164" s="2" customFormat="1" ht="16.5" customHeight="1">
      <c r="A334" s="13" t="s">
        <v>312</v>
      </c>
      <c r="B334" s="56">
        <v>39</v>
      </c>
      <c r="C334" s="56">
        <v>53.1</v>
      </c>
      <c r="D334" s="4">
        <f t="shared" si="50"/>
        <v>1.2161538461538461</v>
      </c>
      <c r="E334" s="10">
        <v>15</v>
      </c>
      <c r="F334" s="5">
        <v>1</v>
      </c>
      <c r="G334" s="5">
        <v>10</v>
      </c>
      <c r="H334" s="40">
        <f t="shared" si="51"/>
        <v>1.1296923076923076</v>
      </c>
      <c r="I334" s="41">
        <v>2167</v>
      </c>
      <c r="J334" s="33">
        <f t="shared" si="52"/>
        <v>197</v>
      </c>
      <c r="K334" s="33">
        <f t="shared" si="53"/>
        <v>222.5</v>
      </c>
      <c r="L334" s="33">
        <f t="shared" si="54"/>
        <v>25.5</v>
      </c>
      <c r="M334" s="33">
        <v>67.7</v>
      </c>
      <c r="N334" s="33">
        <f t="shared" si="55"/>
        <v>290.2</v>
      </c>
      <c r="O334" s="67"/>
      <c r="P334" s="67"/>
      <c r="Q334" s="68"/>
      <c r="R334" s="68"/>
      <c r="S334" s="33">
        <f t="shared" si="56"/>
        <v>290.2</v>
      </c>
      <c r="T334" s="33">
        <f>MIN(S334,98.5)</f>
        <v>98.5</v>
      </c>
      <c r="U334" s="33">
        <f t="shared" si="57"/>
        <v>191.7</v>
      </c>
      <c r="V334" s="1"/>
      <c r="W334" s="60"/>
      <c r="X334" s="1"/>
      <c r="Y334" s="1"/>
      <c r="Z334" s="60"/>
      <c r="AA334" s="60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9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9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9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9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9"/>
      <c r="FG334" s="8"/>
      <c r="FH334" s="8"/>
    </row>
    <row r="335" spans="1:164" s="2" customFormat="1" ht="17.100000000000001" customHeight="1">
      <c r="A335" s="13" t="s">
        <v>313</v>
      </c>
      <c r="B335" s="56">
        <v>118</v>
      </c>
      <c r="C335" s="56">
        <v>115.9</v>
      </c>
      <c r="D335" s="4">
        <f t="shared" si="50"/>
        <v>0.98220338983050848</v>
      </c>
      <c r="E335" s="10">
        <v>15</v>
      </c>
      <c r="F335" s="5">
        <v>1</v>
      </c>
      <c r="G335" s="5">
        <v>10</v>
      </c>
      <c r="H335" s="40">
        <f t="shared" si="51"/>
        <v>0.98932203389830509</v>
      </c>
      <c r="I335" s="41">
        <v>1854</v>
      </c>
      <c r="J335" s="33">
        <f t="shared" si="52"/>
        <v>168.54545454545453</v>
      </c>
      <c r="K335" s="33">
        <f t="shared" si="53"/>
        <v>166.7</v>
      </c>
      <c r="L335" s="33">
        <f t="shared" si="54"/>
        <v>-1.8454545454545439</v>
      </c>
      <c r="M335" s="33">
        <v>35</v>
      </c>
      <c r="N335" s="33">
        <f t="shared" si="55"/>
        <v>201.7</v>
      </c>
      <c r="O335" s="67"/>
      <c r="P335" s="67"/>
      <c r="Q335" s="68"/>
      <c r="R335" s="68"/>
      <c r="S335" s="33">
        <f t="shared" si="56"/>
        <v>201.7</v>
      </c>
      <c r="T335" s="33">
        <f>MIN(S335,16.2)</f>
        <v>16.2</v>
      </c>
      <c r="U335" s="33">
        <f t="shared" si="57"/>
        <v>185.5</v>
      </c>
      <c r="V335" s="1"/>
      <c r="W335" s="60"/>
      <c r="X335" s="1"/>
      <c r="Y335" s="1"/>
      <c r="Z335" s="60"/>
      <c r="AA335" s="60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9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9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9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9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9"/>
      <c r="FG335" s="8"/>
      <c r="FH335" s="8"/>
    </row>
    <row r="336" spans="1:164" s="2" customFormat="1" ht="17.100000000000001" customHeight="1">
      <c r="A336" s="13" t="s">
        <v>266</v>
      </c>
      <c r="B336" s="56">
        <v>179.3</v>
      </c>
      <c r="C336" s="56">
        <v>49.4</v>
      </c>
      <c r="D336" s="4">
        <f t="shared" si="50"/>
        <v>0.27551589514779695</v>
      </c>
      <c r="E336" s="10">
        <v>15</v>
      </c>
      <c r="F336" s="5">
        <v>1</v>
      </c>
      <c r="G336" s="5">
        <v>10</v>
      </c>
      <c r="H336" s="40">
        <f t="shared" si="51"/>
        <v>0.56530953708867815</v>
      </c>
      <c r="I336" s="41">
        <v>1635</v>
      </c>
      <c r="J336" s="33">
        <f t="shared" si="52"/>
        <v>148.63636363636363</v>
      </c>
      <c r="K336" s="33">
        <f t="shared" si="53"/>
        <v>84</v>
      </c>
      <c r="L336" s="33">
        <f t="shared" si="54"/>
        <v>-64.636363636363626</v>
      </c>
      <c r="M336" s="33">
        <v>44.8</v>
      </c>
      <c r="N336" s="33">
        <f t="shared" si="55"/>
        <v>128.80000000000001</v>
      </c>
      <c r="O336" s="67"/>
      <c r="P336" s="67"/>
      <c r="Q336" s="68"/>
      <c r="R336" s="68"/>
      <c r="S336" s="33">
        <f t="shared" si="56"/>
        <v>128.80000000000001</v>
      </c>
      <c r="T336" s="33">
        <f>MIN(S336,74.3)</f>
        <v>74.3</v>
      </c>
      <c r="U336" s="33">
        <f t="shared" si="57"/>
        <v>54.5</v>
      </c>
      <c r="V336" s="1"/>
      <c r="W336" s="60"/>
      <c r="X336" s="1"/>
      <c r="Y336" s="1"/>
      <c r="Z336" s="60"/>
      <c r="AA336" s="60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9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9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9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9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9"/>
      <c r="FG336" s="8"/>
      <c r="FH336" s="8"/>
    </row>
    <row r="337" spans="1:164" s="2" customFormat="1" ht="17.100000000000001" customHeight="1">
      <c r="A337" s="13" t="s">
        <v>314</v>
      </c>
      <c r="B337" s="56">
        <v>41.3</v>
      </c>
      <c r="C337" s="56">
        <v>111.5</v>
      </c>
      <c r="D337" s="4">
        <f t="shared" si="50"/>
        <v>1.3</v>
      </c>
      <c r="E337" s="10">
        <v>15</v>
      </c>
      <c r="F337" s="5">
        <v>1</v>
      </c>
      <c r="G337" s="5">
        <v>10</v>
      </c>
      <c r="H337" s="40">
        <f t="shared" si="51"/>
        <v>1.18</v>
      </c>
      <c r="I337" s="41">
        <v>2826</v>
      </c>
      <c r="J337" s="33">
        <f t="shared" si="52"/>
        <v>256.90909090909093</v>
      </c>
      <c r="K337" s="33">
        <f t="shared" si="53"/>
        <v>303.2</v>
      </c>
      <c r="L337" s="33">
        <f t="shared" si="54"/>
        <v>46.290909090909054</v>
      </c>
      <c r="M337" s="33">
        <v>41.8</v>
      </c>
      <c r="N337" s="33">
        <f t="shared" si="55"/>
        <v>345</v>
      </c>
      <c r="O337" s="67"/>
      <c r="P337" s="67"/>
      <c r="Q337" s="68"/>
      <c r="R337" s="68"/>
      <c r="S337" s="33">
        <f t="shared" si="56"/>
        <v>345</v>
      </c>
      <c r="T337" s="33">
        <f>MIN(S337,119.2)</f>
        <v>119.2</v>
      </c>
      <c r="U337" s="33">
        <f t="shared" si="57"/>
        <v>225.8</v>
      </c>
      <c r="V337" s="1"/>
      <c r="W337" s="60"/>
      <c r="X337" s="1"/>
      <c r="Y337" s="1"/>
      <c r="Z337" s="60"/>
      <c r="AA337" s="60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9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9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9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9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9"/>
      <c r="FG337" s="8"/>
      <c r="FH337" s="8"/>
    </row>
    <row r="338" spans="1:164" s="2" customFormat="1" ht="17.100000000000001" customHeight="1">
      <c r="A338" s="13" t="s">
        <v>315</v>
      </c>
      <c r="B338" s="56">
        <v>631.29999999999995</v>
      </c>
      <c r="C338" s="56">
        <v>176</v>
      </c>
      <c r="D338" s="4">
        <f t="shared" si="50"/>
        <v>0.27878979882781563</v>
      </c>
      <c r="E338" s="10">
        <v>15</v>
      </c>
      <c r="F338" s="5">
        <v>1</v>
      </c>
      <c r="G338" s="5">
        <v>10</v>
      </c>
      <c r="H338" s="40">
        <f t="shared" si="51"/>
        <v>0.56727387929668938</v>
      </c>
      <c r="I338" s="41">
        <v>2798</v>
      </c>
      <c r="J338" s="33">
        <f t="shared" si="52"/>
        <v>254.36363636363637</v>
      </c>
      <c r="K338" s="33">
        <f t="shared" si="53"/>
        <v>144.30000000000001</v>
      </c>
      <c r="L338" s="33">
        <f t="shared" si="54"/>
        <v>-110.06363636363636</v>
      </c>
      <c r="M338" s="33">
        <v>74.3</v>
      </c>
      <c r="N338" s="33">
        <f t="shared" si="55"/>
        <v>218.6</v>
      </c>
      <c r="O338" s="67"/>
      <c r="P338" s="67"/>
      <c r="Q338" s="68"/>
      <c r="R338" s="68"/>
      <c r="S338" s="33">
        <f t="shared" si="56"/>
        <v>218.6</v>
      </c>
      <c r="T338" s="33">
        <f>MIN(S338,7.8)</f>
        <v>7.8</v>
      </c>
      <c r="U338" s="33">
        <f t="shared" si="57"/>
        <v>210.8</v>
      </c>
      <c r="V338" s="1"/>
      <c r="W338" s="60"/>
      <c r="X338" s="1"/>
      <c r="Y338" s="1"/>
      <c r="Z338" s="60"/>
      <c r="AA338" s="60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9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9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9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9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9"/>
      <c r="FG338" s="8"/>
      <c r="FH338" s="8"/>
    </row>
    <row r="339" spans="1:164" s="2" customFormat="1" ht="17.100000000000001" customHeight="1">
      <c r="A339" s="13" t="s">
        <v>316</v>
      </c>
      <c r="B339" s="56">
        <v>128.30000000000001</v>
      </c>
      <c r="C339" s="56">
        <v>165.4</v>
      </c>
      <c r="D339" s="4">
        <f t="shared" si="50"/>
        <v>1.208916601714731</v>
      </c>
      <c r="E339" s="10">
        <v>15</v>
      </c>
      <c r="F339" s="5">
        <v>1</v>
      </c>
      <c r="G339" s="5">
        <v>10</v>
      </c>
      <c r="H339" s="40">
        <f t="shared" si="51"/>
        <v>1.1253499610288387</v>
      </c>
      <c r="I339" s="41">
        <v>2771</v>
      </c>
      <c r="J339" s="33">
        <f t="shared" si="52"/>
        <v>251.90909090909091</v>
      </c>
      <c r="K339" s="33">
        <f t="shared" si="53"/>
        <v>283.5</v>
      </c>
      <c r="L339" s="33">
        <f t="shared" si="54"/>
        <v>31.590909090909093</v>
      </c>
      <c r="M339" s="33">
        <v>59</v>
      </c>
      <c r="N339" s="33">
        <f t="shared" si="55"/>
        <v>342.5</v>
      </c>
      <c r="O339" s="67"/>
      <c r="P339" s="67"/>
      <c r="Q339" s="68"/>
      <c r="R339" s="68"/>
      <c r="S339" s="33">
        <f t="shared" si="56"/>
        <v>342.5</v>
      </c>
      <c r="T339" s="33">
        <f>MIN(S339,126)</f>
        <v>126</v>
      </c>
      <c r="U339" s="33">
        <f t="shared" si="57"/>
        <v>216.5</v>
      </c>
      <c r="V339" s="1"/>
      <c r="W339" s="60"/>
      <c r="X339" s="1"/>
      <c r="Y339" s="1"/>
      <c r="Z339" s="60"/>
      <c r="AA339" s="60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9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9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9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9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9"/>
      <c r="FG339" s="8"/>
      <c r="FH339" s="8"/>
    </row>
    <row r="340" spans="1:164" s="2" customFormat="1" ht="17.100000000000001" customHeight="1">
      <c r="A340" s="13" t="s">
        <v>317</v>
      </c>
      <c r="B340" s="56">
        <v>263.89999999999998</v>
      </c>
      <c r="C340" s="56">
        <v>393.8</v>
      </c>
      <c r="D340" s="4">
        <f t="shared" si="50"/>
        <v>1.2292231906025008</v>
      </c>
      <c r="E340" s="10">
        <v>15</v>
      </c>
      <c r="F340" s="5">
        <v>1</v>
      </c>
      <c r="G340" s="5">
        <v>10</v>
      </c>
      <c r="H340" s="40">
        <f t="shared" si="51"/>
        <v>1.1375339143615006</v>
      </c>
      <c r="I340" s="41">
        <v>2042</v>
      </c>
      <c r="J340" s="33">
        <f t="shared" si="52"/>
        <v>185.63636363636363</v>
      </c>
      <c r="K340" s="33">
        <f t="shared" si="53"/>
        <v>211.2</v>
      </c>
      <c r="L340" s="33">
        <f t="shared" si="54"/>
        <v>25.563636363636363</v>
      </c>
      <c r="M340" s="33">
        <v>40.6</v>
      </c>
      <c r="N340" s="33">
        <f t="shared" si="55"/>
        <v>251.8</v>
      </c>
      <c r="O340" s="67"/>
      <c r="P340" s="67"/>
      <c r="Q340" s="68"/>
      <c r="R340" s="68"/>
      <c r="S340" s="33">
        <f t="shared" si="56"/>
        <v>251.8</v>
      </c>
      <c r="T340" s="33">
        <f>MIN(S340,50.4)</f>
        <v>50.4</v>
      </c>
      <c r="U340" s="33">
        <f t="shared" si="57"/>
        <v>201.4</v>
      </c>
      <c r="V340" s="1"/>
      <c r="W340" s="60"/>
      <c r="X340" s="1"/>
      <c r="Y340" s="1"/>
      <c r="Z340" s="60"/>
      <c r="AA340" s="60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9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9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9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9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9"/>
      <c r="FG340" s="8"/>
      <c r="FH340" s="8"/>
    </row>
    <row r="341" spans="1:164" s="2" customFormat="1" ht="17.100000000000001" customHeight="1">
      <c r="A341" s="13" t="s">
        <v>318</v>
      </c>
      <c r="B341" s="56">
        <v>139.6</v>
      </c>
      <c r="C341" s="56">
        <v>65.599999999999994</v>
      </c>
      <c r="D341" s="4">
        <f t="shared" si="50"/>
        <v>0.46991404011461319</v>
      </c>
      <c r="E341" s="10">
        <v>15</v>
      </c>
      <c r="F341" s="5">
        <v>1</v>
      </c>
      <c r="G341" s="5">
        <v>10</v>
      </c>
      <c r="H341" s="40">
        <f t="shared" si="51"/>
        <v>0.68194842406876788</v>
      </c>
      <c r="I341" s="41">
        <v>1877</v>
      </c>
      <c r="J341" s="33">
        <f t="shared" si="52"/>
        <v>170.63636363636363</v>
      </c>
      <c r="K341" s="33">
        <f t="shared" si="53"/>
        <v>116.4</v>
      </c>
      <c r="L341" s="33">
        <f t="shared" si="54"/>
        <v>-54.23636363636362</v>
      </c>
      <c r="M341" s="33">
        <v>28.3</v>
      </c>
      <c r="N341" s="33">
        <f t="shared" si="55"/>
        <v>144.69999999999999</v>
      </c>
      <c r="O341" s="67"/>
      <c r="P341" s="67"/>
      <c r="Q341" s="68"/>
      <c r="R341" s="68"/>
      <c r="S341" s="33">
        <f t="shared" si="56"/>
        <v>144.69999999999999</v>
      </c>
      <c r="T341" s="33">
        <f>MIN(S341,13.5)</f>
        <v>13.5</v>
      </c>
      <c r="U341" s="33">
        <f t="shared" si="57"/>
        <v>131.19999999999999</v>
      </c>
      <c r="V341" s="1"/>
      <c r="W341" s="60"/>
      <c r="X341" s="1"/>
      <c r="Y341" s="1"/>
      <c r="Z341" s="60"/>
      <c r="AA341" s="60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9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9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9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9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9"/>
      <c r="FG341" s="8"/>
      <c r="FH341" s="8"/>
    </row>
    <row r="342" spans="1:164" s="2" customFormat="1" ht="17.100000000000001" customHeight="1">
      <c r="A342" s="13" t="s">
        <v>319</v>
      </c>
      <c r="B342" s="56">
        <v>32.700000000000003</v>
      </c>
      <c r="C342" s="56">
        <v>3.1</v>
      </c>
      <c r="D342" s="4">
        <f t="shared" si="50"/>
        <v>9.480122324159021E-2</v>
      </c>
      <c r="E342" s="10">
        <v>15</v>
      </c>
      <c r="F342" s="5">
        <v>1</v>
      </c>
      <c r="G342" s="5">
        <v>10</v>
      </c>
      <c r="H342" s="40">
        <f t="shared" si="51"/>
        <v>0.4568807339449541</v>
      </c>
      <c r="I342" s="41">
        <v>1664</v>
      </c>
      <c r="J342" s="33">
        <f t="shared" si="52"/>
        <v>151.27272727272728</v>
      </c>
      <c r="K342" s="33">
        <f t="shared" si="53"/>
        <v>69.099999999999994</v>
      </c>
      <c r="L342" s="33">
        <f t="shared" si="54"/>
        <v>-82.172727272727286</v>
      </c>
      <c r="M342" s="33">
        <v>23</v>
      </c>
      <c r="N342" s="33">
        <f t="shared" si="55"/>
        <v>92.1</v>
      </c>
      <c r="O342" s="67"/>
      <c r="P342" s="67"/>
      <c r="Q342" s="68"/>
      <c r="R342" s="68"/>
      <c r="S342" s="33">
        <f t="shared" si="56"/>
        <v>92.1</v>
      </c>
      <c r="T342" s="33">
        <f>MIN(S342,75.2)</f>
        <v>75.2</v>
      </c>
      <c r="U342" s="33">
        <f t="shared" si="57"/>
        <v>16.899999999999999</v>
      </c>
      <c r="V342" s="1"/>
      <c r="W342" s="60"/>
      <c r="X342" s="1"/>
      <c r="Y342" s="1"/>
      <c r="Z342" s="60"/>
      <c r="AA342" s="60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9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9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9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9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9"/>
      <c r="FG342" s="8"/>
      <c r="FH342" s="8"/>
    </row>
    <row r="343" spans="1:164" s="2" customFormat="1" ht="17.100000000000001" customHeight="1">
      <c r="A343" s="13" t="s">
        <v>320</v>
      </c>
      <c r="B343" s="56">
        <v>349.1</v>
      </c>
      <c r="C343" s="56">
        <v>182.3</v>
      </c>
      <c r="D343" s="4">
        <f t="shared" si="50"/>
        <v>0.52219994270982528</v>
      </c>
      <c r="E343" s="10">
        <v>15</v>
      </c>
      <c r="F343" s="5">
        <v>1</v>
      </c>
      <c r="G343" s="5">
        <v>10</v>
      </c>
      <c r="H343" s="40">
        <f t="shared" si="51"/>
        <v>0.71331996562589528</v>
      </c>
      <c r="I343" s="41">
        <v>2079</v>
      </c>
      <c r="J343" s="33">
        <f t="shared" si="52"/>
        <v>189</v>
      </c>
      <c r="K343" s="33">
        <f t="shared" si="53"/>
        <v>134.80000000000001</v>
      </c>
      <c r="L343" s="33">
        <f t="shared" si="54"/>
        <v>-54.199999999999989</v>
      </c>
      <c r="M343" s="33">
        <v>33.299999999999997</v>
      </c>
      <c r="N343" s="33">
        <f t="shared" si="55"/>
        <v>168.1</v>
      </c>
      <c r="O343" s="67"/>
      <c r="P343" s="67"/>
      <c r="Q343" s="68"/>
      <c r="R343" s="68"/>
      <c r="S343" s="33">
        <f t="shared" si="56"/>
        <v>168.1</v>
      </c>
      <c r="T343" s="33">
        <f>MIN(S343,57.4)</f>
        <v>57.4</v>
      </c>
      <c r="U343" s="33">
        <f t="shared" si="57"/>
        <v>110.7</v>
      </c>
      <c r="V343" s="1"/>
      <c r="W343" s="60"/>
      <c r="X343" s="1"/>
      <c r="Y343" s="1"/>
      <c r="Z343" s="60"/>
      <c r="AA343" s="60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9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9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9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9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9"/>
      <c r="FG343" s="8"/>
      <c r="FH343" s="8"/>
    </row>
    <row r="344" spans="1:164" s="2" customFormat="1" ht="17.100000000000001" customHeight="1">
      <c r="A344" s="13" t="s">
        <v>321</v>
      </c>
      <c r="B344" s="56">
        <v>1343.1</v>
      </c>
      <c r="C344" s="56">
        <v>804.7</v>
      </c>
      <c r="D344" s="4">
        <f t="shared" si="50"/>
        <v>0.59913632640905379</v>
      </c>
      <c r="E344" s="10">
        <v>15</v>
      </c>
      <c r="F344" s="5">
        <v>1</v>
      </c>
      <c r="G344" s="5">
        <v>10</v>
      </c>
      <c r="H344" s="40">
        <f t="shared" si="51"/>
        <v>0.75948179584543229</v>
      </c>
      <c r="I344" s="41">
        <v>4388</v>
      </c>
      <c r="J344" s="33">
        <f t="shared" si="52"/>
        <v>398.90909090909093</v>
      </c>
      <c r="K344" s="33">
        <f t="shared" si="53"/>
        <v>303</v>
      </c>
      <c r="L344" s="33">
        <f t="shared" si="54"/>
        <v>-95.909090909090935</v>
      </c>
      <c r="M344" s="33">
        <v>80.099999999999994</v>
      </c>
      <c r="N344" s="33">
        <f t="shared" si="55"/>
        <v>383.1</v>
      </c>
      <c r="O344" s="67"/>
      <c r="P344" s="67"/>
      <c r="Q344" s="68"/>
      <c r="R344" s="68"/>
      <c r="S344" s="33">
        <f t="shared" si="56"/>
        <v>383.1</v>
      </c>
      <c r="T344" s="33">
        <f>MIN(S344,125.6)</f>
        <v>125.6</v>
      </c>
      <c r="U344" s="33">
        <f t="shared" si="57"/>
        <v>257.5</v>
      </c>
      <c r="V344" s="1"/>
      <c r="W344" s="60"/>
      <c r="X344" s="1"/>
      <c r="Y344" s="1"/>
      <c r="Z344" s="60"/>
      <c r="AA344" s="60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9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9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9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9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9"/>
      <c r="FG344" s="8"/>
      <c r="FH344" s="8"/>
    </row>
    <row r="345" spans="1:164" s="2" customFormat="1" ht="17.100000000000001" customHeight="1">
      <c r="A345" s="17" t="s">
        <v>322</v>
      </c>
      <c r="B345" s="57"/>
      <c r="C345" s="57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33"/>
      <c r="V345" s="1"/>
      <c r="W345" s="60"/>
      <c r="X345" s="1"/>
      <c r="Y345" s="1"/>
      <c r="Z345" s="60"/>
      <c r="AA345" s="60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9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9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9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9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9"/>
      <c r="FG345" s="8"/>
      <c r="FH345" s="8"/>
    </row>
    <row r="346" spans="1:164" s="2" customFormat="1" ht="17.100000000000001" customHeight="1">
      <c r="A346" s="42" t="s">
        <v>323</v>
      </c>
      <c r="B346" s="56">
        <v>215.2</v>
      </c>
      <c r="C346" s="56">
        <v>135.30000000000001</v>
      </c>
      <c r="D346" s="4">
        <f t="shared" si="50"/>
        <v>0.62871747211895923</v>
      </c>
      <c r="E346" s="10">
        <v>15</v>
      </c>
      <c r="F346" s="5">
        <v>1</v>
      </c>
      <c r="G346" s="5">
        <v>10</v>
      </c>
      <c r="H346" s="40">
        <f t="shared" si="51"/>
        <v>0.77723048327137545</v>
      </c>
      <c r="I346" s="41">
        <v>1462</v>
      </c>
      <c r="J346" s="33">
        <f t="shared" si="52"/>
        <v>132.90909090909091</v>
      </c>
      <c r="K346" s="33">
        <f t="shared" si="53"/>
        <v>103.3</v>
      </c>
      <c r="L346" s="33">
        <f t="shared" si="54"/>
        <v>-29.609090909090909</v>
      </c>
      <c r="M346" s="33">
        <v>24.2</v>
      </c>
      <c r="N346" s="33">
        <f t="shared" si="55"/>
        <v>127.5</v>
      </c>
      <c r="O346" s="67"/>
      <c r="P346" s="67"/>
      <c r="Q346" s="68"/>
      <c r="R346" s="68"/>
      <c r="S346" s="33">
        <f t="shared" si="56"/>
        <v>127.5</v>
      </c>
      <c r="T346" s="33"/>
      <c r="U346" s="33">
        <f t="shared" si="57"/>
        <v>127.5</v>
      </c>
      <c r="V346" s="1"/>
      <c r="W346" s="60"/>
      <c r="X346" s="1"/>
      <c r="Y346" s="1"/>
      <c r="Z346" s="60"/>
      <c r="AA346" s="60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9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9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9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9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9"/>
      <c r="FG346" s="8"/>
      <c r="FH346" s="8"/>
    </row>
    <row r="347" spans="1:164" s="2" customFormat="1" ht="17.100000000000001" customHeight="1">
      <c r="A347" s="42" t="s">
        <v>324</v>
      </c>
      <c r="B347" s="56">
        <v>41.6</v>
      </c>
      <c r="C347" s="56">
        <v>17.7</v>
      </c>
      <c r="D347" s="4">
        <f t="shared" si="50"/>
        <v>0.42548076923076922</v>
      </c>
      <c r="E347" s="10">
        <v>15</v>
      </c>
      <c r="F347" s="5">
        <v>1</v>
      </c>
      <c r="G347" s="5">
        <v>10</v>
      </c>
      <c r="H347" s="40">
        <f t="shared" si="51"/>
        <v>0.65528846153846165</v>
      </c>
      <c r="I347" s="41">
        <v>1606</v>
      </c>
      <c r="J347" s="33">
        <f t="shared" si="52"/>
        <v>146</v>
      </c>
      <c r="K347" s="33">
        <f t="shared" si="53"/>
        <v>95.7</v>
      </c>
      <c r="L347" s="33">
        <f t="shared" si="54"/>
        <v>-50.3</v>
      </c>
      <c r="M347" s="33">
        <v>25.6</v>
      </c>
      <c r="N347" s="33">
        <f t="shared" si="55"/>
        <v>121.3</v>
      </c>
      <c r="O347" s="67"/>
      <c r="P347" s="67"/>
      <c r="Q347" s="68"/>
      <c r="R347" s="68"/>
      <c r="S347" s="33">
        <f t="shared" si="56"/>
        <v>121.3</v>
      </c>
      <c r="T347" s="33"/>
      <c r="U347" s="33">
        <f t="shared" si="57"/>
        <v>121.3</v>
      </c>
      <c r="V347" s="1"/>
      <c r="W347" s="60"/>
      <c r="X347" s="1"/>
      <c r="Y347" s="1"/>
      <c r="Z347" s="60"/>
      <c r="AA347" s="60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9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9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9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9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9"/>
      <c r="FG347" s="8"/>
      <c r="FH347" s="8"/>
    </row>
    <row r="348" spans="1:164" s="2" customFormat="1" ht="17.100000000000001" customHeight="1">
      <c r="A348" s="42" t="s">
        <v>325</v>
      </c>
      <c r="B348" s="56">
        <v>107.3</v>
      </c>
      <c r="C348" s="56">
        <v>63.3</v>
      </c>
      <c r="D348" s="4">
        <f t="shared" si="50"/>
        <v>0.58993476234855546</v>
      </c>
      <c r="E348" s="10">
        <v>15</v>
      </c>
      <c r="F348" s="5">
        <v>1</v>
      </c>
      <c r="G348" s="5">
        <v>10</v>
      </c>
      <c r="H348" s="40">
        <f t="shared" si="51"/>
        <v>0.75396085740913321</v>
      </c>
      <c r="I348" s="41">
        <v>2087</v>
      </c>
      <c r="J348" s="33">
        <f t="shared" si="52"/>
        <v>189.72727272727272</v>
      </c>
      <c r="K348" s="33">
        <f t="shared" si="53"/>
        <v>143</v>
      </c>
      <c r="L348" s="33">
        <f t="shared" si="54"/>
        <v>-46.72727272727272</v>
      </c>
      <c r="M348" s="33">
        <v>26.6</v>
      </c>
      <c r="N348" s="33">
        <f t="shared" si="55"/>
        <v>169.6</v>
      </c>
      <c r="O348" s="67"/>
      <c r="P348" s="67"/>
      <c r="Q348" s="68"/>
      <c r="R348" s="68"/>
      <c r="S348" s="33">
        <f t="shared" si="56"/>
        <v>169.6</v>
      </c>
      <c r="T348" s="33"/>
      <c r="U348" s="33">
        <f t="shared" si="57"/>
        <v>169.6</v>
      </c>
      <c r="V348" s="1"/>
      <c r="W348" s="60"/>
      <c r="X348" s="1"/>
      <c r="Y348" s="1"/>
      <c r="Z348" s="60"/>
      <c r="AA348" s="60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9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9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9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9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9"/>
      <c r="FG348" s="8"/>
      <c r="FH348" s="8"/>
    </row>
    <row r="349" spans="1:164" s="2" customFormat="1" ht="17.100000000000001" customHeight="1">
      <c r="A349" s="42" t="s">
        <v>326</v>
      </c>
      <c r="B349" s="56">
        <v>80.2</v>
      </c>
      <c r="C349" s="56">
        <v>49.2</v>
      </c>
      <c r="D349" s="4">
        <f t="shared" si="50"/>
        <v>0.61346633416458851</v>
      </c>
      <c r="E349" s="10">
        <v>15</v>
      </c>
      <c r="F349" s="5">
        <v>1</v>
      </c>
      <c r="G349" s="5">
        <v>10</v>
      </c>
      <c r="H349" s="40">
        <f t="shared" si="51"/>
        <v>0.76807980049875313</v>
      </c>
      <c r="I349" s="41">
        <v>1999</v>
      </c>
      <c r="J349" s="33">
        <f t="shared" si="52"/>
        <v>181.72727272727272</v>
      </c>
      <c r="K349" s="33">
        <f t="shared" si="53"/>
        <v>139.6</v>
      </c>
      <c r="L349" s="33">
        <f t="shared" si="54"/>
        <v>-42.127272727272725</v>
      </c>
      <c r="M349" s="33">
        <v>40.1</v>
      </c>
      <c r="N349" s="33">
        <f t="shared" si="55"/>
        <v>179.7</v>
      </c>
      <c r="O349" s="67"/>
      <c r="P349" s="67"/>
      <c r="Q349" s="68"/>
      <c r="R349" s="68"/>
      <c r="S349" s="33">
        <f t="shared" si="56"/>
        <v>179.7</v>
      </c>
      <c r="T349" s="33"/>
      <c r="U349" s="33">
        <f t="shared" si="57"/>
        <v>179.7</v>
      </c>
      <c r="V349" s="1"/>
      <c r="W349" s="60"/>
      <c r="X349" s="1"/>
      <c r="Y349" s="1"/>
      <c r="Z349" s="60"/>
      <c r="AA349" s="60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9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9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9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9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9"/>
      <c r="FG349" s="8"/>
      <c r="FH349" s="8"/>
    </row>
    <row r="350" spans="1:164" s="2" customFormat="1" ht="17.100000000000001" customHeight="1">
      <c r="A350" s="42" t="s">
        <v>327</v>
      </c>
      <c r="B350" s="56">
        <v>145.19999999999999</v>
      </c>
      <c r="C350" s="56">
        <v>136.69999999999999</v>
      </c>
      <c r="D350" s="4">
        <f t="shared" si="50"/>
        <v>0.94146005509641872</v>
      </c>
      <c r="E350" s="10">
        <v>15</v>
      </c>
      <c r="F350" s="5">
        <v>1</v>
      </c>
      <c r="G350" s="5">
        <v>10</v>
      </c>
      <c r="H350" s="40">
        <f t="shared" si="51"/>
        <v>0.96487603305785119</v>
      </c>
      <c r="I350" s="41">
        <v>1154</v>
      </c>
      <c r="J350" s="33">
        <f t="shared" si="52"/>
        <v>104.90909090909091</v>
      </c>
      <c r="K350" s="33">
        <f t="shared" si="53"/>
        <v>101.2</v>
      </c>
      <c r="L350" s="33">
        <f t="shared" si="54"/>
        <v>-3.7090909090909037</v>
      </c>
      <c r="M350" s="33">
        <v>21.5</v>
      </c>
      <c r="N350" s="33">
        <f t="shared" si="55"/>
        <v>122.7</v>
      </c>
      <c r="O350" s="67"/>
      <c r="P350" s="67"/>
      <c r="Q350" s="68"/>
      <c r="R350" s="68"/>
      <c r="S350" s="33">
        <f t="shared" si="56"/>
        <v>122.7</v>
      </c>
      <c r="T350" s="33"/>
      <c r="U350" s="33">
        <f t="shared" si="57"/>
        <v>122.7</v>
      </c>
      <c r="V350" s="1"/>
      <c r="W350" s="60"/>
      <c r="X350" s="1"/>
      <c r="Y350" s="1"/>
      <c r="Z350" s="60"/>
      <c r="AA350" s="60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9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9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9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9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9"/>
      <c r="FG350" s="8"/>
      <c r="FH350" s="8"/>
    </row>
    <row r="351" spans="1:164" s="2" customFormat="1" ht="17.100000000000001" customHeight="1">
      <c r="A351" s="42" t="s">
        <v>328</v>
      </c>
      <c r="B351" s="56">
        <v>231.8</v>
      </c>
      <c r="C351" s="56">
        <v>163.19999999999999</v>
      </c>
      <c r="D351" s="4">
        <f t="shared" si="50"/>
        <v>0.70405522001725618</v>
      </c>
      <c r="E351" s="10">
        <v>15</v>
      </c>
      <c r="F351" s="5">
        <v>1</v>
      </c>
      <c r="G351" s="5">
        <v>10</v>
      </c>
      <c r="H351" s="40">
        <f t="shared" si="51"/>
        <v>0.82243313201035362</v>
      </c>
      <c r="I351" s="41">
        <v>1534</v>
      </c>
      <c r="J351" s="33">
        <f t="shared" si="52"/>
        <v>139.45454545454547</v>
      </c>
      <c r="K351" s="33">
        <f t="shared" si="53"/>
        <v>114.7</v>
      </c>
      <c r="L351" s="33">
        <f t="shared" si="54"/>
        <v>-24.754545454545465</v>
      </c>
      <c r="M351" s="33">
        <v>31.3</v>
      </c>
      <c r="N351" s="33">
        <f t="shared" si="55"/>
        <v>146</v>
      </c>
      <c r="O351" s="67"/>
      <c r="P351" s="67"/>
      <c r="Q351" s="68"/>
      <c r="R351" s="68"/>
      <c r="S351" s="33">
        <f t="shared" si="56"/>
        <v>146</v>
      </c>
      <c r="T351" s="33"/>
      <c r="U351" s="33">
        <f t="shared" si="57"/>
        <v>146</v>
      </c>
      <c r="V351" s="1"/>
      <c r="W351" s="60"/>
      <c r="X351" s="1"/>
      <c r="Y351" s="1"/>
      <c r="Z351" s="60"/>
      <c r="AA351" s="60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9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9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9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9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9"/>
      <c r="FG351" s="8"/>
      <c r="FH351" s="8"/>
    </row>
    <row r="352" spans="1:164" s="2" customFormat="1" ht="17.100000000000001" customHeight="1">
      <c r="A352" s="42" t="s">
        <v>329</v>
      </c>
      <c r="B352" s="56">
        <v>195</v>
      </c>
      <c r="C352" s="56">
        <v>88.9</v>
      </c>
      <c r="D352" s="4">
        <f t="shared" si="50"/>
        <v>0.45589743589743592</v>
      </c>
      <c r="E352" s="10">
        <v>15</v>
      </c>
      <c r="F352" s="5">
        <v>1</v>
      </c>
      <c r="G352" s="5">
        <v>10</v>
      </c>
      <c r="H352" s="40">
        <f t="shared" si="51"/>
        <v>0.67353846153846153</v>
      </c>
      <c r="I352" s="41">
        <v>1693</v>
      </c>
      <c r="J352" s="33">
        <f t="shared" si="52"/>
        <v>153.90909090909091</v>
      </c>
      <c r="K352" s="33">
        <f t="shared" si="53"/>
        <v>103.7</v>
      </c>
      <c r="L352" s="33">
        <f t="shared" si="54"/>
        <v>-50.209090909090904</v>
      </c>
      <c r="M352" s="33">
        <v>28.2</v>
      </c>
      <c r="N352" s="33">
        <f t="shared" si="55"/>
        <v>131.9</v>
      </c>
      <c r="O352" s="67"/>
      <c r="P352" s="67"/>
      <c r="Q352" s="68"/>
      <c r="R352" s="68"/>
      <c r="S352" s="33">
        <f t="shared" si="56"/>
        <v>131.9</v>
      </c>
      <c r="T352" s="33"/>
      <c r="U352" s="33">
        <f t="shared" si="57"/>
        <v>131.9</v>
      </c>
      <c r="V352" s="1"/>
      <c r="W352" s="60"/>
      <c r="X352" s="1"/>
      <c r="Y352" s="1"/>
      <c r="Z352" s="60"/>
      <c r="AA352" s="60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9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9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9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9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9"/>
      <c r="FG352" s="8"/>
      <c r="FH352" s="8"/>
    </row>
    <row r="353" spans="1:164" s="2" customFormat="1" ht="17.100000000000001" customHeight="1">
      <c r="A353" s="42" t="s">
        <v>330</v>
      </c>
      <c r="B353" s="56">
        <v>85</v>
      </c>
      <c r="C353" s="56">
        <v>41.1</v>
      </c>
      <c r="D353" s="4">
        <f t="shared" si="50"/>
        <v>0.48352941176470587</v>
      </c>
      <c r="E353" s="10">
        <v>15</v>
      </c>
      <c r="F353" s="5">
        <v>1</v>
      </c>
      <c r="G353" s="5">
        <v>10</v>
      </c>
      <c r="H353" s="40">
        <f t="shared" si="51"/>
        <v>0.69011764705882361</v>
      </c>
      <c r="I353" s="41">
        <v>1186</v>
      </c>
      <c r="J353" s="33">
        <f t="shared" si="52"/>
        <v>107.81818181818181</v>
      </c>
      <c r="K353" s="33">
        <f t="shared" si="53"/>
        <v>74.400000000000006</v>
      </c>
      <c r="L353" s="33">
        <f t="shared" si="54"/>
        <v>-33.418181818181807</v>
      </c>
      <c r="M353" s="33">
        <v>28.9</v>
      </c>
      <c r="N353" s="33">
        <f t="shared" si="55"/>
        <v>103.3</v>
      </c>
      <c r="O353" s="67"/>
      <c r="P353" s="67"/>
      <c r="Q353" s="68"/>
      <c r="R353" s="68"/>
      <c r="S353" s="33">
        <f t="shared" si="56"/>
        <v>103.3</v>
      </c>
      <c r="T353" s="33"/>
      <c r="U353" s="33">
        <f t="shared" si="57"/>
        <v>103.3</v>
      </c>
      <c r="V353" s="1"/>
      <c r="W353" s="60"/>
      <c r="X353" s="1"/>
      <c r="Y353" s="1"/>
      <c r="Z353" s="60"/>
      <c r="AA353" s="60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9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9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9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9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9"/>
      <c r="FG353" s="8"/>
      <c r="FH353" s="8"/>
    </row>
    <row r="354" spans="1:164" s="2" customFormat="1" ht="17.100000000000001" customHeight="1">
      <c r="A354" s="42" t="s">
        <v>331</v>
      </c>
      <c r="B354" s="56">
        <v>1269</v>
      </c>
      <c r="C354" s="56">
        <v>1120.9000000000001</v>
      </c>
      <c r="D354" s="4">
        <f t="shared" si="50"/>
        <v>0.88329393223010255</v>
      </c>
      <c r="E354" s="10">
        <v>15</v>
      </c>
      <c r="F354" s="5">
        <v>1</v>
      </c>
      <c r="G354" s="5">
        <v>10</v>
      </c>
      <c r="H354" s="40">
        <f t="shared" si="51"/>
        <v>0.92997635933806155</v>
      </c>
      <c r="I354" s="41">
        <v>1844</v>
      </c>
      <c r="J354" s="33">
        <f t="shared" si="52"/>
        <v>167.63636363636363</v>
      </c>
      <c r="K354" s="33">
        <f t="shared" si="53"/>
        <v>155.9</v>
      </c>
      <c r="L354" s="33">
        <f t="shared" si="54"/>
        <v>-11.73636363636362</v>
      </c>
      <c r="M354" s="33">
        <v>31.5</v>
      </c>
      <c r="N354" s="33">
        <f t="shared" si="55"/>
        <v>187.4</v>
      </c>
      <c r="O354" s="67"/>
      <c r="P354" s="67"/>
      <c r="Q354" s="68"/>
      <c r="R354" s="68"/>
      <c r="S354" s="33">
        <f t="shared" si="56"/>
        <v>187.4</v>
      </c>
      <c r="T354" s="33"/>
      <c r="U354" s="33">
        <f t="shared" si="57"/>
        <v>187.4</v>
      </c>
      <c r="V354" s="1"/>
      <c r="W354" s="60"/>
      <c r="X354" s="1"/>
      <c r="Y354" s="1"/>
      <c r="Z354" s="60"/>
      <c r="AA354" s="60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9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9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9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9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9"/>
      <c r="FG354" s="8"/>
      <c r="FH354" s="8"/>
    </row>
    <row r="355" spans="1:164" s="2" customFormat="1" ht="17.100000000000001" customHeight="1">
      <c r="A355" s="42" t="s">
        <v>332</v>
      </c>
      <c r="B355" s="56">
        <v>117.8</v>
      </c>
      <c r="C355" s="56">
        <v>46</v>
      </c>
      <c r="D355" s="4">
        <f t="shared" si="50"/>
        <v>0.39049235993208831</v>
      </c>
      <c r="E355" s="10">
        <v>15</v>
      </c>
      <c r="F355" s="5">
        <v>1</v>
      </c>
      <c r="G355" s="5">
        <v>10</v>
      </c>
      <c r="H355" s="40">
        <f t="shared" si="51"/>
        <v>0.63429541595925298</v>
      </c>
      <c r="I355" s="41">
        <v>1086</v>
      </c>
      <c r="J355" s="33">
        <f t="shared" si="52"/>
        <v>98.727272727272734</v>
      </c>
      <c r="K355" s="33">
        <f t="shared" si="53"/>
        <v>62.6</v>
      </c>
      <c r="L355" s="33">
        <f t="shared" si="54"/>
        <v>-36.127272727272732</v>
      </c>
      <c r="M355" s="33">
        <v>14.8</v>
      </c>
      <c r="N355" s="33">
        <f t="shared" si="55"/>
        <v>77.400000000000006</v>
      </c>
      <c r="O355" s="67"/>
      <c r="P355" s="67"/>
      <c r="Q355" s="68"/>
      <c r="R355" s="68"/>
      <c r="S355" s="33">
        <f t="shared" si="56"/>
        <v>77.400000000000006</v>
      </c>
      <c r="T355" s="33"/>
      <c r="U355" s="33">
        <f t="shared" si="57"/>
        <v>77.400000000000006</v>
      </c>
      <c r="V355" s="1"/>
      <c r="W355" s="60"/>
      <c r="X355" s="1"/>
      <c r="Y355" s="1"/>
      <c r="Z355" s="60"/>
      <c r="AA355" s="60"/>
    </row>
    <row r="356" spans="1:164" s="2" customFormat="1" ht="17.100000000000001" customHeight="1">
      <c r="A356" s="42" t="s">
        <v>333</v>
      </c>
      <c r="B356" s="56">
        <v>187.9</v>
      </c>
      <c r="C356" s="56">
        <v>67.7</v>
      </c>
      <c r="D356" s="4">
        <f t="shared" si="50"/>
        <v>0.36029803086748269</v>
      </c>
      <c r="E356" s="10">
        <v>15</v>
      </c>
      <c r="F356" s="5">
        <v>1</v>
      </c>
      <c r="G356" s="5">
        <v>10</v>
      </c>
      <c r="H356" s="40">
        <f t="shared" si="51"/>
        <v>0.61617881852048961</v>
      </c>
      <c r="I356" s="41">
        <v>1538</v>
      </c>
      <c r="J356" s="33">
        <f t="shared" si="52"/>
        <v>139.81818181818181</v>
      </c>
      <c r="K356" s="33">
        <f t="shared" si="53"/>
        <v>86.2</v>
      </c>
      <c r="L356" s="33">
        <f t="shared" si="54"/>
        <v>-53.61818181818181</v>
      </c>
      <c r="M356" s="33">
        <v>13.4</v>
      </c>
      <c r="N356" s="33">
        <f t="shared" si="55"/>
        <v>99.6</v>
      </c>
      <c r="O356" s="67"/>
      <c r="P356" s="67"/>
      <c r="Q356" s="68"/>
      <c r="R356" s="68"/>
      <c r="S356" s="33">
        <f t="shared" si="56"/>
        <v>99.6</v>
      </c>
      <c r="T356" s="33"/>
      <c r="U356" s="33">
        <f t="shared" si="57"/>
        <v>99.6</v>
      </c>
      <c r="V356" s="1"/>
      <c r="W356" s="60"/>
      <c r="X356" s="1"/>
      <c r="Y356" s="1"/>
      <c r="Z356" s="60"/>
      <c r="AA356" s="60"/>
    </row>
    <row r="357" spans="1:164" s="2" customFormat="1" ht="17.100000000000001" customHeight="1">
      <c r="A357" s="17" t="s">
        <v>334</v>
      </c>
      <c r="B357" s="57"/>
      <c r="C357" s="57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33"/>
      <c r="V357" s="1"/>
      <c r="W357" s="60"/>
      <c r="X357" s="1"/>
      <c r="Y357" s="1"/>
      <c r="Z357" s="60"/>
      <c r="AA357" s="60"/>
    </row>
    <row r="358" spans="1:164" s="2" customFormat="1" ht="17.100000000000001" customHeight="1">
      <c r="A358" s="42" t="s">
        <v>335</v>
      </c>
      <c r="B358" s="56">
        <v>6.7</v>
      </c>
      <c r="C358" s="56">
        <v>1.5</v>
      </c>
      <c r="D358" s="4">
        <f t="shared" si="50"/>
        <v>0.22388059701492538</v>
      </c>
      <c r="E358" s="10">
        <v>15</v>
      </c>
      <c r="F358" s="5">
        <v>1</v>
      </c>
      <c r="G358" s="5">
        <v>10</v>
      </c>
      <c r="H358" s="40">
        <f t="shared" si="51"/>
        <v>0.53432835820895519</v>
      </c>
      <c r="I358" s="41">
        <v>1170</v>
      </c>
      <c r="J358" s="33">
        <f t="shared" si="52"/>
        <v>106.36363636363636</v>
      </c>
      <c r="K358" s="33">
        <f t="shared" si="53"/>
        <v>56.8</v>
      </c>
      <c r="L358" s="33">
        <f t="shared" si="54"/>
        <v>-49.563636363636363</v>
      </c>
      <c r="M358" s="33">
        <v>15.2</v>
      </c>
      <c r="N358" s="33">
        <f t="shared" si="55"/>
        <v>72</v>
      </c>
      <c r="O358" s="67"/>
      <c r="P358" s="67"/>
      <c r="Q358" s="68"/>
      <c r="R358" s="68"/>
      <c r="S358" s="33">
        <f t="shared" si="56"/>
        <v>72</v>
      </c>
      <c r="T358" s="33"/>
      <c r="U358" s="33">
        <f t="shared" si="57"/>
        <v>72</v>
      </c>
      <c r="V358" s="1"/>
      <c r="W358" s="60"/>
      <c r="X358" s="1"/>
      <c r="Y358" s="1"/>
      <c r="Z358" s="60"/>
      <c r="AA358" s="60"/>
    </row>
    <row r="359" spans="1:164" s="2" customFormat="1" ht="17.100000000000001" customHeight="1">
      <c r="A359" s="42" t="s">
        <v>50</v>
      </c>
      <c r="B359" s="56">
        <v>152</v>
      </c>
      <c r="C359" s="56">
        <v>71.3</v>
      </c>
      <c r="D359" s="4">
        <f t="shared" si="50"/>
        <v>0.46907894736842104</v>
      </c>
      <c r="E359" s="10">
        <v>15</v>
      </c>
      <c r="F359" s="5">
        <v>1</v>
      </c>
      <c r="G359" s="5">
        <v>10</v>
      </c>
      <c r="H359" s="40">
        <f t="shared" si="51"/>
        <v>0.68144736842105258</v>
      </c>
      <c r="I359" s="41">
        <v>2672</v>
      </c>
      <c r="J359" s="33">
        <f t="shared" si="52"/>
        <v>242.90909090909091</v>
      </c>
      <c r="K359" s="33">
        <f t="shared" si="53"/>
        <v>165.5</v>
      </c>
      <c r="L359" s="33">
        <f t="shared" si="54"/>
        <v>-77.409090909090907</v>
      </c>
      <c r="M359" s="33">
        <v>37.299999999999997</v>
      </c>
      <c r="N359" s="33">
        <f t="shared" si="55"/>
        <v>202.8</v>
      </c>
      <c r="O359" s="67"/>
      <c r="P359" s="67"/>
      <c r="Q359" s="68"/>
      <c r="R359" s="68"/>
      <c r="S359" s="33">
        <f t="shared" si="56"/>
        <v>202.8</v>
      </c>
      <c r="T359" s="33"/>
      <c r="U359" s="33">
        <f t="shared" si="57"/>
        <v>202.8</v>
      </c>
      <c r="V359" s="1"/>
      <c r="W359" s="60"/>
      <c r="X359" s="1"/>
      <c r="Y359" s="1"/>
      <c r="Z359" s="60"/>
      <c r="AA359" s="60"/>
    </row>
    <row r="360" spans="1:164" s="2" customFormat="1" ht="17.100000000000001" customHeight="1">
      <c r="A360" s="42" t="s">
        <v>336</v>
      </c>
      <c r="B360" s="56">
        <v>74</v>
      </c>
      <c r="C360" s="56">
        <v>86.4</v>
      </c>
      <c r="D360" s="4">
        <f t="shared" si="50"/>
        <v>1.1675675675675676</v>
      </c>
      <c r="E360" s="10">
        <v>15</v>
      </c>
      <c r="F360" s="5">
        <v>1</v>
      </c>
      <c r="G360" s="5">
        <v>10</v>
      </c>
      <c r="H360" s="40">
        <f t="shared" si="51"/>
        <v>1.1005405405405406</v>
      </c>
      <c r="I360" s="41">
        <v>1378</v>
      </c>
      <c r="J360" s="33">
        <f t="shared" si="52"/>
        <v>125.27272727272727</v>
      </c>
      <c r="K360" s="33">
        <f t="shared" si="53"/>
        <v>137.9</v>
      </c>
      <c r="L360" s="33">
        <f t="shared" si="54"/>
        <v>12.627272727272739</v>
      </c>
      <c r="M360" s="33">
        <v>26.1</v>
      </c>
      <c r="N360" s="33">
        <f t="shared" si="55"/>
        <v>164</v>
      </c>
      <c r="O360" s="67"/>
      <c r="P360" s="67"/>
      <c r="Q360" s="68"/>
      <c r="R360" s="68"/>
      <c r="S360" s="33">
        <f t="shared" si="56"/>
        <v>164</v>
      </c>
      <c r="T360" s="33"/>
      <c r="U360" s="33">
        <f t="shared" si="57"/>
        <v>164</v>
      </c>
      <c r="V360" s="1"/>
      <c r="W360" s="60"/>
      <c r="X360" s="1"/>
      <c r="Y360" s="1"/>
      <c r="Z360" s="60"/>
      <c r="AA360" s="60"/>
    </row>
    <row r="361" spans="1:164" s="2" customFormat="1" ht="17.100000000000001" customHeight="1">
      <c r="A361" s="42" t="s">
        <v>337</v>
      </c>
      <c r="B361" s="56">
        <v>260.89999999999998</v>
      </c>
      <c r="C361" s="56">
        <v>152.4</v>
      </c>
      <c r="D361" s="4">
        <f t="shared" si="50"/>
        <v>0.5841318512840169</v>
      </c>
      <c r="E361" s="10">
        <v>15</v>
      </c>
      <c r="F361" s="5">
        <v>1</v>
      </c>
      <c r="G361" s="5">
        <v>10</v>
      </c>
      <c r="H361" s="40">
        <f t="shared" si="51"/>
        <v>0.75047911077041018</v>
      </c>
      <c r="I361" s="41">
        <v>1146</v>
      </c>
      <c r="J361" s="33">
        <f t="shared" si="52"/>
        <v>104.18181818181819</v>
      </c>
      <c r="K361" s="33">
        <f t="shared" si="53"/>
        <v>78.2</v>
      </c>
      <c r="L361" s="33">
        <f t="shared" si="54"/>
        <v>-25.981818181818184</v>
      </c>
      <c r="M361" s="33">
        <v>26.1</v>
      </c>
      <c r="N361" s="33">
        <f t="shared" si="55"/>
        <v>104.3</v>
      </c>
      <c r="O361" s="67"/>
      <c r="P361" s="67"/>
      <c r="Q361" s="68"/>
      <c r="R361" s="68"/>
      <c r="S361" s="33">
        <f t="shared" si="56"/>
        <v>104.3</v>
      </c>
      <c r="T361" s="33"/>
      <c r="U361" s="33">
        <f t="shared" si="57"/>
        <v>104.3</v>
      </c>
      <c r="V361" s="1"/>
      <c r="W361" s="60"/>
      <c r="X361" s="1"/>
      <c r="Y361" s="1"/>
      <c r="Z361" s="60"/>
      <c r="AA361" s="60"/>
    </row>
    <row r="362" spans="1:164" s="2" customFormat="1" ht="17.100000000000001" customHeight="1">
      <c r="A362" s="42" t="s">
        <v>338</v>
      </c>
      <c r="B362" s="56">
        <v>75.099999999999994</v>
      </c>
      <c r="C362" s="56">
        <v>149.19999999999999</v>
      </c>
      <c r="D362" s="4">
        <f t="shared" si="50"/>
        <v>1.2786684420772303</v>
      </c>
      <c r="E362" s="10">
        <v>15</v>
      </c>
      <c r="F362" s="5">
        <v>1</v>
      </c>
      <c r="G362" s="5">
        <v>10</v>
      </c>
      <c r="H362" s="40">
        <f t="shared" si="51"/>
        <v>1.1672010652463383</v>
      </c>
      <c r="I362" s="41">
        <v>1283</v>
      </c>
      <c r="J362" s="33">
        <f t="shared" si="52"/>
        <v>116.63636363636364</v>
      </c>
      <c r="K362" s="33">
        <f t="shared" si="53"/>
        <v>136.1</v>
      </c>
      <c r="L362" s="33">
        <f t="shared" si="54"/>
        <v>19.463636363636354</v>
      </c>
      <c r="M362" s="33">
        <v>18.100000000000001</v>
      </c>
      <c r="N362" s="33">
        <f t="shared" si="55"/>
        <v>154.19999999999999</v>
      </c>
      <c r="O362" s="67"/>
      <c r="P362" s="67"/>
      <c r="Q362" s="68"/>
      <c r="R362" s="68"/>
      <c r="S362" s="33">
        <f t="shared" si="56"/>
        <v>154.19999999999999</v>
      </c>
      <c r="T362" s="33"/>
      <c r="U362" s="33">
        <f t="shared" si="57"/>
        <v>154.19999999999999</v>
      </c>
      <c r="V362" s="1"/>
      <c r="W362" s="60"/>
      <c r="X362" s="1"/>
      <c r="Y362" s="1"/>
      <c r="Z362" s="60"/>
      <c r="AA362" s="60"/>
    </row>
    <row r="363" spans="1:164" s="2" customFormat="1" ht="17.100000000000001" customHeight="1">
      <c r="A363" s="42" t="s">
        <v>339</v>
      </c>
      <c r="B363" s="56">
        <v>250.7</v>
      </c>
      <c r="C363" s="56">
        <v>81.3</v>
      </c>
      <c r="D363" s="4">
        <f t="shared" si="50"/>
        <v>0.32429198244914242</v>
      </c>
      <c r="E363" s="10">
        <v>15</v>
      </c>
      <c r="F363" s="5">
        <v>1</v>
      </c>
      <c r="G363" s="5">
        <v>10</v>
      </c>
      <c r="H363" s="40">
        <f t="shared" si="51"/>
        <v>0.59457518946948551</v>
      </c>
      <c r="I363" s="41">
        <v>77</v>
      </c>
      <c r="J363" s="33">
        <f t="shared" si="52"/>
        <v>7</v>
      </c>
      <c r="K363" s="33">
        <f t="shared" si="53"/>
        <v>4.2</v>
      </c>
      <c r="L363" s="33">
        <f t="shared" si="54"/>
        <v>-2.8</v>
      </c>
      <c r="M363" s="33">
        <v>1.1000000000000001</v>
      </c>
      <c r="N363" s="33">
        <f t="shared" si="55"/>
        <v>5.3</v>
      </c>
      <c r="O363" s="67"/>
      <c r="P363" s="67"/>
      <c r="Q363" s="68"/>
      <c r="R363" s="68"/>
      <c r="S363" s="33">
        <f t="shared" si="56"/>
        <v>5.3</v>
      </c>
      <c r="T363" s="33">
        <f>MIN(S363,3.5)</f>
        <v>3.5</v>
      </c>
      <c r="U363" s="33">
        <f t="shared" si="57"/>
        <v>1.8</v>
      </c>
      <c r="V363" s="1"/>
      <c r="W363" s="60"/>
      <c r="X363" s="1"/>
      <c r="Y363" s="1"/>
      <c r="Z363" s="60"/>
      <c r="AA363" s="60"/>
    </row>
    <row r="364" spans="1:164" s="2" customFormat="1" ht="17.100000000000001" customHeight="1">
      <c r="A364" s="42" t="s">
        <v>340</v>
      </c>
      <c r="B364" s="56">
        <v>230.6</v>
      </c>
      <c r="C364" s="56">
        <v>138.80000000000001</v>
      </c>
      <c r="D364" s="4">
        <f t="shared" si="50"/>
        <v>0.60190806591500445</v>
      </c>
      <c r="E364" s="10">
        <v>15</v>
      </c>
      <c r="F364" s="5">
        <v>1</v>
      </c>
      <c r="G364" s="5">
        <v>10</v>
      </c>
      <c r="H364" s="40">
        <f t="shared" si="51"/>
        <v>0.76114483954900269</v>
      </c>
      <c r="I364" s="41">
        <v>1378</v>
      </c>
      <c r="J364" s="33">
        <f t="shared" si="52"/>
        <v>125.27272727272727</v>
      </c>
      <c r="K364" s="33">
        <f t="shared" si="53"/>
        <v>95.4</v>
      </c>
      <c r="L364" s="33">
        <f t="shared" si="54"/>
        <v>-29.872727272727261</v>
      </c>
      <c r="M364" s="33">
        <v>37.799999999999997</v>
      </c>
      <c r="N364" s="33">
        <f t="shared" si="55"/>
        <v>133.19999999999999</v>
      </c>
      <c r="O364" s="67"/>
      <c r="P364" s="67"/>
      <c r="Q364" s="68"/>
      <c r="R364" s="68"/>
      <c r="S364" s="33">
        <f t="shared" si="56"/>
        <v>133.19999999999999</v>
      </c>
      <c r="T364" s="33"/>
      <c r="U364" s="33">
        <f t="shared" si="57"/>
        <v>133.19999999999999</v>
      </c>
      <c r="V364" s="1"/>
      <c r="W364" s="60"/>
      <c r="X364" s="1"/>
      <c r="Y364" s="1"/>
      <c r="Z364" s="60"/>
      <c r="AA364" s="60"/>
    </row>
    <row r="365" spans="1:164" s="2" customFormat="1" ht="17.100000000000001" customHeight="1">
      <c r="A365" s="42" t="s">
        <v>341</v>
      </c>
      <c r="B365" s="56">
        <v>145.80000000000001</v>
      </c>
      <c r="C365" s="56">
        <v>50.6</v>
      </c>
      <c r="D365" s="4">
        <f t="shared" si="50"/>
        <v>0.34705075445816186</v>
      </c>
      <c r="E365" s="10">
        <v>15</v>
      </c>
      <c r="F365" s="5">
        <v>1</v>
      </c>
      <c r="G365" s="5">
        <v>10</v>
      </c>
      <c r="H365" s="40">
        <f t="shared" si="51"/>
        <v>0.60823045267489706</v>
      </c>
      <c r="I365" s="41">
        <v>1740</v>
      </c>
      <c r="J365" s="33">
        <f t="shared" si="52"/>
        <v>158.18181818181819</v>
      </c>
      <c r="K365" s="33">
        <f t="shared" si="53"/>
        <v>96.2</v>
      </c>
      <c r="L365" s="33">
        <f t="shared" si="54"/>
        <v>-61.981818181818184</v>
      </c>
      <c r="M365" s="33">
        <v>36.4</v>
      </c>
      <c r="N365" s="33">
        <f t="shared" si="55"/>
        <v>132.6</v>
      </c>
      <c r="O365" s="67"/>
      <c r="P365" s="67"/>
      <c r="Q365" s="68"/>
      <c r="R365" s="68"/>
      <c r="S365" s="33">
        <f t="shared" si="56"/>
        <v>132.6</v>
      </c>
      <c r="T365" s="33"/>
      <c r="U365" s="33">
        <f t="shared" si="57"/>
        <v>132.6</v>
      </c>
      <c r="V365" s="1"/>
      <c r="W365" s="60"/>
      <c r="X365" s="1"/>
      <c r="Y365" s="1"/>
      <c r="Z365" s="60"/>
      <c r="AA365" s="60"/>
    </row>
    <row r="366" spans="1:164" s="2" customFormat="1" ht="17.100000000000001" customHeight="1">
      <c r="A366" s="42" t="s">
        <v>342</v>
      </c>
      <c r="B366" s="56">
        <v>44.1</v>
      </c>
      <c r="C366" s="56">
        <v>25</v>
      </c>
      <c r="D366" s="4">
        <f t="shared" si="50"/>
        <v>0.56689342403628118</v>
      </c>
      <c r="E366" s="10">
        <v>15</v>
      </c>
      <c r="F366" s="5">
        <v>1</v>
      </c>
      <c r="G366" s="5">
        <v>10</v>
      </c>
      <c r="H366" s="40">
        <f t="shared" si="51"/>
        <v>0.74013605442176866</v>
      </c>
      <c r="I366" s="41">
        <v>1243</v>
      </c>
      <c r="J366" s="33">
        <f t="shared" si="52"/>
        <v>113</v>
      </c>
      <c r="K366" s="33">
        <f t="shared" si="53"/>
        <v>83.6</v>
      </c>
      <c r="L366" s="33">
        <f t="shared" si="54"/>
        <v>-29.400000000000006</v>
      </c>
      <c r="M366" s="33">
        <v>30.7</v>
      </c>
      <c r="N366" s="33">
        <f t="shared" si="55"/>
        <v>114.3</v>
      </c>
      <c r="O366" s="67"/>
      <c r="P366" s="67"/>
      <c r="Q366" s="68"/>
      <c r="R366" s="68"/>
      <c r="S366" s="33">
        <f t="shared" si="56"/>
        <v>114.3</v>
      </c>
      <c r="T366" s="33"/>
      <c r="U366" s="33">
        <f t="shared" si="57"/>
        <v>114.3</v>
      </c>
      <c r="V366" s="1"/>
      <c r="W366" s="60"/>
      <c r="X366" s="1"/>
      <c r="Y366" s="1"/>
      <c r="Z366" s="60"/>
      <c r="AA366" s="60"/>
    </row>
    <row r="367" spans="1:164" s="2" customFormat="1" ht="17.100000000000001" customHeight="1">
      <c r="A367" s="42" t="s">
        <v>343</v>
      </c>
      <c r="B367" s="56">
        <v>966.6</v>
      </c>
      <c r="C367" s="56">
        <v>1271</v>
      </c>
      <c r="D367" s="4">
        <f t="shared" si="50"/>
        <v>1.2114918270225532</v>
      </c>
      <c r="E367" s="10">
        <v>15</v>
      </c>
      <c r="F367" s="5">
        <v>1</v>
      </c>
      <c r="G367" s="5">
        <v>10</v>
      </c>
      <c r="H367" s="40">
        <f t="shared" si="51"/>
        <v>1.126895096213532</v>
      </c>
      <c r="I367" s="41">
        <v>1935</v>
      </c>
      <c r="J367" s="33">
        <f t="shared" si="52"/>
        <v>175.90909090909091</v>
      </c>
      <c r="K367" s="33">
        <f t="shared" si="53"/>
        <v>198.2</v>
      </c>
      <c r="L367" s="33">
        <f t="shared" si="54"/>
        <v>22.290909090909082</v>
      </c>
      <c r="M367" s="33">
        <v>38.1</v>
      </c>
      <c r="N367" s="33">
        <f t="shared" si="55"/>
        <v>236.3</v>
      </c>
      <c r="O367" s="67"/>
      <c r="P367" s="67"/>
      <c r="Q367" s="68"/>
      <c r="R367" s="68"/>
      <c r="S367" s="33">
        <f t="shared" si="56"/>
        <v>236.3</v>
      </c>
      <c r="T367" s="33"/>
      <c r="U367" s="33">
        <f t="shared" si="57"/>
        <v>236.3</v>
      </c>
      <c r="V367" s="1"/>
      <c r="W367" s="60"/>
      <c r="X367" s="1"/>
      <c r="Y367" s="1"/>
      <c r="Z367" s="60"/>
      <c r="AA367" s="60"/>
    </row>
    <row r="368" spans="1:164" s="2" customFormat="1" ht="17.100000000000001" customHeight="1">
      <c r="A368" s="17" t="s">
        <v>344</v>
      </c>
      <c r="B368" s="57"/>
      <c r="C368" s="57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33"/>
      <c r="V368" s="1"/>
      <c r="W368" s="60"/>
      <c r="X368" s="1"/>
      <c r="Y368" s="1"/>
      <c r="Z368" s="60"/>
      <c r="AA368" s="60"/>
    </row>
    <row r="369" spans="1:27" s="2" customFormat="1" ht="16.7" customHeight="1">
      <c r="A369" s="13" t="s">
        <v>345</v>
      </c>
      <c r="B369" s="56">
        <v>155.30000000000001</v>
      </c>
      <c r="C369" s="56">
        <v>87.2</v>
      </c>
      <c r="D369" s="4">
        <f t="shared" si="50"/>
        <v>0.56149388280746937</v>
      </c>
      <c r="E369" s="10">
        <v>15</v>
      </c>
      <c r="F369" s="5">
        <v>1</v>
      </c>
      <c r="G369" s="5">
        <v>10</v>
      </c>
      <c r="H369" s="40">
        <f t="shared" si="51"/>
        <v>0.73689632968448171</v>
      </c>
      <c r="I369" s="41">
        <v>2001</v>
      </c>
      <c r="J369" s="33">
        <f t="shared" si="52"/>
        <v>181.90909090909091</v>
      </c>
      <c r="K369" s="33">
        <f t="shared" si="53"/>
        <v>134</v>
      </c>
      <c r="L369" s="33">
        <f t="shared" si="54"/>
        <v>-47.909090909090907</v>
      </c>
      <c r="M369" s="33">
        <v>50.3</v>
      </c>
      <c r="N369" s="33">
        <f t="shared" si="55"/>
        <v>184.3</v>
      </c>
      <c r="O369" s="67"/>
      <c r="P369" s="67"/>
      <c r="Q369" s="68"/>
      <c r="R369" s="68"/>
      <c r="S369" s="33">
        <f t="shared" si="56"/>
        <v>184.3</v>
      </c>
      <c r="T369" s="33"/>
      <c r="U369" s="33">
        <f t="shared" si="57"/>
        <v>184.3</v>
      </c>
      <c r="V369" s="1"/>
      <c r="W369" s="60"/>
      <c r="X369" s="1"/>
      <c r="Y369" s="1"/>
      <c r="Z369" s="60"/>
      <c r="AA369" s="60"/>
    </row>
    <row r="370" spans="1:27" s="2" customFormat="1" ht="17.100000000000001" customHeight="1">
      <c r="A370" s="13" t="s">
        <v>346</v>
      </c>
      <c r="B370" s="56">
        <v>43.6</v>
      </c>
      <c r="C370" s="56">
        <v>162.6</v>
      </c>
      <c r="D370" s="4">
        <f t="shared" si="50"/>
        <v>1.3</v>
      </c>
      <c r="E370" s="10">
        <v>15</v>
      </c>
      <c r="F370" s="5">
        <v>1</v>
      </c>
      <c r="G370" s="5">
        <v>10</v>
      </c>
      <c r="H370" s="40">
        <f t="shared" si="51"/>
        <v>1.18</v>
      </c>
      <c r="I370" s="41">
        <v>1874</v>
      </c>
      <c r="J370" s="33">
        <f t="shared" si="52"/>
        <v>170.36363636363637</v>
      </c>
      <c r="K370" s="33">
        <f t="shared" si="53"/>
        <v>201</v>
      </c>
      <c r="L370" s="33">
        <f t="shared" si="54"/>
        <v>30.636363636363626</v>
      </c>
      <c r="M370" s="33">
        <v>53</v>
      </c>
      <c r="N370" s="33">
        <f t="shared" si="55"/>
        <v>254</v>
      </c>
      <c r="O370" s="67"/>
      <c r="P370" s="67"/>
      <c r="Q370" s="68"/>
      <c r="R370" s="68"/>
      <c r="S370" s="33">
        <f t="shared" si="56"/>
        <v>254</v>
      </c>
      <c r="T370" s="33"/>
      <c r="U370" s="33">
        <f t="shared" si="57"/>
        <v>254</v>
      </c>
      <c r="V370" s="1"/>
      <c r="W370" s="60"/>
      <c r="X370" s="1"/>
      <c r="Y370" s="1"/>
      <c r="Z370" s="60"/>
      <c r="AA370" s="60"/>
    </row>
    <row r="371" spans="1:27" s="2" customFormat="1" ht="17.100000000000001" customHeight="1">
      <c r="A371" s="42" t="s">
        <v>347</v>
      </c>
      <c r="B371" s="56">
        <v>2300</v>
      </c>
      <c r="C371" s="56">
        <v>5220.2</v>
      </c>
      <c r="D371" s="4">
        <f t="shared" si="50"/>
        <v>1.3</v>
      </c>
      <c r="E371" s="10">
        <v>15</v>
      </c>
      <c r="F371" s="5">
        <v>1</v>
      </c>
      <c r="G371" s="5">
        <v>10</v>
      </c>
      <c r="H371" s="40">
        <f t="shared" si="51"/>
        <v>1.18</v>
      </c>
      <c r="I371" s="41">
        <v>19</v>
      </c>
      <c r="J371" s="33">
        <f t="shared" si="52"/>
        <v>1.7272727272727273</v>
      </c>
      <c r="K371" s="33">
        <f t="shared" si="53"/>
        <v>2</v>
      </c>
      <c r="L371" s="33">
        <f t="shared" si="54"/>
        <v>0.27272727272727271</v>
      </c>
      <c r="M371" s="33">
        <v>0.3</v>
      </c>
      <c r="N371" s="33">
        <f t="shared" si="55"/>
        <v>2.2999999999999998</v>
      </c>
      <c r="O371" s="67"/>
      <c r="P371" s="67"/>
      <c r="Q371" s="68"/>
      <c r="R371" s="68"/>
      <c r="S371" s="33">
        <f t="shared" si="56"/>
        <v>2.2999999999999998</v>
      </c>
      <c r="T371" s="33"/>
      <c r="U371" s="33">
        <f t="shared" si="57"/>
        <v>2.2999999999999998</v>
      </c>
      <c r="V371" s="1"/>
      <c r="W371" s="60"/>
      <c r="X371" s="1"/>
      <c r="Y371" s="1"/>
      <c r="Z371" s="60"/>
      <c r="AA371" s="60"/>
    </row>
    <row r="372" spans="1:27" s="2" customFormat="1" ht="17.100000000000001" customHeight="1">
      <c r="A372" s="13" t="s">
        <v>348</v>
      </c>
      <c r="B372" s="56">
        <v>41.9</v>
      </c>
      <c r="C372" s="56">
        <v>86.7</v>
      </c>
      <c r="D372" s="4">
        <f t="shared" si="50"/>
        <v>1.2869212410501194</v>
      </c>
      <c r="E372" s="10">
        <v>15</v>
      </c>
      <c r="F372" s="5">
        <v>1</v>
      </c>
      <c r="G372" s="5">
        <v>10</v>
      </c>
      <c r="H372" s="40">
        <f t="shared" si="51"/>
        <v>1.1721527446300717</v>
      </c>
      <c r="I372" s="41">
        <v>3136</v>
      </c>
      <c r="J372" s="33">
        <f t="shared" si="52"/>
        <v>285.09090909090907</v>
      </c>
      <c r="K372" s="33">
        <f t="shared" si="53"/>
        <v>334.2</v>
      </c>
      <c r="L372" s="33">
        <f t="shared" si="54"/>
        <v>49.109090909090924</v>
      </c>
      <c r="M372" s="33">
        <v>85.2</v>
      </c>
      <c r="N372" s="33">
        <f>IF((K372+M372)&gt;0,ROUND(K372+M372,1),0)</f>
        <v>419.4</v>
      </c>
      <c r="O372" s="67"/>
      <c r="P372" s="67"/>
      <c r="Q372" s="68"/>
      <c r="R372" s="68"/>
      <c r="S372" s="33">
        <f t="shared" si="56"/>
        <v>419.4</v>
      </c>
      <c r="T372" s="33"/>
      <c r="U372" s="33">
        <f t="shared" si="57"/>
        <v>419.4</v>
      </c>
      <c r="V372" s="1"/>
      <c r="W372" s="60"/>
      <c r="X372" s="1"/>
      <c r="Y372" s="1"/>
      <c r="Z372" s="60"/>
      <c r="AA372" s="60"/>
    </row>
    <row r="373" spans="1:27" s="2" customFormat="1" ht="17.100000000000001" customHeight="1">
      <c r="A373" s="13" t="s">
        <v>349</v>
      </c>
      <c r="B373" s="56">
        <v>427.2</v>
      </c>
      <c r="C373" s="56">
        <v>363.4</v>
      </c>
      <c r="D373" s="4">
        <f t="shared" si="50"/>
        <v>0.85065543071161043</v>
      </c>
      <c r="E373" s="10">
        <v>15</v>
      </c>
      <c r="F373" s="5">
        <v>1</v>
      </c>
      <c r="G373" s="5">
        <v>10</v>
      </c>
      <c r="H373" s="40">
        <f t="shared" si="51"/>
        <v>0.91039325842696628</v>
      </c>
      <c r="I373" s="41">
        <v>2358</v>
      </c>
      <c r="J373" s="33">
        <f t="shared" si="52"/>
        <v>214.36363636363637</v>
      </c>
      <c r="K373" s="33">
        <f t="shared" si="53"/>
        <v>195.2</v>
      </c>
      <c r="L373" s="33">
        <f t="shared" si="54"/>
        <v>-19.163636363636385</v>
      </c>
      <c r="M373" s="33">
        <v>69.5</v>
      </c>
      <c r="N373" s="33">
        <f t="shared" si="55"/>
        <v>264.7</v>
      </c>
      <c r="O373" s="67"/>
      <c r="P373" s="67"/>
      <c r="Q373" s="68"/>
      <c r="R373" s="68"/>
      <c r="S373" s="33">
        <f t="shared" si="56"/>
        <v>264.7</v>
      </c>
      <c r="T373" s="33"/>
      <c r="U373" s="33">
        <f t="shared" si="57"/>
        <v>264.7</v>
      </c>
      <c r="V373" s="1"/>
      <c r="W373" s="60"/>
      <c r="X373" s="1"/>
      <c r="Y373" s="1"/>
      <c r="Z373" s="60"/>
      <c r="AA373" s="60"/>
    </row>
    <row r="374" spans="1:27" s="2" customFormat="1" ht="17.100000000000001" customHeight="1">
      <c r="A374" s="13" t="s">
        <v>350</v>
      </c>
      <c r="B374" s="56">
        <v>138</v>
      </c>
      <c r="C374" s="56">
        <v>116.4</v>
      </c>
      <c r="D374" s="4">
        <f t="shared" si="50"/>
        <v>0.84347826086956523</v>
      </c>
      <c r="E374" s="10">
        <v>15</v>
      </c>
      <c r="F374" s="5">
        <v>1</v>
      </c>
      <c r="G374" s="5">
        <v>10</v>
      </c>
      <c r="H374" s="40">
        <f t="shared" si="51"/>
        <v>0.9060869565217391</v>
      </c>
      <c r="I374" s="41">
        <v>2761</v>
      </c>
      <c r="J374" s="33">
        <f t="shared" si="52"/>
        <v>251</v>
      </c>
      <c r="K374" s="33">
        <f t="shared" si="53"/>
        <v>227.4</v>
      </c>
      <c r="L374" s="33">
        <f t="shared" si="54"/>
        <v>-23.599999999999994</v>
      </c>
      <c r="M374" s="33">
        <v>86.1</v>
      </c>
      <c r="N374" s="33">
        <f t="shared" si="55"/>
        <v>313.5</v>
      </c>
      <c r="O374" s="67"/>
      <c r="P374" s="67"/>
      <c r="Q374" s="68"/>
      <c r="R374" s="68"/>
      <c r="S374" s="33">
        <f t="shared" si="56"/>
        <v>313.5</v>
      </c>
      <c r="T374" s="33"/>
      <c r="U374" s="33">
        <f t="shared" si="57"/>
        <v>313.5</v>
      </c>
      <c r="V374" s="1"/>
      <c r="W374" s="60"/>
      <c r="X374" s="1"/>
      <c r="Y374" s="1"/>
      <c r="Z374" s="60"/>
      <c r="AA374" s="60"/>
    </row>
    <row r="375" spans="1:27" s="2" customFormat="1" ht="17.100000000000001" customHeight="1">
      <c r="A375" s="13" t="s">
        <v>351</v>
      </c>
      <c r="B375" s="56">
        <v>66.599999999999994</v>
      </c>
      <c r="C375" s="56">
        <v>65.8</v>
      </c>
      <c r="D375" s="4">
        <f t="shared" si="50"/>
        <v>0.98798798798798804</v>
      </c>
      <c r="E375" s="10">
        <v>15</v>
      </c>
      <c r="F375" s="5">
        <v>1</v>
      </c>
      <c r="G375" s="5">
        <v>10</v>
      </c>
      <c r="H375" s="40">
        <f t="shared" si="51"/>
        <v>0.99279279279279276</v>
      </c>
      <c r="I375" s="41">
        <v>1983</v>
      </c>
      <c r="J375" s="33">
        <f t="shared" si="52"/>
        <v>180.27272727272728</v>
      </c>
      <c r="K375" s="33">
        <f t="shared" si="53"/>
        <v>179</v>
      </c>
      <c r="L375" s="33">
        <f t="shared" si="54"/>
        <v>-1.2727272727272805</v>
      </c>
      <c r="M375" s="33">
        <v>40.5</v>
      </c>
      <c r="N375" s="33">
        <f t="shared" si="55"/>
        <v>219.5</v>
      </c>
      <c r="O375" s="67"/>
      <c r="P375" s="67"/>
      <c r="Q375" s="68"/>
      <c r="R375" s="68"/>
      <c r="S375" s="33">
        <f t="shared" si="56"/>
        <v>219.5</v>
      </c>
      <c r="T375" s="33"/>
      <c r="U375" s="33">
        <f t="shared" si="57"/>
        <v>219.5</v>
      </c>
      <c r="V375" s="1"/>
      <c r="W375" s="60"/>
      <c r="X375" s="1"/>
      <c r="Y375" s="1"/>
      <c r="Z375" s="60"/>
      <c r="AA375" s="60"/>
    </row>
    <row r="376" spans="1:27" s="2" customFormat="1" ht="17.100000000000001" customHeight="1">
      <c r="A376" s="13" t="s">
        <v>352</v>
      </c>
      <c r="B376" s="56">
        <v>81.7</v>
      </c>
      <c r="C376" s="56">
        <v>62.2</v>
      </c>
      <c r="D376" s="4">
        <f t="shared" si="50"/>
        <v>0.76132190942472466</v>
      </c>
      <c r="E376" s="10">
        <v>15</v>
      </c>
      <c r="F376" s="5">
        <v>1</v>
      </c>
      <c r="G376" s="5">
        <v>10</v>
      </c>
      <c r="H376" s="40">
        <f t="shared" si="51"/>
        <v>0.85679314565483478</v>
      </c>
      <c r="I376" s="41">
        <v>1590</v>
      </c>
      <c r="J376" s="33">
        <f t="shared" si="52"/>
        <v>144.54545454545453</v>
      </c>
      <c r="K376" s="33">
        <f t="shared" si="53"/>
        <v>123.8</v>
      </c>
      <c r="L376" s="33">
        <f t="shared" si="54"/>
        <v>-20.745454545454535</v>
      </c>
      <c r="M376" s="33">
        <v>43.9</v>
      </c>
      <c r="N376" s="33">
        <f t="shared" si="55"/>
        <v>167.7</v>
      </c>
      <c r="O376" s="67"/>
      <c r="P376" s="67"/>
      <c r="Q376" s="68"/>
      <c r="R376" s="68"/>
      <c r="S376" s="33">
        <f t="shared" si="56"/>
        <v>167.7</v>
      </c>
      <c r="T376" s="33"/>
      <c r="U376" s="33">
        <f t="shared" si="57"/>
        <v>167.7</v>
      </c>
      <c r="V376" s="1"/>
      <c r="W376" s="60"/>
      <c r="X376" s="1"/>
      <c r="Y376" s="1"/>
      <c r="Z376" s="60"/>
      <c r="AA376" s="60"/>
    </row>
    <row r="377" spans="1:27" s="2" customFormat="1" ht="17.100000000000001" customHeight="1">
      <c r="A377" s="13" t="s">
        <v>353</v>
      </c>
      <c r="B377" s="56">
        <v>37.4</v>
      </c>
      <c r="C377" s="56">
        <v>42.7</v>
      </c>
      <c r="D377" s="4">
        <f t="shared" si="50"/>
        <v>1.1417112299465242</v>
      </c>
      <c r="E377" s="10">
        <v>15</v>
      </c>
      <c r="F377" s="5">
        <v>1</v>
      </c>
      <c r="G377" s="5">
        <v>10</v>
      </c>
      <c r="H377" s="40">
        <f t="shared" si="51"/>
        <v>1.0850267379679146</v>
      </c>
      <c r="I377" s="41">
        <v>2411</v>
      </c>
      <c r="J377" s="33">
        <f t="shared" si="52"/>
        <v>219.18181818181819</v>
      </c>
      <c r="K377" s="33">
        <f t="shared" si="53"/>
        <v>237.8</v>
      </c>
      <c r="L377" s="33">
        <f t="shared" si="54"/>
        <v>18.618181818181824</v>
      </c>
      <c r="M377" s="33">
        <v>50.9</v>
      </c>
      <c r="N377" s="33">
        <f t="shared" si="55"/>
        <v>288.7</v>
      </c>
      <c r="O377" s="67"/>
      <c r="P377" s="67"/>
      <c r="Q377" s="68"/>
      <c r="R377" s="68"/>
      <c r="S377" s="33">
        <f t="shared" si="56"/>
        <v>288.7</v>
      </c>
      <c r="T377" s="33"/>
      <c r="U377" s="33">
        <f t="shared" si="57"/>
        <v>288.7</v>
      </c>
      <c r="V377" s="1"/>
      <c r="W377" s="60"/>
      <c r="X377" s="1"/>
      <c r="Y377" s="1"/>
      <c r="Z377" s="60"/>
      <c r="AA377" s="60"/>
    </row>
    <row r="378" spans="1:27" s="2" customFormat="1" ht="17.100000000000001" customHeight="1">
      <c r="A378" s="13" t="s">
        <v>354</v>
      </c>
      <c r="B378" s="56">
        <v>32.1</v>
      </c>
      <c r="C378" s="56">
        <v>30.9</v>
      </c>
      <c r="D378" s="4">
        <f t="shared" si="50"/>
        <v>0.96261682242990643</v>
      </c>
      <c r="E378" s="10">
        <v>15</v>
      </c>
      <c r="F378" s="5">
        <v>1</v>
      </c>
      <c r="G378" s="5">
        <v>10</v>
      </c>
      <c r="H378" s="40">
        <f t="shared" si="51"/>
        <v>0.97757009345794388</v>
      </c>
      <c r="I378" s="41">
        <v>1837</v>
      </c>
      <c r="J378" s="33">
        <f t="shared" si="52"/>
        <v>167</v>
      </c>
      <c r="K378" s="33">
        <f t="shared" si="53"/>
        <v>163.30000000000001</v>
      </c>
      <c r="L378" s="33">
        <f t="shared" si="54"/>
        <v>-3.6999999999999886</v>
      </c>
      <c r="M378" s="33">
        <v>55</v>
      </c>
      <c r="N378" s="33">
        <f t="shared" si="55"/>
        <v>218.3</v>
      </c>
      <c r="O378" s="67"/>
      <c r="P378" s="67"/>
      <c r="Q378" s="68"/>
      <c r="R378" s="68"/>
      <c r="S378" s="33">
        <f t="shared" si="56"/>
        <v>218.3</v>
      </c>
      <c r="T378" s="33"/>
      <c r="U378" s="33">
        <f t="shared" si="57"/>
        <v>218.3</v>
      </c>
      <c r="V378" s="1"/>
      <c r="W378" s="60"/>
      <c r="X378" s="1"/>
      <c r="Y378" s="1"/>
      <c r="Z378" s="60"/>
      <c r="AA378" s="60"/>
    </row>
    <row r="379" spans="1:27" s="2" customFormat="1" ht="17.100000000000001" customHeight="1">
      <c r="A379" s="13" t="s">
        <v>355</v>
      </c>
      <c r="B379" s="56">
        <v>201.1</v>
      </c>
      <c r="C379" s="56">
        <v>167.9</v>
      </c>
      <c r="D379" s="4">
        <f t="shared" ref="D379:D380" si="58">IF(E379=0,0,IF(B379=0,1,IF(C379&lt;0,0,IF(C379/B379&gt;1.2,IF((C379/B379-1.2)*0.1+1.2&gt;1.3,1.3,(C379/B379-1.2)*0.1+1.2),C379/B379))))</f>
        <v>0.83490800596718051</v>
      </c>
      <c r="E379" s="10">
        <v>15</v>
      </c>
      <c r="F379" s="5">
        <v>1</v>
      </c>
      <c r="G379" s="5">
        <v>10</v>
      </c>
      <c r="H379" s="40">
        <f t="shared" ref="H379:H380" si="59">(D379*E379+F379*G379)/(E379+G379)</f>
        <v>0.90094480358030837</v>
      </c>
      <c r="I379" s="41">
        <v>1771</v>
      </c>
      <c r="J379" s="33">
        <f t="shared" ref="J379:J380" si="60">I379/11</f>
        <v>161</v>
      </c>
      <c r="K379" s="33">
        <f t="shared" ref="K379" si="61">ROUND(H379*J379,1)</f>
        <v>145.1</v>
      </c>
      <c r="L379" s="33">
        <f t="shared" ref="L379:L380" si="62">K379-J379</f>
        <v>-15.900000000000006</v>
      </c>
      <c r="M379" s="33">
        <v>53.9</v>
      </c>
      <c r="N379" s="33">
        <f t="shared" ref="N379" si="63">IF((K379+M379)&gt;0,ROUND(K379+M379,1),0)</f>
        <v>199</v>
      </c>
      <c r="O379" s="67"/>
      <c r="P379" s="67"/>
      <c r="Q379" s="68"/>
      <c r="R379" s="68"/>
      <c r="S379" s="33">
        <f t="shared" ref="S379:S380" si="64">IF(OR(O379="+",P379="+",Q379="+",R379="+"),0,N379)</f>
        <v>199</v>
      </c>
      <c r="T379" s="33"/>
      <c r="U379" s="33">
        <f t="shared" ref="U379:U380" si="65">ROUND(S379-T379,1)</f>
        <v>199</v>
      </c>
      <c r="V379" s="1"/>
      <c r="W379" s="60"/>
      <c r="X379" s="1"/>
      <c r="Y379" s="1"/>
      <c r="Z379" s="60"/>
      <c r="AA379" s="60"/>
    </row>
    <row r="380" spans="1:27" s="2" customFormat="1" ht="17.100000000000001" customHeight="1">
      <c r="A380" s="13" t="s">
        <v>356</v>
      </c>
      <c r="B380" s="56">
        <v>915.4</v>
      </c>
      <c r="C380" s="56">
        <v>1141.9000000000001</v>
      </c>
      <c r="D380" s="4">
        <f t="shared" si="58"/>
        <v>1.2047432816255188</v>
      </c>
      <c r="E380" s="10">
        <v>15</v>
      </c>
      <c r="F380" s="5">
        <v>1</v>
      </c>
      <c r="G380" s="5">
        <v>10</v>
      </c>
      <c r="H380" s="40">
        <f t="shared" si="59"/>
        <v>1.1228459689753114</v>
      </c>
      <c r="I380" s="41">
        <v>1144</v>
      </c>
      <c r="J380" s="33">
        <f t="shared" si="60"/>
        <v>104</v>
      </c>
      <c r="K380" s="33">
        <f>ROUND(H380*J380,1)</f>
        <v>116.8</v>
      </c>
      <c r="L380" s="33">
        <f t="shared" si="62"/>
        <v>12.799999999999997</v>
      </c>
      <c r="M380" s="33">
        <v>28.9</v>
      </c>
      <c r="N380" s="33">
        <f>IF((K380+M380)&gt;0,ROUND(K380+M380,1),0)</f>
        <v>145.69999999999999</v>
      </c>
      <c r="O380" s="67"/>
      <c r="P380" s="67"/>
      <c r="Q380" s="68"/>
      <c r="R380" s="68"/>
      <c r="S380" s="33">
        <f t="shared" si="64"/>
        <v>145.69999999999999</v>
      </c>
      <c r="T380" s="33"/>
      <c r="U380" s="33">
        <f t="shared" si="65"/>
        <v>145.69999999999999</v>
      </c>
      <c r="V380" s="1"/>
      <c r="W380" s="60"/>
      <c r="X380" s="1"/>
      <c r="Y380" s="1"/>
      <c r="Z380" s="60"/>
      <c r="AA380" s="60"/>
    </row>
    <row r="381" spans="1:27" s="37" customFormat="1" ht="17.100000000000001" customHeight="1">
      <c r="A381" s="36" t="s">
        <v>364</v>
      </c>
      <c r="B381" s="58">
        <f>B8+B29</f>
        <v>3380944.3</v>
      </c>
      <c r="C381" s="58">
        <f>C8+C29</f>
        <v>3393298.9000000004</v>
      </c>
      <c r="D381" s="39">
        <f>IF(C381/B381&gt;1.2,IF((C381/B381-1.2)*0.1+1.2&gt;1.3,1.3,(C381/B381-1.2)*0.1+1.2),C381/B381)</f>
        <v>1.0036541861988086</v>
      </c>
      <c r="E381" s="36"/>
      <c r="F381" s="36"/>
      <c r="G381" s="36"/>
      <c r="H381" s="36"/>
      <c r="I381" s="70">
        <f t="shared" ref="I381:N381" si="66">SUM(I9:I380)-I19-I29-I57</f>
        <v>3257930</v>
      </c>
      <c r="J381" s="38">
        <f t="shared" si="66"/>
        <v>296175.45454545517</v>
      </c>
      <c r="K381" s="38">
        <f t="shared" si="66"/>
        <v>289251.00000000006</v>
      </c>
      <c r="L381" s="38">
        <f t="shared" si="66"/>
        <v>-6924.4545454545523</v>
      </c>
      <c r="M381" s="38">
        <f t="shared" si="66"/>
        <v>55688.999999999942</v>
      </c>
      <c r="N381" s="38">
        <f t="shared" si="66"/>
        <v>344944.09999999986</v>
      </c>
      <c r="O381" s="62">
        <f>COUNTIF(O9:O380,"+")</f>
        <v>0</v>
      </c>
      <c r="P381" s="62">
        <f t="shared" ref="P381:Q381" si="67">COUNTIF(P9:P380,"+")</f>
        <v>0</v>
      </c>
      <c r="Q381" s="62">
        <f t="shared" si="67"/>
        <v>0</v>
      </c>
      <c r="R381" s="62">
        <f>COUNTIF(R9:R380,"+")</f>
        <v>1</v>
      </c>
      <c r="S381" s="38">
        <f>SUM(S9:S380)-S19-S29-S57</f>
        <v>337508.1999999999</v>
      </c>
      <c r="T381" s="38">
        <f>SUM(T9:T380)-T19-T29-T57</f>
        <v>15843.3</v>
      </c>
      <c r="U381" s="38">
        <f t="shared" ref="U381" si="68">SUM(U9:U380)-U19-U29-U57</f>
        <v>321664.90000000008</v>
      </c>
      <c r="V381" s="1"/>
      <c r="W381" s="60"/>
      <c r="X381" s="1"/>
      <c r="Y381" s="1"/>
      <c r="Z381" s="1"/>
    </row>
    <row r="382" spans="1:27" ht="21" customHeight="1"/>
    <row r="383" spans="1:27" ht="17.25" customHeight="1">
      <c r="A383" s="65" t="s">
        <v>396</v>
      </c>
      <c r="B383" s="64"/>
      <c r="C383" s="75" t="s">
        <v>399</v>
      </c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</row>
    <row r="384" spans="1:27" ht="17.25" customHeight="1">
      <c r="B384" s="66" t="s">
        <v>397</v>
      </c>
      <c r="C384" s="75" t="s">
        <v>398</v>
      </c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</row>
    <row r="386" ht="15" customHeight="1"/>
  </sheetData>
  <mergeCells count="21">
    <mergeCell ref="T3:T6"/>
    <mergeCell ref="U3:U6"/>
    <mergeCell ref="A1:U1"/>
    <mergeCell ref="S3:S6"/>
    <mergeCell ref="A3:A6"/>
    <mergeCell ref="I3:I6"/>
    <mergeCell ref="L3:L6"/>
    <mergeCell ref="K3:K6"/>
    <mergeCell ref="H3:H6"/>
    <mergeCell ref="J3:J6"/>
    <mergeCell ref="O3:R3"/>
    <mergeCell ref="O6:Q6"/>
    <mergeCell ref="O4:P4"/>
    <mergeCell ref="Q4:Q5"/>
    <mergeCell ref="M3:M6"/>
    <mergeCell ref="N3:N6"/>
    <mergeCell ref="R5:R6"/>
    <mergeCell ref="B3:E5"/>
    <mergeCell ref="F3:G5"/>
    <mergeCell ref="C384:S384"/>
    <mergeCell ref="C383:S383"/>
  </mergeCells>
  <printOptions horizontalCentered="1"/>
  <pageMargins left="0.15748031496062992" right="0.15748031496062992" top="0.35433070866141736" bottom="0.35433070866141736" header="0.15748031496062992" footer="0.15748031496062992"/>
  <pageSetup paperSize="8" scale="62" fitToHeight="0" pageOrder="overThenDown" orientation="landscape" r:id="rId1"/>
  <headerFooter differentFirst="1" alignWithMargins="0">
    <oddFooter>&amp;R&amp;P</oddFooter>
  </headerFooter>
  <colBreaks count="1" manualBreakCount="1">
    <brk id="21" max="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ColWidth="9.140625" defaultRowHeight="12.75"/>
  <cols>
    <col min="1" max="1" width="39.140625" style="22" customWidth="1"/>
    <col min="2" max="3" width="10.7109375" style="22" customWidth="1"/>
    <col min="4" max="4" width="11.28515625" style="22" customWidth="1"/>
    <col min="5" max="5" width="15.42578125" style="22" customWidth="1"/>
    <col min="6" max="6" width="10.7109375" style="22" customWidth="1"/>
    <col min="7" max="7" width="11.7109375" style="22" customWidth="1"/>
    <col min="8" max="8" width="15.28515625" style="22" customWidth="1"/>
    <col min="9" max="9" width="8.28515625" style="22" customWidth="1"/>
    <col min="10" max="10" width="63.7109375" style="22" customWidth="1"/>
    <col min="11" max="16384" width="9.140625" style="22"/>
  </cols>
  <sheetData>
    <row r="1" spans="1:9" ht="15.75">
      <c r="A1" s="80" t="s">
        <v>409</v>
      </c>
      <c r="B1" s="80"/>
      <c r="C1" s="80"/>
      <c r="D1" s="80"/>
      <c r="E1" s="80"/>
      <c r="F1" s="80"/>
      <c r="G1" s="80"/>
      <c r="H1" s="80"/>
      <c r="I1" s="80"/>
    </row>
    <row r="2" spans="1:9" ht="15.6" customHeight="1">
      <c r="A2" s="61"/>
      <c r="B2" s="61"/>
      <c r="C2" s="61"/>
      <c r="D2" s="61"/>
      <c r="E2" s="61"/>
      <c r="F2" s="61"/>
      <c r="G2" s="61"/>
      <c r="H2" s="61"/>
      <c r="I2" s="63" t="s">
        <v>369</v>
      </c>
    </row>
    <row r="3" spans="1:9" ht="192" customHeight="1">
      <c r="A3" s="81" t="s">
        <v>15</v>
      </c>
      <c r="B3" s="82" t="s">
        <v>359</v>
      </c>
      <c r="C3" s="84" t="s">
        <v>389</v>
      </c>
      <c r="D3" s="85"/>
      <c r="E3" s="86"/>
      <c r="F3" s="87" t="s">
        <v>390</v>
      </c>
      <c r="G3" s="87"/>
      <c r="H3" s="87"/>
      <c r="I3" s="83" t="s">
        <v>362</v>
      </c>
    </row>
    <row r="4" spans="1:9" ht="32.1" customHeight="1">
      <c r="A4" s="81"/>
      <c r="B4" s="82"/>
      <c r="C4" s="23" t="s">
        <v>360</v>
      </c>
      <c r="D4" s="23" t="s">
        <v>361</v>
      </c>
      <c r="E4" s="69" t="s">
        <v>401</v>
      </c>
      <c r="F4" s="23" t="s">
        <v>360</v>
      </c>
      <c r="G4" s="23" t="s">
        <v>361</v>
      </c>
      <c r="H4" s="69" t="s">
        <v>402</v>
      </c>
      <c r="I4" s="83"/>
    </row>
    <row r="5" spans="1:9">
      <c r="A5" s="24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</row>
    <row r="6" spans="1:9" ht="15" customHeight="1">
      <c r="A6" s="25" t="s">
        <v>4</v>
      </c>
      <c r="B6" s="46">
        <f>'Расчет субсидий'!L8</f>
        <v>-2616.3636363636315</v>
      </c>
      <c r="C6" s="46"/>
      <c r="D6" s="46"/>
      <c r="E6" s="46">
        <f>SUM(E7:E16)</f>
        <v>-2616.3636363636315</v>
      </c>
      <c r="F6" s="46"/>
      <c r="G6" s="46"/>
      <c r="H6" s="46">
        <f>SUM(H7:H16)</f>
        <v>0</v>
      </c>
      <c r="I6" s="46"/>
    </row>
    <row r="7" spans="1:9" ht="15" customHeight="1">
      <c r="A7" s="26" t="s">
        <v>5</v>
      </c>
      <c r="B7" s="47">
        <f>'Расчет субсидий'!L9</f>
        <v>663.70000000000073</v>
      </c>
      <c r="C7" s="54">
        <f>'Расчет субсидий'!D9-1</f>
        <v>4.3148399245438895E-2</v>
      </c>
      <c r="D7" s="54">
        <f>C7*'Расчет субсидий'!E9</f>
        <v>0.86296798490877791</v>
      </c>
      <c r="E7" s="50">
        <f t="shared" ref="E7:E16" si="0">$B7*D7/$I7</f>
        <v>663.70000000000073</v>
      </c>
      <c r="F7" s="54">
        <f>'Расчет субсидий'!F9-1</f>
        <v>0</v>
      </c>
      <c r="G7" s="54">
        <f>F7*'Расчет субсидий'!G9</f>
        <v>0</v>
      </c>
      <c r="H7" s="50">
        <f t="shared" ref="H7:H16" si="1">$B7*G7/$I7</f>
        <v>0</v>
      </c>
      <c r="I7" s="49">
        <f>D7+G7</f>
        <v>0.86296798490877791</v>
      </c>
    </row>
    <row r="8" spans="1:9" ht="15" customHeight="1">
      <c r="A8" s="26" t="s">
        <v>6</v>
      </c>
      <c r="B8" s="47">
        <f>'Расчет субсидий'!L10</f>
        <v>-2989.9090909090883</v>
      </c>
      <c r="C8" s="54">
        <f>'Расчет субсидий'!D10-1</f>
        <v>-8.0751683723089496E-2</v>
      </c>
      <c r="D8" s="54">
        <f>C8*'Расчет субсидий'!E10</f>
        <v>-1.6150336744617899</v>
      </c>
      <c r="E8" s="50">
        <f t="shared" si="0"/>
        <v>-2989.9090909090883</v>
      </c>
      <c r="F8" s="54">
        <f>'Расчет субсидий'!F10-1</f>
        <v>0</v>
      </c>
      <c r="G8" s="54">
        <f>F8*'Расчет субсидий'!G10</f>
        <v>0</v>
      </c>
      <c r="H8" s="50">
        <f t="shared" si="1"/>
        <v>0</v>
      </c>
      <c r="I8" s="49">
        <f t="shared" ref="I8:I54" si="2">D8+G8</f>
        <v>-1.6150336744617899</v>
      </c>
    </row>
    <row r="9" spans="1:9" ht="15" customHeight="1">
      <c r="A9" s="26" t="s">
        <v>7</v>
      </c>
      <c r="B9" s="47">
        <f>'Расчет субсидий'!L11</f>
        <v>167.73636363636433</v>
      </c>
      <c r="C9" s="54">
        <f>'Расчет субсидий'!D11-1</f>
        <v>1.9260979703764614E-2</v>
      </c>
      <c r="D9" s="54">
        <f>C9*'Расчет субсидий'!E11</f>
        <v>0.38521959407529227</v>
      </c>
      <c r="E9" s="50">
        <f t="shared" si="0"/>
        <v>167.73636363636433</v>
      </c>
      <c r="F9" s="54">
        <f>'Расчет субсидий'!F11-1</f>
        <v>0</v>
      </c>
      <c r="G9" s="54">
        <f>F9*'Расчет субсидий'!G11</f>
        <v>0</v>
      </c>
      <c r="H9" s="50">
        <f t="shared" si="1"/>
        <v>0</v>
      </c>
      <c r="I9" s="49">
        <f t="shared" si="2"/>
        <v>0.38521959407529227</v>
      </c>
    </row>
    <row r="10" spans="1:9" ht="15" customHeight="1">
      <c r="A10" s="26" t="s">
        <v>8</v>
      </c>
      <c r="B10" s="47">
        <f>'Расчет субсидий'!L12</f>
        <v>421.80909090909063</v>
      </c>
      <c r="C10" s="54">
        <f>'Расчет субсидий'!D12-1</f>
        <v>0.11271929613577014</v>
      </c>
      <c r="D10" s="54">
        <f>C10*'Расчет субсидий'!E12</f>
        <v>2.2543859227154028</v>
      </c>
      <c r="E10" s="50">
        <f t="shared" si="0"/>
        <v>421.80909090909063</v>
      </c>
      <c r="F10" s="54">
        <f>'Расчет субсидий'!F12-1</f>
        <v>0</v>
      </c>
      <c r="G10" s="54">
        <f>F10*'Расчет субсидий'!G12</f>
        <v>0</v>
      </c>
      <c r="H10" s="50">
        <f t="shared" si="1"/>
        <v>0</v>
      </c>
      <c r="I10" s="49">
        <f t="shared" si="2"/>
        <v>2.2543859227154028</v>
      </c>
    </row>
    <row r="11" spans="1:9" ht="15" customHeight="1">
      <c r="A11" s="26" t="s">
        <v>9</v>
      </c>
      <c r="B11" s="47">
        <f>'Расчет субсидий'!L13</f>
        <v>775.64545454545441</v>
      </c>
      <c r="C11" s="54">
        <f>'Расчет субсидий'!D13-1</f>
        <v>0.10802072251260464</v>
      </c>
      <c r="D11" s="54">
        <f>C11*'Расчет субсидий'!E13</f>
        <v>2.1604144502520928</v>
      </c>
      <c r="E11" s="50">
        <f t="shared" si="0"/>
        <v>775.64545454545441</v>
      </c>
      <c r="F11" s="54">
        <f>'Расчет субсидий'!F13-1</f>
        <v>0</v>
      </c>
      <c r="G11" s="54">
        <f>F11*'Расчет субсидий'!G13</f>
        <v>0</v>
      </c>
      <c r="H11" s="50">
        <f t="shared" si="1"/>
        <v>0</v>
      </c>
      <c r="I11" s="49">
        <f t="shared" si="2"/>
        <v>2.1604144502520928</v>
      </c>
    </row>
    <row r="12" spans="1:9" ht="15" customHeight="1">
      <c r="A12" s="26" t="s">
        <v>10</v>
      </c>
      <c r="B12" s="47">
        <f>'Расчет субсидий'!L14</f>
        <v>-137.5181818181818</v>
      </c>
      <c r="C12" s="54">
        <f>'Расчет субсидий'!D14-1</f>
        <v>-5.3799878988904259E-2</v>
      </c>
      <c r="D12" s="54">
        <f>C12*'Расчет субсидий'!E14</f>
        <v>-1.0759975797780852</v>
      </c>
      <c r="E12" s="50">
        <f t="shared" si="0"/>
        <v>-137.5181818181818</v>
      </c>
      <c r="F12" s="54">
        <f>'Расчет субсидий'!F14-1</f>
        <v>0</v>
      </c>
      <c r="G12" s="54">
        <f>F12*'Расчет субсидий'!G14</f>
        <v>0</v>
      </c>
      <c r="H12" s="50">
        <f t="shared" si="1"/>
        <v>0</v>
      </c>
      <c r="I12" s="49">
        <f t="shared" si="2"/>
        <v>-1.0759975797780852</v>
      </c>
    </row>
    <row r="13" spans="1:9" ht="15" customHeight="1">
      <c r="A13" s="26" t="s">
        <v>11</v>
      </c>
      <c r="B13" s="47">
        <f>'Расчет субсидий'!L15</f>
        <v>-530.64545454545441</v>
      </c>
      <c r="C13" s="54">
        <f>'Расчет субсидий'!D15-1</f>
        <v>-8.4677563735319428E-2</v>
      </c>
      <c r="D13" s="54">
        <f>C13*'Расчет субсидий'!E15</f>
        <v>-1.6935512747063886</v>
      </c>
      <c r="E13" s="50">
        <f t="shared" si="0"/>
        <v>-530.64545454545441</v>
      </c>
      <c r="F13" s="54">
        <f>'Расчет субсидий'!F15-1</f>
        <v>0</v>
      </c>
      <c r="G13" s="54">
        <f>F13*'Расчет субсидий'!G15</f>
        <v>0</v>
      </c>
      <c r="H13" s="50">
        <f t="shared" si="1"/>
        <v>0</v>
      </c>
      <c r="I13" s="49">
        <f t="shared" si="2"/>
        <v>-1.6935512747063886</v>
      </c>
    </row>
    <row r="14" spans="1:9" ht="15" customHeight="1">
      <c r="A14" s="26" t="s">
        <v>12</v>
      </c>
      <c r="B14" s="47">
        <f>'Расчет субсидий'!L16</f>
        <v>118.33636363636379</v>
      </c>
      <c r="C14" s="54">
        <f>'Расчет субсидий'!D16-1</f>
        <v>2.8622804832482363E-2</v>
      </c>
      <c r="D14" s="54">
        <f>C14*'Расчет субсидий'!E16</f>
        <v>0.57245609664964725</v>
      </c>
      <c r="E14" s="50">
        <f t="shared" si="0"/>
        <v>118.33636363636379</v>
      </c>
      <c r="F14" s="54">
        <f>'Расчет субсидий'!F16-1</f>
        <v>0</v>
      </c>
      <c r="G14" s="54">
        <f>F14*'Расчет субсидий'!G16</f>
        <v>0</v>
      </c>
      <c r="H14" s="50">
        <f t="shared" si="1"/>
        <v>0</v>
      </c>
      <c r="I14" s="49">
        <f t="shared" si="2"/>
        <v>0.57245609664964725</v>
      </c>
    </row>
    <row r="15" spans="1:9" ht="15" customHeight="1">
      <c r="A15" s="26" t="s">
        <v>13</v>
      </c>
      <c r="B15" s="47">
        <f>'Расчет субсидий'!L17</f>
        <v>-494.1272727272717</v>
      </c>
      <c r="C15" s="54">
        <f>'Расчет субсидий'!D17-1</f>
        <v>-8.3295342989872623E-2</v>
      </c>
      <c r="D15" s="54">
        <f>C15*'Расчет субсидий'!E17</f>
        <v>-1.6659068597974525</v>
      </c>
      <c r="E15" s="50">
        <f t="shared" si="0"/>
        <v>-494.1272727272717</v>
      </c>
      <c r="F15" s="54">
        <f>'Расчет субсидий'!F17-1</f>
        <v>0</v>
      </c>
      <c r="G15" s="54">
        <f>F15*'Расчет субсидий'!G17</f>
        <v>0</v>
      </c>
      <c r="H15" s="50">
        <f t="shared" si="1"/>
        <v>0</v>
      </c>
      <c r="I15" s="49">
        <f t="shared" si="2"/>
        <v>-1.6659068597974525</v>
      </c>
    </row>
    <row r="16" spans="1:9" ht="15" customHeight="1">
      <c r="A16" s="26" t="s">
        <v>14</v>
      </c>
      <c r="B16" s="47">
        <f>'Расчет субсидий'!L18</f>
        <v>-611.39090909090919</v>
      </c>
      <c r="C16" s="54">
        <f>'Расчет субсидий'!D18-1</f>
        <v>-0.19061210523137628</v>
      </c>
      <c r="D16" s="54">
        <f>C16*'Расчет субсидий'!E18</f>
        <v>-3.8122421046275257</v>
      </c>
      <c r="E16" s="50">
        <f t="shared" si="0"/>
        <v>-611.39090909090919</v>
      </c>
      <c r="F16" s="54">
        <f>'Расчет субсидий'!F18-1</f>
        <v>0</v>
      </c>
      <c r="G16" s="54">
        <f>F16*'Расчет субсидий'!G18</f>
        <v>0</v>
      </c>
      <c r="H16" s="50">
        <f t="shared" si="1"/>
        <v>0</v>
      </c>
      <c r="I16" s="49">
        <f t="shared" si="2"/>
        <v>-3.8122421046275257</v>
      </c>
    </row>
    <row r="17" spans="1:9" ht="15" customHeight="1">
      <c r="A17" s="25" t="s">
        <v>372</v>
      </c>
      <c r="B17" s="46">
        <f>SUM(B18:B26)</f>
        <v>5.7818181818181813</v>
      </c>
      <c r="C17" s="46"/>
      <c r="D17" s="46"/>
      <c r="E17" s="46">
        <f>SUM(E18:E26)</f>
        <v>5.7818181818181813</v>
      </c>
      <c r="F17" s="46"/>
      <c r="G17" s="46"/>
      <c r="H17" s="46">
        <f>SUM(H18:H26)</f>
        <v>0</v>
      </c>
      <c r="I17" s="46"/>
    </row>
    <row r="18" spans="1:9" ht="15" customHeight="1">
      <c r="A18" s="28" t="s">
        <v>373</v>
      </c>
      <c r="B18" s="47">
        <f>'Расчет субсидий'!L20</f>
        <v>0</v>
      </c>
      <c r="C18" s="54">
        <f>'Расчет субсидий'!D20-1</f>
        <v>-0.12042476276547676</v>
      </c>
      <c r="D18" s="54">
        <f>C18*'Расчет субсидий'!E20</f>
        <v>-2.4084952553095351</v>
      </c>
      <c r="E18" s="50">
        <f t="shared" ref="E18:E26" si="3">$B18*D18/$I18</f>
        <v>0</v>
      </c>
      <c r="F18" s="54">
        <f>'Расчет субсидий'!F20-1</f>
        <v>0</v>
      </c>
      <c r="G18" s="54">
        <f>F18*'Расчет субсидий'!G20</f>
        <v>0</v>
      </c>
      <c r="H18" s="50">
        <f t="shared" ref="H18:H26" si="4">$B18*G18/$I18</f>
        <v>0</v>
      </c>
      <c r="I18" s="49">
        <f t="shared" si="2"/>
        <v>-2.4084952553095351</v>
      </c>
    </row>
    <row r="19" spans="1:9" ht="15" customHeight="1">
      <c r="A19" s="28" t="s">
        <v>374</v>
      </c>
      <c r="B19" s="47">
        <f>'Расчет субсидий'!L21</f>
        <v>0</v>
      </c>
      <c r="C19" s="54">
        <f>'Расчет субсидий'!D21-1</f>
        <v>7.5748102794066963E-2</v>
      </c>
      <c r="D19" s="54">
        <f>C19*'Расчет субсидий'!E21</f>
        <v>1.5149620558813393</v>
      </c>
      <c r="E19" s="50">
        <f t="shared" si="3"/>
        <v>0</v>
      </c>
      <c r="F19" s="54">
        <f>'Расчет субсидий'!F21-1</f>
        <v>0</v>
      </c>
      <c r="G19" s="54">
        <f>F19*'Расчет субсидий'!G21</f>
        <v>0</v>
      </c>
      <c r="H19" s="50">
        <f t="shared" si="4"/>
        <v>0</v>
      </c>
      <c r="I19" s="49">
        <f t="shared" si="2"/>
        <v>1.5149620558813393</v>
      </c>
    </row>
    <row r="20" spans="1:9" ht="15" customHeight="1">
      <c r="A20" s="28" t="s">
        <v>375</v>
      </c>
      <c r="B20" s="47">
        <f>'Расчет субсидий'!L22</f>
        <v>0</v>
      </c>
      <c r="C20" s="54">
        <f>'Расчет субсидий'!D22-1</f>
        <v>0.22072593402168583</v>
      </c>
      <c r="D20" s="54">
        <f>C20*'Расчет субсидий'!E22</f>
        <v>4.4145186804337166</v>
      </c>
      <c r="E20" s="50">
        <f t="shared" si="3"/>
        <v>0</v>
      </c>
      <c r="F20" s="54">
        <f>'Расчет субсидий'!F22-1</f>
        <v>0</v>
      </c>
      <c r="G20" s="54">
        <f>F20*'Расчет субсидий'!G22</f>
        <v>0</v>
      </c>
      <c r="H20" s="50">
        <f t="shared" si="4"/>
        <v>0</v>
      </c>
      <c r="I20" s="49">
        <f t="shared" si="2"/>
        <v>4.4145186804337166</v>
      </c>
    </row>
    <row r="21" spans="1:9" ht="15" customHeight="1">
      <c r="A21" s="28" t="s">
        <v>376</v>
      </c>
      <c r="B21" s="47">
        <f>'Расчет субсидий'!L23</f>
        <v>0</v>
      </c>
      <c r="C21" s="54">
        <f>'Расчет субсидий'!D23-1</f>
        <v>7.1679151921810291E-2</v>
      </c>
      <c r="D21" s="54">
        <f>C21*'Расчет субсидий'!E23</f>
        <v>1.4335830384362058</v>
      </c>
      <c r="E21" s="50">
        <f t="shared" si="3"/>
        <v>0</v>
      </c>
      <c r="F21" s="54">
        <f>'Расчет субсидий'!F23-1</f>
        <v>0</v>
      </c>
      <c r="G21" s="54">
        <f>F21*'Расчет субсидий'!G23</f>
        <v>0</v>
      </c>
      <c r="H21" s="50">
        <f t="shared" si="4"/>
        <v>0</v>
      </c>
      <c r="I21" s="49">
        <f t="shared" si="2"/>
        <v>1.4335830384362058</v>
      </c>
    </row>
    <row r="22" spans="1:9" ht="15" customHeight="1">
      <c r="A22" s="28" t="s">
        <v>377</v>
      </c>
      <c r="B22" s="47">
        <f>'Расчет субсидий'!L24</f>
        <v>0</v>
      </c>
      <c r="C22" s="54">
        <f>'Расчет субсидий'!D24-1</f>
        <v>0.10465930986162197</v>
      </c>
      <c r="D22" s="54">
        <f>C22*'Расчет субсидий'!E24</f>
        <v>2.0931861972324395</v>
      </c>
      <c r="E22" s="50">
        <f t="shared" si="3"/>
        <v>0</v>
      </c>
      <c r="F22" s="54">
        <f>'Расчет субсидий'!F24-1</f>
        <v>0</v>
      </c>
      <c r="G22" s="54">
        <f>F22*'Расчет субсидий'!G24</f>
        <v>0</v>
      </c>
      <c r="H22" s="50">
        <f t="shared" si="4"/>
        <v>0</v>
      </c>
      <c r="I22" s="49">
        <f t="shared" si="2"/>
        <v>2.0931861972324395</v>
      </c>
    </row>
    <row r="23" spans="1:9" ht="15" customHeight="1">
      <c r="A23" s="28" t="s">
        <v>378</v>
      </c>
      <c r="B23" s="47">
        <f>'Расчет субсидий'!L25</f>
        <v>0</v>
      </c>
      <c r="C23" s="54">
        <f>'Расчет субсидий'!D25-1</f>
        <v>5.8540648003868601E-2</v>
      </c>
      <c r="D23" s="54">
        <f>C23*'Расчет субсидий'!E25</f>
        <v>1.170812960077372</v>
      </c>
      <c r="E23" s="50">
        <f t="shared" si="3"/>
        <v>0</v>
      </c>
      <c r="F23" s="54">
        <f>'Расчет субсидий'!F25-1</f>
        <v>0</v>
      </c>
      <c r="G23" s="54">
        <f>F23*'Расчет субсидий'!G25</f>
        <v>0</v>
      </c>
      <c r="H23" s="50">
        <f t="shared" si="4"/>
        <v>0</v>
      </c>
      <c r="I23" s="49">
        <f t="shared" si="2"/>
        <v>1.170812960077372</v>
      </c>
    </row>
    <row r="24" spans="1:9" ht="15" customHeight="1">
      <c r="A24" s="28" t="s">
        <v>379</v>
      </c>
      <c r="B24" s="47">
        <f>'Расчет субсидий'!L26</f>
        <v>0</v>
      </c>
      <c r="C24" s="54">
        <f>'Расчет субсидий'!D26-1</f>
        <v>7.9671549045716716E-2</v>
      </c>
      <c r="D24" s="54">
        <f>C24*'Расчет субсидий'!E26</f>
        <v>1.5934309809143343</v>
      </c>
      <c r="E24" s="50">
        <f t="shared" si="3"/>
        <v>0</v>
      </c>
      <c r="F24" s="54">
        <f>'Расчет субсидий'!F26-1</f>
        <v>0</v>
      </c>
      <c r="G24" s="54">
        <f>F24*'Расчет субсидий'!G26</f>
        <v>0</v>
      </c>
      <c r="H24" s="50">
        <f t="shared" si="4"/>
        <v>0</v>
      </c>
      <c r="I24" s="49">
        <f t="shared" si="2"/>
        <v>1.5934309809143343</v>
      </c>
    </row>
    <row r="25" spans="1:9" ht="15" customHeight="1">
      <c r="A25" s="28" t="s">
        <v>381</v>
      </c>
      <c r="B25" s="47">
        <f>'Расчет субсидий'!L27</f>
        <v>0</v>
      </c>
      <c r="C25" s="54">
        <f>'Расчет субсидий'!D27-1</f>
        <v>0.22732621567439049</v>
      </c>
      <c r="D25" s="54">
        <f>C25*'Расчет субсидий'!E27</f>
        <v>4.5465243134878097</v>
      </c>
      <c r="E25" s="50">
        <f t="shared" si="3"/>
        <v>0</v>
      </c>
      <c r="F25" s="54">
        <f>'Расчет субсидий'!F27-1</f>
        <v>0</v>
      </c>
      <c r="G25" s="54">
        <f>F25*'Расчет субсидий'!G27</f>
        <v>0</v>
      </c>
      <c r="H25" s="50">
        <f t="shared" si="4"/>
        <v>0</v>
      </c>
      <c r="I25" s="49">
        <f t="shared" si="2"/>
        <v>4.5465243134878097</v>
      </c>
    </row>
    <row r="26" spans="1:9" ht="15" customHeight="1">
      <c r="A26" s="28" t="s">
        <v>380</v>
      </c>
      <c r="B26" s="47">
        <f>'Расчет субсидий'!L28</f>
        <v>5.7818181818181813</v>
      </c>
      <c r="C26" s="54">
        <f>'Расчет субсидий'!D28-1</f>
        <v>9.5280230434700908E-2</v>
      </c>
      <c r="D26" s="54">
        <f>C26*'Расчет субсидий'!E28</f>
        <v>1.9056046086940182</v>
      </c>
      <c r="E26" s="50">
        <f t="shared" si="3"/>
        <v>5.7818181818181813</v>
      </c>
      <c r="F26" s="54">
        <f>'Расчет субсидий'!F28-1</f>
        <v>0</v>
      </c>
      <c r="G26" s="54">
        <f>F26*'Расчет субсидий'!G28</f>
        <v>0</v>
      </c>
      <c r="H26" s="50">
        <f t="shared" si="4"/>
        <v>0</v>
      </c>
      <c r="I26" s="49">
        <f t="shared" si="2"/>
        <v>1.9056046086940182</v>
      </c>
    </row>
    <row r="27" spans="1:9" ht="15" customHeight="1">
      <c r="A27" s="27" t="s">
        <v>17</v>
      </c>
      <c r="B27" s="46">
        <f>'Расчет субсидий'!L29</f>
        <v>186.51818181818112</v>
      </c>
      <c r="C27" s="46"/>
      <c r="D27" s="46"/>
      <c r="E27" s="46">
        <f>SUM(E28:E54)</f>
        <v>186.51818181818118</v>
      </c>
      <c r="F27" s="46"/>
      <c r="G27" s="46"/>
      <c r="H27" s="46">
        <f>SUM(H28:H54)</f>
        <v>0</v>
      </c>
      <c r="I27" s="46"/>
    </row>
    <row r="28" spans="1:9" ht="15" customHeight="1">
      <c r="A28" s="28" t="s">
        <v>0</v>
      </c>
      <c r="B28" s="47">
        <f>'Расчет субсидий'!L30</f>
        <v>255.90909090909099</v>
      </c>
      <c r="C28" s="54">
        <f>'Расчет субсидий'!D30-1</f>
        <v>0.14412496197820679</v>
      </c>
      <c r="D28" s="54">
        <f>C28*'Расчет субсидий'!E30</f>
        <v>2.1618744296731016</v>
      </c>
      <c r="E28" s="50">
        <f t="shared" ref="E28:E54" si="5">$B28*D28/$I28</f>
        <v>255.90909090909099</v>
      </c>
      <c r="F28" s="54">
        <f>'Расчет субсидий'!F30-1</f>
        <v>0</v>
      </c>
      <c r="G28" s="54">
        <f>F28*'Расчет субсидий'!G30</f>
        <v>0</v>
      </c>
      <c r="H28" s="50">
        <f t="shared" ref="H28:H54" si="6">$B28*G28/$I28</f>
        <v>0</v>
      </c>
      <c r="I28" s="49">
        <f t="shared" si="2"/>
        <v>2.1618744296731016</v>
      </c>
    </row>
    <row r="29" spans="1:9" ht="15" customHeight="1">
      <c r="A29" s="28" t="s">
        <v>18</v>
      </c>
      <c r="B29" s="47">
        <f>'Расчет субсидий'!L31</f>
        <v>113.69090909090892</v>
      </c>
      <c r="C29" s="54">
        <f>'Расчет субсидий'!D31-1</f>
        <v>5.4223283143591594E-2</v>
      </c>
      <c r="D29" s="54">
        <f>C29*'Расчет субсидий'!E31</f>
        <v>0.81334924715387391</v>
      </c>
      <c r="E29" s="50">
        <f t="shared" si="5"/>
        <v>113.69090909090892</v>
      </c>
      <c r="F29" s="54">
        <f>'Расчет субсидий'!F31-1</f>
        <v>0</v>
      </c>
      <c r="G29" s="54">
        <f>F29*'Расчет субсидий'!G31</f>
        <v>0</v>
      </c>
      <c r="H29" s="50">
        <f t="shared" si="6"/>
        <v>0</v>
      </c>
      <c r="I29" s="49">
        <f t="shared" si="2"/>
        <v>0.81334924715387391</v>
      </c>
    </row>
    <row r="30" spans="1:9" ht="15" customHeight="1">
      <c r="A30" s="28" t="s">
        <v>19</v>
      </c>
      <c r="B30" s="47">
        <f>'Расчет субсидий'!L32</f>
        <v>-380.4636363636364</v>
      </c>
      <c r="C30" s="54">
        <f>'Расчет субсидий'!D32-1</f>
        <v>-0.21367740211740349</v>
      </c>
      <c r="D30" s="54">
        <f>C30*'Расчет субсидий'!E32</f>
        <v>-3.2051610317610524</v>
      </c>
      <c r="E30" s="50">
        <f t="shared" si="5"/>
        <v>-380.4636363636364</v>
      </c>
      <c r="F30" s="54">
        <f>'Расчет субсидий'!F32-1</f>
        <v>0</v>
      </c>
      <c r="G30" s="54">
        <f>F30*'Расчет субсидий'!G32</f>
        <v>0</v>
      </c>
      <c r="H30" s="50">
        <f t="shared" si="6"/>
        <v>0</v>
      </c>
      <c r="I30" s="49">
        <f t="shared" si="2"/>
        <v>-3.2051610317610524</v>
      </c>
    </row>
    <row r="31" spans="1:9" ht="15" customHeight="1">
      <c r="A31" s="28" t="s">
        <v>20</v>
      </c>
      <c r="B31" s="47">
        <f>'Расчет субсидий'!L33</f>
        <v>-143.87272727272739</v>
      </c>
      <c r="C31" s="54">
        <f>'Расчет субсидий'!D33-1</f>
        <v>-8.8371098129462422E-2</v>
      </c>
      <c r="D31" s="54">
        <f>C31*'Расчет субсидий'!E33</f>
        <v>-1.3255664719419364</v>
      </c>
      <c r="E31" s="50">
        <f t="shared" si="5"/>
        <v>-143.87272727272739</v>
      </c>
      <c r="F31" s="54">
        <f>'Расчет субсидий'!F33-1</f>
        <v>0</v>
      </c>
      <c r="G31" s="54">
        <f>F31*'Расчет субсидий'!G33</f>
        <v>0</v>
      </c>
      <c r="H31" s="50">
        <f t="shared" si="6"/>
        <v>0</v>
      </c>
      <c r="I31" s="49">
        <f t="shared" si="2"/>
        <v>-1.3255664719419364</v>
      </c>
    </row>
    <row r="32" spans="1:9" ht="15" customHeight="1">
      <c r="A32" s="28" t="s">
        <v>21</v>
      </c>
      <c r="B32" s="47">
        <f>'Расчет субсидий'!L34</f>
        <v>-49.409090909090992</v>
      </c>
      <c r="C32" s="54">
        <f>'Расчет субсидий'!D34-1</f>
        <v>-2.1602476450926722E-2</v>
      </c>
      <c r="D32" s="54">
        <f>C32*'Расчет субсидий'!E34</f>
        <v>-0.32403714676390083</v>
      </c>
      <c r="E32" s="50">
        <f t="shared" si="5"/>
        <v>-49.409090909090999</v>
      </c>
      <c r="F32" s="54">
        <f>'Расчет субсидий'!F34-1</f>
        <v>0</v>
      </c>
      <c r="G32" s="54">
        <f>F32*'Расчет субсидий'!G34</f>
        <v>0</v>
      </c>
      <c r="H32" s="50">
        <f t="shared" si="6"/>
        <v>0</v>
      </c>
      <c r="I32" s="49">
        <f t="shared" si="2"/>
        <v>-0.32403714676390083</v>
      </c>
    </row>
    <row r="33" spans="1:9" ht="15" customHeight="1">
      <c r="A33" s="28" t="s">
        <v>22</v>
      </c>
      <c r="B33" s="47">
        <f>'Расчет субсидий'!L35</f>
        <v>518.69999999999982</v>
      </c>
      <c r="C33" s="54">
        <f>'Расчет субсидий'!D35-1</f>
        <v>0.21788669073050038</v>
      </c>
      <c r="D33" s="54">
        <f>C33*'Расчет субсидий'!E35</f>
        <v>3.2683003609575056</v>
      </c>
      <c r="E33" s="50">
        <f t="shared" si="5"/>
        <v>518.69999999999982</v>
      </c>
      <c r="F33" s="54">
        <f>'Расчет субсидий'!F35-1</f>
        <v>0</v>
      </c>
      <c r="G33" s="54">
        <f>F33*'Расчет субсидий'!G35</f>
        <v>0</v>
      </c>
      <c r="H33" s="50">
        <f t="shared" si="6"/>
        <v>0</v>
      </c>
      <c r="I33" s="49">
        <f t="shared" si="2"/>
        <v>3.2683003609575056</v>
      </c>
    </row>
    <row r="34" spans="1:9" ht="15" customHeight="1">
      <c r="A34" s="28" t="s">
        <v>23</v>
      </c>
      <c r="B34" s="47">
        <f>'Расчет субсидий'!L36</f>
        <v>-128.34545454545469</v>
      </c>
      <c r="C34" s="54">
        <f>'Расчет субсидий'!D36-1</f>
        <v>-7.8771172743592466E-2</v>
      </c>
      <c r="D34" s="54">
        <f>C34*'Расчет субсидий'!E36</f>
        <v>-1.181567591153887</v>
      </c>
      <c r="E34" s="50">
        <f t="shared" si="5"/>
        <v>-128.34545454545469</v>
      </c>
      <c r="F34" s="54">
        <f>'Расчет субсидий'!F36-1</f>
        <v>0</v>
      </c>
      <c r="G34" s="54">
        <f>F34*'Расчет субсидий'!G36</f>
        <v>0</v>
      </c>
      <c r="H34" s="50">
        <f t="shared" si="6"/>
        <v>0</v>
      </c>
      <c r="I34" s="49">
        <f t="shared" si="2"/>
        <v>-1.181567591153887</v>
      </c>
    </row>
    <row r="35" spans="1:9" ht="15" customHeight="1">
      <c r="A35" s="28" t="s">
        <v>24</v>
      </c>
      <c r="B35" s="47">
        <f>'Расчет субсидий'!L37</f>
        <v>39.436363636363694</v>
      </c>
      <c r="C35" s="54">
        <f>'Расчет субсидий'!D37-1</f>
        <v>3.8645273237505551E-2</v>
      </c>
      <c r="D35" s="54">
        <f>C35*'Расчет субсидий'!E37</f>
        <v>0.57967909856258326</v>
      </c>
      <c r="E35" s="50">
        <f t="shared" si="5"/>
        <v>39.436363636363694</v>
      </c>
      <c r="F35" s="54">
        <f>'Расчет субсидий'!F37-1</f>
        <v>0</v>
      </c>
      <c r="G35" s="54">
        <f>F35*'Расчет субсидий'!G37</f>
        <v>0</v>
      </c>
      <c r="H35" s="50">
        <f t="shared" si="6"/>
        <v>0</v>
      </c>
      <c r="I35" s="49">
        <f t="shared" si="2"/>
        <v>0.57967909856258326</v>
      </c>
    </row>
    <row r="36" spans="1:9" ht="15" customHeight="1">
      <c r="A36" s="28" t="s">
        <v>25</v>
      </c>
      <c r="B36" s="47">
        <f>'Расчет субсидий'!L38</f>
        <v>-631.78181818181793</v>
      </c>
      <c r="C36" s="54">
        <f>'Расчет субсидий'!D38-1</f>
        <v>-0.25976826944966991</v>
      </c>
      <c r="D36" s="54">
        <f>C36*'Расчет субсидий'!E38</f>
        <v>-3.8965240417450486</v>
      </c>
      <c r="E36" s="50">
        <f t="shared" si="5"/>
        <v>-631.78181818181793</v>
      </c>
      <c r="F36" s="54">
        <f>'Расчет субсидий'!F38-1</f>
        <v>0</v>
      </c>
      <c r="G36" s="54">
        <f>F36*'Расчет субсидий'!G38</f>
        <v>0</v>
      </c>
      <c r="H36" s="50">
        <f t="shared" si="6"/>
        <v>0</v>
      </c>
      <c r="I36" s="49">
        <f t="shared" si="2"/>
        <v>-3.8965240417450486</v>
      </c>
    </row>
    <row r="37" spans="1:9" ht="15" customHeight="1">
      <c r="A37" s="28" t="s">
        <v>26</v>
      </c>
      <c r="B37" s="47">
        <f>'Расчет субсидий'!L39</f>
        <v>-197</v>
      </c>
      <c r="C37" s="54">
        <f>'Расчет субсидий'!D39-1</f>
        <v>-8.3040727207913667E-2</v>
      </c>
      <c r="D37" s="54">
        <f>C37*'Расчет субсидий'!E39</f>
        <v>-1.245610908118705</v>
      </c>
      <c r="E37" s="50">
        <f t="shared" si="5"/>
        <v>-197</v>
      </c>
      <c r="F37" s="54">
        <f>'Расчет субсидий'!F39-1</f>
        <v>0</v>
      </c>
      <c r="G37" s="54">
        <f>F37*'Расчет субсидий'!G39</f>
        <v>0</v>
      </c>
      <c r="H37" s="50">
        <f t="shared" si="6"/>
        <v>0</v>
      </c>
      <c r="I37" s="49">
        <f t="shared" si="2"/>
        <v>-1.245610908118705</v>
      </c>
    </row>
    <row r="38" spans="1:9" ht="15" customHeight="1">
      <c r="A38" s="28" t="s">
        <v>27</v>
      </c>
      <c r="B38" s="47">
        <f>'Расчет субсидий'!L40</f>
        <v>40.954545454545496</v>
      </c>
      <c r="C38" s="54">
        <f>'Расчет субсидий'!D40-1</f>
        <v>0.10024661588206274</v>
      </c>
      <c r="D38" s="54">
        <f>C38*'Расчет субсидий'!E40</f>
        <v>1.5036992382309411</v>
      </c>
      <c r="E38" s="50">
        <f t="shared" si="5"/>
        <v>40.954545454545496</v>
      </c>
      <c r="F38" s="54">
        <f>'Расчет субсидий'!F40-1</f>
        <v>0</v>
      </c>
      <c r="G38" s="54">
        <f>F38*'Расчет субсидий'!G40</f>
        <v>0</v>
      </c>
      <c r="H38" s="50">
        <f t="shared" si="6"/>
        <v>0</v>
      </c>
      <c r="I38" s="49">
        <f t="shared" si="2"/>
        <v>1.5036992382309411</v>
      </c>
    </row>
    <row r="39" spans="1:9" ht="15" customHeight="1">
      <c r="A39" s="28" t="s">
        <v>28</v>
      </c>
      <c r="B39" s="47">
        <f>'Расчет субсидий'!L41</f>
        <v>-78.799999999999955</v>
      </c>
      <c r="C39" s="54">
        <f>'Расчет субсидий'!D41-1</f>
        <v>-7.4094935736596867E-2</v>
      </c>
      <c r="D39" s="54">
        <f>C39*'Расчет субсидий'!E41</f>
        <v>-1.1114240360489531</v>
      </c>
      <c r="E39" s="50">
        <f t="shared" si="5"/>
        <v>-78.799999999999955</v>
      </c>
      <c r="F39" s="54">
        <f>'Расчет субсидий'!F41-1</f>
        <v>0</v>
      </c>
      <c r="G39" s="54">
        <f>F39*'Расчет субсидий'!G41</f>
        <v>0</v>
      </c>
      <c r="H39" s="50">
        <f t="shared" si="6"/>
        <v>0</v>
      </c>
      <c r="I39" s="49">
        <f t="shared" si="2"/>
        <v>-1.1114240360489531</v>
      </c>
    </row>
    <row r="40" spans="1:9" ht="15" customHeight="1">
      <c r="A40" s="28" t="s">
        <v>29</v>
      </c>
      <c r="B40" s="47">
        <f>'Расчет субсидий'!L42</f>
        <v>206.85454545454559</v>
      </c>
      <c r="C40" s="54">
        <f>'Расчет субсидий'!D42-1</f>
        <v>0.21141628892392594</v>
      </c>
      <c r="D40" s="54">
        <f>C40*'Расчет субсидий'!E42</f>
        <v>3.1712443338588892</v>
      </c>
      <c r="E40" s="50">
        <f t="shared" si="5"/>
        <v>206.85454545454559</v>
      </c>
      <c r="F40" s="54">
        <f>'Расчет субсидий'!F42-1</f>
        <v>0</v>
      </c>
      <c r="G40" s="54">
        <f>F40*'Расчет субсидий'!G42</f>
        <v>0</v>
      </c>
      <c r="H40" s="50">
        <f t="shared" si="6"/>
        <v>0</v>
      </c>
      <c r="I40" s="49">
        <f t="shared" si="2"/>
        <v>3.1712443338588892</v>
      </c>
    </row>
    <row r="41" spans="1:9" ht="15" customHeight="1">
      <c r="A41" s="28" t="s">
        <v>30</v>
      </c>
      <c r="B41" s="47">
        <f>'Расчет субсидий'!L43</f>
        <v>-52.290909090908826</v>
      </c>
      <c r="C41" s="54">
        <f>'Расчет субсидий'!D43-1</f>
        <v>-2.3108109081220407E-2</v>
      </c>
      <c r="D41" s="54">
        <f>C41*'Расчет субсидий'!E43</f>
        <v>-0.34662163621830611</v>
      </c>
      <c r="E41" s="50">
        <f t="shared" si="5"/>
        <v>-52.290909090908819</v>
      </c>
      <c r="F41" s="54">
        <f>'Расчет субсидий'!F43-1</f>
        <v>0</v>
      </c>
      <c r="G41" s="54">
        <f>F41*'Расчет субсидий'!G43</f>
        <v>0</v>
      </c>
      <c r="H41" s="50">
        <f t="shared" si="6"/>
        <v>0</v>
      </c>
      <c r="I41" s="49">
        <f t="shared" si="2"/>
        <v>-0.34662163621830611</v>
      </c>
    </row>
    <row r="42" spans="1:9" ht="15" customHeight="1">
      <c r="A42" s="28" t="s">
        <v>31</v>
      </c>
      <c r="B42" s="47">
        <f>'Расчет субсидий'!L44</f>
        <v>339.14545454545441</v>
      </c>
      <c r="C42" s="54">
        <f>'Расчет субсидий'!D44-1</f>
        <v>0.203079847203679</v>
      </c>
      <c r="D42" s="54">
        <f>C42*'Расчет субсидий'!E44</f>
        <v>3.046197708055185</v>
      </c>
      <c r="E42" s="50">
        <f t="shared" si="5"/>
        <v>339.14545454545447</v>
      </c>
      <c r="F42" s="54">
        <f>'Расчет субсидий'!F44-1</f>
        <v>0</v>
      </c>
      <c r="G42" s="54">
        <f>F42*'Расчет субсидий'!G44</f>
        <v>0</v>
      </c>
      <c r="H42" s="50">
        <f t="shared" si="6"/>
        <v>0</v>
      </c>
      <c r="I42" s="49">
        <f t="shared" si="2"/>
        <v>3.046197708055185</v>
      </c>
    </row>
    <row r="43" spans="1:9" ht="15" customHeight="1">
      <c r="A43" s="28" t="s">
        <v>1</v>
      </c>
      <c r="B43" s="47">
        <f>'Расчет субсидий'!L45</f>
        <v>-245.84545454545469</v>
      </c>
      <c r="C43" s="54">
        <f>'Расчет субсидий'!D45-1</f>
        <v>-0.10551640636247184</v>
      </c>
      <c r="D43" s="54">
        <f>C43*'Расчет субсидий'!E45</f>
        <v>-1.5827460954370776</v>
      </c>
      <c r="E43" s="50">
        <f t="shared" si="5"/>
        <v>-245.84545454545469</v>
      </c>
      <c r="F43" s="54">
        <f>'Расчет субсидий'!F45-1</f>
        <v>0</v>
      </c>
      <c r="G43" s="54">
        <f>F43*'Расчет субсидий'!G45</f>
        <v>0</v>
      </c>
      <c r="H43" s="50">
        <f t="shared" si="6"/>
        <v>0</v>
      </c>
      <c r="I43" s="49">
        <f t="shared" si="2"/>
        <v>-1.5827460954370776</v>
      </c>
    </row>
    <row r="44" spans="1:9" ht="15" customHeight="1">
      <c r="A44" s="28" t="s">
        <v>32</v>
      </c>
      <c r="B44" s="47">
        <f>'Расчет субсидий'!L46</f>
        <v>-13.800000000000182</v>
      </c>
      <c r="C44" s="54">
        <f>'Расчет субсидий'!D46-1</f>
        <v>-6.5410964272836214E-3</v>
      </c>
      <c r="D44" s="54">
        <f>C44*'Расчет субсидий'!E46</f>
        <v>-9.8116446409254321E-2</v>
      </c>
      <c r="E44" s="50">
        <f t="shared" si="5"/>
        <v>-13.800000000000182</v>
      </c>
      <c r="F44" s="54">
        <f>'Расчет субсидий'!F46-1</f>
        <v>0</v>
      </c>
      <c r="G44" s="54">
        <f>F44*'Расчет субсидий'!G46</f>
        <v>0</v>
      </c>
      <c r="H44" s="50">
        <f t="shared" si="6"/>
        <v>0</v>
      </c>
      <c r="I44" s="49">
        <f t="shared" si="2"/>
        <v>-9.8116446409254321E-2</v>
      </c>
    </row>
    <row r="45" spans="1:9" ht="15" customHeight="1">
      <c r="A45" s="28" t="s">
        <v>33</v>
      </c>
      <c r="B45" s="47">
        <f>'Расчет субсидий'!L47</f>
        <v>446.42727272727234</v>
      </c>
      <c r="C45" s="54">
        <f>'Расчет субсидий'!D47-1</f>
        <v>0.30000000000000004</v>
      </c>
      <c r="D45" s="54">
        <f>C45*'Расчет субсидий'!E47</f>
        <v>4.5000000000000009</v>
      </c>
      <c r="E45" s="50">
        <f t="shared" si="5"/>
        <v>446.42727272727234</v>
      </c>
      <c r="F45" s="54">
        <f>'Расчет субсидий'!F47-1</f>
        <v>0</v>
      </c>
      <c r="G45" s="54">
        <f>F45*'Расчет субсидий'!G47</f>
        <v>0</v>
      </c>
      <c r="H45" s="50">
        <f t="shared" si="6"/>
        <v>0</v>
      </c>
      <c r="I45" s="49">
        <f t="shared" si="2"/>
        <v>4.5000000000000009</v>
      </c>
    </row>
    <row r="46" spans="1:9" ht="15" customHeight="1">
      <c r="A46" s="28" t="s">
        <v>34</v>
      </c>
      <c r="B46" s="47">
        <f>'Расчет субсидий'!L48</f>
        <v>156.25454545454522</v>
      </c>
      <c r="C46" s="54">
        <f>'Расчет субсидий'!D48-1</f>
        <v>5.5485146734978175E-2</v>
      </c>
      <c r="D46" s="54">
        <f>C46*'Расчет субсидий'!E48</f>
        <v>0.83227720102467262</v>
      </c>
      <c r="E46" s="50">
        <f t="shared" si="5"/>
        <v>156.25454545454522</v>
      </c>
      <c r="F46" s="54">
        <f>'Расчет субсидий'!F48-1</f>
        <v>0</v>
      </c>
      <c r="G46" s="54">
        <f>F46*'Расчет субсидий'!G48</f>
        <v>0</v>
      </c>
      <c r="H46" s="50">
        <f t="shared" si="6"/>
        <v>0</v>
      </c>
      <c r="I46" s="49">
        <f t="shared" si="2"/>
        <v>0.83227720102467262</v>
      </c>
    </row>
    <row r="47" spans="1:9" ht="15" customHeight="1">
      <c r="A47" s="28" t="s">
        <v>35</v>
      </c>
      <c r="B47" s="47">
        <f>'Расчет субсидий'!L49</f>
        <v>-16.527272727272702</v>
      </c>
      <c r="C47" s="54">
        <f>'Расчет субсидий'!D49-1</f>
        <v>-7.4630654414378217E-3</v>
      </c>
      <c r="D47" s="54">
        <f>C47*'Расчет субсидий'!E49</f>
        <v>-0.11194598162156733</v>
      </c>
      <c r="E47" s="50">
        <f t="shared" si="5"/>
        <v>-16.527272727272702</v>
      </c>
      <c r="F47" s="54">
        <f>'Расчет субсидий'!F49-1</f>
        <v>0</v>
      </c>
      <c r="G47" s="54">
        <f>F47*'Расчет субсидий'!G49</f>
        <v>0</v>
      </c>
      <c r="H47" s="50">
        <f t="shared" si="6"/>
        <v>0</v>
      </c>
      <c r="I47" s="49">
        <f t="shared" si="2"/>
        <v>-0.11194598162156733</v>
      </c>
    </row>
    <row r="48" spans="1:9" ht="15" customHeight="1">
      <c r="A48" s="28" t="s">
        <v>36</v>
      </c>
      <c r="B48" s="47">
        <f>'Расчет субсидий'!L50</f>
        <v>-65.118181818182165</v>
      </c>
      <c r="C48" s="54">
        <f>'Расчет субсидий'!D50-1</f>
        <v>-3.3936319275577498E-2</v>
      </c>
      <c r="D48" s="54">
        <f>C48*'Расчет субсидий'!E50</f>
        <v>-0.50904478913366247</v>
      </c>
      <c r="E48" s="50">
        <f t="shared" si="5"/>
        <v>-65.118181818182165</v>
      </c>
      <c r="F48" s="54">
        <f>'Расчет субсидий'!F50-1</f>
        <v>0</v>
      </c>
      <c r="G48" s="54">
        <f>F48*'Расчет субсидий'!G50</f>
        <v>0</v>
      </c>
      <c r="H48" s="50">
        <f t="shared" si="6"/>
        <v>0</v>
      </c>
      <c r="I48" s="49">
        <f t="shared" si="2"/>
        <v>-0.50904478913366247</v>
      </c>
    </row>
    <row r="49" spans="1:9" ht="15" customHeight="1">
      <c r="A49" s="28" t="s">
        <v>37</v>
      </c>
      <c r="B49" s="47">
        <f>'Расчет субсидий'!L51</f>
        <v>-187.81818181818198</v>
      </c>
      <c r="C49" s="54">
        <f>'Расчет субсидий'!D51-1</f>
        <v>-4.5716701245317348E-2</v>
      </c>
      <c r="D49" s="54">
        <f>C49*'Расчет субсидий'!E51</f>
        <v>-0.68575051867976022</v>
      </c>
      <c r="E49" s="50">
        <f t="shared" si="5"/>
        <v>-187.81818181818198</v>
      </c>
      <c r="F49" s="54">
        <f>'Расчет субсидий'!F51-1</f>
        <v>0</v>
      </c>
      <c r="G49" s="54">
        <f>F49*'Расчет субсидий'!G51</f>
        <v>0</v>
      </c>
      <c r="H49" s="50">
        <f t="shared" si="6"/>
        <v>0</v>
      </c>
      <c r="I49" s="49">
        <f t="shared" si="2"/>
        <v>-0.68575051867976022</v>
      </c>
    </row>
    <row r="50" spans="1:9" ht="15" customHeight="1">
      <c r="A50" s="28" t="s">
        <v>38</v>
      </c>
      <c r="B50" s="47">
        <f>'Расчет субсидий'!L52</f>
        <v>392.17272727272757</v>
      </c>
      <c r="C50" s="54">
        <f>'Расчет субсидий'!D52-1</f>
        <v>0.20165197133299051</v>
      </c>
      <c r="D50" s="54">
        <f>C50*'Расчет субсидий'!E52</f>
        <v>3.0247795699948576</v>
      </c>
      <c r="E50" s="50">
        <f t="shared" si="5"/>
        <v>392.17272727272757</v>
      </c>
      <c r="F50" s="54">
        <f>'Расчет субсидий'!F52-1</f>
        <v>0</v>
      </c>
      <c r="G50" s="54">
        <f>F50*'Расчет субсидий'!G52</f>
        <v>0</v>
      </c>
      <c r="H50" s="50">
        <f t="shared" si="6"/>
        <v>0</v>
      </c>
      <c r="I50" s="49">
        <f t="shared" si="2"/>
        <v>3.0247795699948576</v>
      </c>
    </row>
    <row r="51" spans="1:9" ht="15" customHeight="1">
      <c r="A51" s="28" t="s">
        <v>2</v>
      </c>
      <c r="B51" s="47">
        <f>'Расчет субсидий'!L53</f>
        <v>-373.70909090909117</v>
      </c>
      <c r="C51" s="54">
        <f>'Расчет субсидий'!D53-1</f>
        <v>-0.20827405942426236</v>
      </c>
      <c r="D51" s="54">
        <f>C51*'Расчет субсидий'!E53</f>
        <v>-3.1241108913639355</v>
      </c>
      <c r="E51" s="50">
        <f t="shared" si="5"/>
        <v>-373.70909090909117</v>
      </c>
      <c r="F51" s="54">
        <f>'Расчет субсидий'!F53-1</f>
        <v>0</v>
      </c>
      <c r="G51" s="54">
        <f>F51*'Расчет субсидий'!G53</f>
        <v>0</v>
      </c>
      <c r="H51" s="50">
        <f t="shared" si="6"/>
        <v>0</v>
      </c>
      <c r="I51" s="49">
        <f t="shared" si="2"/>
        <v>-3.1241108913639355</v>
      </c>
    </row>
    <row r="52" spans="1:9" ht="15" customHeight="1">
      <c r="A52" s="28" t="s">
        <v>39</v>
      </c>
      <c r="B52" s="47">
        <f>'Расчет субсидий'!L54</f>
        <v>-163.5090909090909</v>
      </c>
      <c r="C52" s="54">
        <f>'Расчет субсидий'!D54-1</f>
        <v>-8.4511411477952603E-2</v>
      </c>
      <c r="D52" s="54">
        <f>C52*'Расчет субсидий'!E54</f>
        <v>-1.267671172169289</v>
      </c>
      <c r="E52" s="50">
        <f t="shared" si="5"/>
        <v>-163.5090909090909</v>
      </c>
      <c r="F52" s="54">
        <f>'Расчет субсидий'!F54-1</f>
        <v>0</v>
      </c>
      <c r="G52" s="54">
        <f>F52*'Расчет субсидий'!G54</f>
        <v>0</v>
      </c>
      <c r="H52" s="50">
        <f t="shared" si="6"/>
        <v>0</v>
      </c>
      <c r="I52" s="49">
        <f t="shared" si="2"/>
        <v>-1.267671172169289</v>
      </c>
    </row>
    <row r="53" spans="1:9" ht="15" customHeight="1">
      <c r="A53" s="28" t="s">
        <v>3</v>
      </c>
      <c r="B53" s="47">
        <f>'Расчет субсидий'!L55</f>
        <v>-85.245454545454322</v>
      </c>
      <c r="C53" s="54">
        <f>'Расчет субсидий'!D55-1</f>
        <v>-4.7199130808297629E-2</v>
      </c>
      <c r="D53" s="54">
        <f>C53*'Расчет субсидий'!E55</f>
        <v>-0.70798696212446444</v>
      </c>
      <c r="E53" s="50">
        <f t="shared" si="5"/>
        <v>-85.245454545454322</v>
      </c>
      <c r="F53" s="54">
        <f>'Расчет субсидий'!F55-1</f>
        <v>0</v>
      </c>
      <c r="G53" s="54">
        <f>F53*'Расчет субсидий'!G55</f>
        <v>0</v>
      </c>
      <c r="H53" s="50">
        <f t="shared" si="6"/>
        <v>0</v>
      </c>
      <c r="I53" s="49">
        <f t="shared" si="2"/>
        <v>-0.70798696212446444</v>
      </c>
    </row>
    <row r="54" spans="1:9" ht="15" customHeight="1">
      <c r="A54" s="28" t="s">
        <v>40</v>
      </c>
      <c r="B54" s="47">
        <f>'Расчет субсидий'!L56</f>
        <v>490.50909090909136</v>
      </c>
      <c r="C54" s="54">
        <f>'Расчет субсидий'!D56-1</f>
        <v>0.20637989399322976</v>
      </c>
      <c r="D54" s="54">
        <f>C54*'Расчет субсидий'!E56</f>
        <v>3.0956984098984464</v>
      </c>
      <c r="E54" s="50">
        <f t="shared" si="5"/>
        <v>490.50909090909136</v>
      </c>
      <c r="F54" s="54">
        <f>'Расчет субсидий'!F56-1</f>
        <v>0</v>
      </c>
      <c r="G54" s="54">
        <f>F54*'Расчет субсидий'!G56</f>
        <v>0</v>
      </c>
      <c r="H54" s="50">
        <f t="shared" si="6"/>
        <v>0</v>
      </c>
      <c r="I54" s="49">
        <f t="shared" si="2"/>
        <v>3.0956984098984464</v>
      </c>
    </row>
    <row r="55" spans="1:9" ht="15" customHeight="1">
      <c r="A55" s="29" t="s">
        <v>41</v>
      </c>
      <c r="B55" s="46">
        <f>'Расчет субсидий'!L57</f>
        <v>-4500.3909090909083</v>
      </c>
      <c r="C55" s="46"/>
      <c r="D55" s="46"/>
      <c r="E55" s="46">
        <f>SUM(E57:E378)</f>
        <v>-4500.3909090909083</v>
      </c>
      <c r="F55" s="46"/>
      <c r="G55" s="46"/>
      <c r="H55" s="46">
        <f>SUM(H57:H378)</f>
        <v>0</v>
      </c>
      <c r="I55" s="46"/>
    </row>
    <row r="56" spans="1:9" ht="15" customHeight="1">
      <c r="A56" s="30" t="s">
        <v>42</v>
      </c>
      <c r="B56" s="51"/>
      <c r="C56" s="52"/>
      <c r="D56" s="52"/>
      <c r="E56" s="53"/>
      <c r="F56" s="53"/>
      <c r="G56" s="53"/>
      <c r="H56" s="53"/>
      <c r="I56" s="53"/>
    </row>
    <row r="57" spans="1:9" ht="15" customHeight="1">
      <c r="A57" s="31" t="s">
        <v>43</v>
      </c>
      <c r="B57" s="47">
        <f>'Расчет субсидий'!L59</f>
        <v>-38.909090909090907</v>
      </c>
      <c r="C57" s="54">
        <f>'Расчет субсидий'!D59-1</f>
        <v>-0.41338582677165348</v>
      </c>
      <c r="D57" s="54">
        <f>C57*'Расчет субсидий'!E59</f>
        <v>-6.2007874015748019</v>
      </c>
      <c r="E57" s="50">
        <f>$B57*D57/$I57</f>
        <v>-38.909090909090907</v>
      </c>
      <c r="F57" s="54">
        <f>'Расчет субсидий'!F59-1</f>
        <v>0</v>
      </c>
      <c r="G57" s="54">
        <f>F57*'Расчет субсидий'!G59</f>
        <v>0</v>
      </c>
      <c r="H57" s="50">
        <f t="shared" ref="H57:H120" si="7">$B57*G57/$I57</f>
        <v>0</v>
      </c>
      <c r="I57" s="49">
        <f t="shared" ref="I57:I120" si="8">D57+G57</f>
        <v>-6.2007874015748019</v>
      </c>
    </row>
    <row r="58" spans="1:9" ht="15" customHeight="1">
      <c r="A58" s="31" t="s">
        <v>44</v>
      </c>
      <c r="B58" s="47">
        <f>'Расчет субсидий'!L60</f>
        <v>-20.654545454545456</v>
      </c>
      <c r="C58" s="54">
        <f>'Расчет субсидий'!D60-1</f>
        <v>-0.1882917322539539</v>
      </c>
      <c r="D58" s="54">
        <f>C58*'Расчет субсидий'!E60</f>
        <v>-2.8243759838093085</v>
      </c>
      <c r="E58" s="50">
        <f>$B58*D58/$I58</f>
        <v>-20.654545454545456</v>
      </c>
      <c r="F58" s="54">
        <f>'Расчет субсидий'!F60-1</f>
        <v>0</v>
      </c>
      <c r="G58" s="54">
        <f>F58*'Расчет субсидий'!G60</f>
        <v>0</v>
      </c>
      <c r="H58" s="50">
        <f t="shared" si="7"/>
        <v>0</v>
      </c>
      <c r="I58" s="49">
        <f t="shared" si="8"/>
        <v>-2.8243759838093085</v>
      </c>
    </row>
    <row r="59" spans="1:9" ht="15" customHeight="1">
      <c r="A59" s="31" t="s">
        <v>45</v>
      </c>
      <c r="B59" s="47">
        <f>'Расчет субсидий'!L61</f>
        <v>-19.672727272727286</v>
      </c>
      <c r="C59" s="54">
        <f>'Расчет субсидий'!D61-1</f>
        <v>-0.19696969696969702</v>
      </c>
      <c r="D59" s="54">
        <f>C59*'Расчет субсидий'!E61</f>
        <v>-2.954545454545455</v>
      </c>
      <c r="E59" s="50">
        <f>$B59*D59/$I59</f>
        <v>-19.672727272727286</v>
      </c>
      <c r="F59" s="54">
        <f>'Расчет субсидий'!F61-1</f>
        <v>0</v>
      </c>
      <c r="G59" s="54">
        <f>F59*'Расчет субсидий'!G61</f>
        <v>0</v>
      </c>
      <c r="H59" s="50">
        <f t="shared" si="7"/>
        <v>0</v>
      </c>
      <c r="I59" s="49">
        <f t="shared" si="8"/>
        <v>-2.954545454545455</v>
      </c>
    </row>
    <row r="60" spans="1:9" ht="15" customHeight="1">
      <c r="A60" s="31" t="s">
        <v>46</v>
      </c>
      <c r="B60" s="47">
        <f>'Расчет субсидий'!L62</f>
        <v>17.290909090909096</v>
      </c>
      <c r="C60" s="54">
        <f>'Расчет субсидий'!D62-1</f>
        <v>0.30000000000000004</v>
      </c>
      <c r="D60" s="54">
        <f>C60*'Расчет субсидий'!E62</f>
        <v>4.5000000000000009</v>
      </c>
      <c r="E60" s="50">
        <f>$B60*D60/$I60</f>
        <v>17.290909090909096</v>
      </c>
      <c r="F60" s="54">
        <f>'Расчет субсидий'!F62-1</f>
        <v>0</v>
      </c>
      <c r="G60" s="54">
        <f>F60*'Расчет субсидий'!G62</f>
        <v>0</v>
      </c>
      <c r="H60" s="50">
        <f t="shared" si="7"/>
        <v>0</v>
      </c>
      <c r="I60" s="49">
        <f t="shared" si="8"/>
        <v>4.5000000000000009</v>
      </c>
    </row>
    <row r="61" spans="1:9" ht="15" customHeight="1">
      <c r="A61" s="31" t="s">
        <v>47</v>
      </c>
      <c r="B61" s="47">
        <f>'Расчет субсидий'!L63</f>
        <v>27.809090909090912</v>
      </c>
      <c r="C61" s="54">
        <f>'Расчет субсидий'!D63-1</f>
        <v>0.20604895104895093</v>
      </c>
      <c r="D61" s="54">
        <f>C61*'Расчет субсидий'!E63</f>
        <v>3.0907342657342642</v>
      </c>
      <c r="E61" s="50">
        <f>$B61*D61/$I61</f>
        <v>27.809090909090912</v>
      </c>
      <c r="F61" s="54">
        <f>'Расчет субсидий'!F63-1</f>
        <v>0</v>
      </c>
      <c r="G61" s="54">
        <f>F61*'Расчет субсидий'!G63</f>
        <v>0</v>
      </c>
      <c r="H61" s="50">
        <f t="shared" si="7"/>
        <v>0</v>
      </c>
      <c r="I61" s="49">
        <f t="shared" si="8"/>
        <v>3.0907342657342642</v>
      </c>
    </row>
    <row r="62" spans="1:9" ht="15" customHeight="1">
      <c r="A62" s="30" t="s">
        <v>48</v>
      </c>
      <c r="B62" s="51"/>
      <c r="C62" s="52"/>
      <c r="D62" s="52"/>
      <c r="E62" s="53"/>
      <c r="F62" s="53"/>
      <c r="G62" s="53"/>
      <c r="H62" s="53"/>
      <c r="I62" s="53"/>
    </row>
    <row r="63" spans="1:9" ht="15" customHeight="1">
      <c r="A63" s="31" t="s">
        <v>49</v>
      </c>
      <c r="B63" s="47">
        <f>'Расчет субсидий'!L65</f>
        <v>-0.58181818181818201</v>
      </c>
      <c r="C63" s="54">
        <f>'Расчет субсидий'!D65-1</f>
        <v>-0.20275348099283974</v>
      </c>
      <c r="D63" s="54">
        <f>C63*'Расчет субсидий'!E65</f>
        <v>-3.0413022148925961</v>
      </c>
      <c r="E63" s="50">
        <f t="shared" ref="E63:E74" si="9">$B63*D63/$I63</f>
        <v>-0.58181818181818201</v>
      </c>
      <c r="F63" s="54">
        <f>'Расчет субсидий'!F65-1</f>
        <v>0</v>
      </c>
      <c r="G63" s="54">
        <f>F63*'Расчет субсидий'!G65</f>
        <v>0</v>
      </c>
      <c r="H63" s="50">
        <f t="shared" si="7"/>
        <v>0</v>
      </c>
      <c r="I63" s="49">
        <f t="shared" si="8"/>
        <v>-3.0413022148925961</v>
      </c>
    </row>
    <row r="64" spans="1:9" ht="15" customHeight="1">
      <c r="A64" s="31" t="s">
        <v>50</v>
      </c>
      <c r="B64" s="47">
        <f>'Расчет субсидий'!L66</f>
        <v>10.463636363636354</v>
      </c>
      <c r="C64" s="54">
        <f>'Расчет субсидий'!D66-1</f>
        <v>0.21625000000000005</v>
      </c>
      <c r="D64" s="54">
        <f>C64*'Расчет субсидий'!E66</f>
        <v>3.2437500000000008</v>
      </c>
      <c r="E64" s="50">
        <f t="shared" si="9"/>
        <v>10.463636363636354</v>
      </c>
      <c r="F64" s="54">
        <f>'Расчет субсидий'!F66-1</f>
        <v>0</v>
      </c>
      <c r="G64" s="54">
        <f>F64*'Расчет субсидий'!G66</f>
        <v>0</v>
      </c>
      <c r="H64" s="50">
        <f t="shared" si="7"/>
        <v>0</v>
      </c>
      <c r="I64" s="49">
        <f t="shared" si="8"/>
        <v>3.2437500000000008</v>
      </c>
    </row>
    <row r="65" spans="1:9" ht="15" customHeight="1">
      <c r="A65" s="31" t="s">
        <v>51</v>
      </c>
      <c r="B65" s="47">
        <f>'Расчет субсидий'!L67</f>
        <v>-1.3090909090909104</v>
      </c>
      <c r="C65" s="54">
        <f>'Расчет субсидий'!D67-1</f>
        <v>-0.12914798206278022</v>
      </c>
      <c r="D65" s="54">
        <f>C65*'Расчет субсидий'!E67</f>
        <v>-1.9372197309417034</v>
      </c>
      <c r="E65" s="50">
        <f t="shared" si="9"/>
        <v>-1.3090909090909104</v>
      </c>
      <c r="F65" s="54">
        <f>'Расчет субсидий'!F67-1</f>
        <v>0</v>
      </c>
      <c r="G65" s="54">
        <f>F65*'Расчет субсидий'!G67</f>
        <v>0</v>
      </c>
      <c r="H65" s="50">
        <f t="shared" si="7"/>
        <v>0</v>
      </c>
      <c r="I65" s="49">
        <f t="shared" si="8"/>
        <v>-1.9372197309417034</v>
      </c>
    </row>
    <row r="66" spans="1:9" ht="15" customHeight="1">
      <c r="A66" s="31" t="s">
        <v>52</v>
      </c>
      <c r="B66" s="47">
        <f>'Расчет субсидий'!L68</f>
        <v>-13.181818181818187</v>
      </c>
      <c r="C66" s="54">
        <f>'Расчет субсидий'!D68-1</f>
        <v>-0.17246175243393613</v>
      </c>
      <c r="D66" s="54">
        <f>C66*'Расчет субсидий'!E68</f>
        <v>-2.5869262865090419</v>
      </c>
      <c r="E66" s="50">
        <f t="shared" si="9"/>
        <v>-13.181818181818187</v>
      </c>
      <c r="F66" s="54">
        <f>'Расчет субсидий'!F68-1</f>
        <v>0</v>
      </c>
      <c r="G66" s="54">
        <f>F66*'Расчет субсидий'!G68</f>
        <v>0</v>
      </c>
      <c r="H66" s="50">
        <f t="shared" si="7"/>
        <v>0</v>
      </c>
      <c r="I66" s="49">
        <f t="shared" si="8"/>
        <v>-2.5869262865090419</v>
      </c>
    </row>
    <row r="67" spans="1:9" ht="15" customHeight="1">
      <c r="A67" s="31" t="s">
        <v>53</v>
      </c>
      <c r="B67" s="47">
        <f>'Расчет субсидий'!L69</f>
        <v>26.745454545454521</v>
      </c>
      <c r="C67" s="54">
        <f>'Расчет субсидий'!D69-1</f>
        <v>0.30000000000000004</v>
      </c>
      <c r="D67" s="54">
        <f>C67*'Расчет субсидий'!E69</f>
        <v>4.5000000000000009</v>
      </c>
      <c r="E67" s="50">
        <f t="shared" si="9"/>
        <v>26.745454545454521</v>
      </c>
      <c r="F67" s="54">
        <f>'Расчет субсидий'!F69-1</f>
        <v>0</v>
      </c>
      <c r="G67" s="54">
        <f>F67*'Расчет субсидий'!G69</f>
        <v>0</v>
      </c>
      <c r="H67" s="50">
        <f t="shared" si="7"/>
        <v>0</v>
      </c>
      <c r="I67" s="49">
        <f t="shared" si="8"/>
        <v>4.5000000000000009</v>
      </c>
    </row>
    <row r="68" spans="1:9" ht="15" customHeight="1">
      <c r="A68" s="31" t="s">
        <v>54</v>
      </c>
      <c r="B68" s="47">
        <f>'Расчет субсидий'!L70</f>
        <v>12.700000000000003</v>
      </c>
      <c r="C68" s="54">
        <f>'Расчет субсидий'!D70-1</f>
        <v>0.21351498637602173</v>
      </c>
      <c r="D68" s="54">
        <f>C68*'Расчет субсидий'!E70</f>
        <v>3.202724795640326</v>
      </c>
      <c r="E68" s="50">
        <f t="shared" si="9"/>
        <v>12.700000000000003</v>
      </c>
      <c r="F68" s="54">
        <f>'Расчет субсидий'!F70-1</f>
        <v>0</v>
      </c>
      <c r="G68" s="54">
        <f>F68*'Расчет субсидий'!G70</f>
        <v>0</v>
      </c>
      <c r="H68" s="50">
        <f t="shared" si="7"/>
        <v>0</v>
      </c>
      <c r="I68" s="49">
        <f t="shared" si="8"/>
        <v>3.202724795640326</v>
      </c>
    </row>
    <row r="69" spans="1:9" ht="15" customHeight="1">
      <c r="A69" s="31" t="s">
        <v>55</v>
      </c>
      <c r="B69" s="47">
        <f>'Расчет субсидий'!L71</f>
        <v>-51.436363636363623</v>
      </c>
      <c r="C69" s="54">
        <f>'Расчет субсидий'!D71-1</f>
        <v>-0.65652173913043477</v>
      </c>
      <c r="D69" s="54">
        <f>C69*'Расчет субсидий'!E71</f>
        <v>-9.8478260869565215</v>
      </c>
      <c r="E69" s="50">
        <f t="shared" si="9"/>
        <v>-51.436363636363623</v>
      </c>
      <c r="F69" s="54">
        <f>'Расчет субсидий'!F71-1</f>
        <v>0</v>
      </c>
      <c r="G69" s="54">
        <f>F69*'Расчет субсидий'!G71</f>
        <v>0</v>
      </c>
      <c r="H69" s="50">
        <f t="shared" si="7"/>
        <v>0</v>
      </c>
      <c r="I69" s="49">
        <f t="shared" si="8"/>
        <v>-9.8478260869565215</v>
      </c>
    </row>
    <row r="70" spans="1:9" ht="15" customHeight="1">
      <c r="A70" s="31" t="s">
        <v>56</v>
      </c>
      <c r="B70" s="47">
        <f>'Расчет субсидий'!L72</f>
        <v>0.90000000000000036</v>
      </c>
      <c r="C70" s="54">
        <f>'Расчет субсидий'!D72-1</f>
        <v>0.20317214252660798</v>
      </c>
      <c r="D70" s="54">
        <f>C70*'Расчет субсидий'!E72</f>
        <v>3.0475821378991199</v>
      </c>
      <c r="E70" s="50">
        <f t="shared" si="9"/>
        <v>0.90000000000000036</v>
      </c>
      <c r="F70" s="54">
        <f>'Расчет субсидий'!F72-1</f>
        <v>0</v>
      </c>
      <c r="G70" s="54">
        <f>F70*'Расчет субсидий'!G72</f>
        <v>0</v>
      </c>
      <c r="H70" s="50">
        <f t="shared" si="7"/>
        <v>0</v>
      </c>
      <c r="I70" s="49">
        <f t="shared" si="8"/>
        <v>3.0475821378991199</v>
      </c>
    </row>
    <row r="71" spans="1:9" ht="15" customHeight="1">
      <c r="A71" s="31" t="s">
        <v>57</v>
      </c>
      <c r="B71" s="47">
        <f>'Расчет субсидий'!L73</f>
        <v>4.0454545454545467</v>
      </c>
      <c r="C71" s="54">
        <f>'Расчет субсидий'!D73-1</f>
        <v>8.6391685612211777E-2</v>
      </c>
      <c r="D71" s="54">
        <f>C71*'Расчет субсидий'!E73</f>
        <v>1.2958752841831767</v>
      </c>
      <c r="E71" s="50">
        <f t="shared" si="9"/>
        <v>4.0454545454545467</v>
      </c>
      <c r="F71" s="54">
        <f>'Расчет субсидий'!F73-1</f>
        <v>0</v>
      </c>
      <c r="G71" s="54">
        <f>F71*'Расчет субсидий'!G73</f>
        <v>0</v>
      </c>
      <c r="H71" s="50">
        <f t="shared" si="7"/>
        <v>0</v>
      </c>
      <c r="I71" s="49">
        <f t="shared" si="8"/>
        <v>1.2958752841831767</v>
      </c>
    </row>
    <row r="72" spans="1:9" ht="15" customHeight="1">
      <c r="A72" s="31" t="s">
        <v>58</v>
      </c>
      <c r="B72" s="47">
        <f>'Расчет субсидий'!L74</f>
        <v>-5.8454545454545439</v>
      </c>
      <c r="C72" s="54">
        <f>'Расчет субсидий'!D74-1</f>
        <v>-0.11078886310904867</v>
      </c>
      <c r="D72" s="54">
        <f>C72*'Расчет субсидий'!E74</f>
        <v>-1.6618329466357302</v>
      </c>
      <c r="E72" s="50">
        <f t="shared" si="9"/>
        <v>-5.8454545454545439</v>
      </c>
      <c r="F72" s="54">
        <f>'Расчет субсидий'!F74-1</f>
        <v>0</v>
      </c>
      <c r="G72" s="54">
        <f>F72*'Расчет субсидий'!G74</f>
        <v>0</v>
      </c>
      <c r="H72" s="50">
        <f t="shared" si="7"/>
        <v>0</v>
      </c>
      <c r="I72" s="49">
        <f t="shared" si="8"/>
        <v>-1.6618329466357302</v>
      </c>
    </row>
    <row r="73" spans="1:9" ht="15" customHeight="1">
      <c r="A73" s="31" t="s">
        <v>59</v>
      </c>
      <c r="B73" s="47">
        <f>'Расчет субсидий'!L75</f>
        <v>2.4818181818181841</v>
      </c>
      <c r="C73" s="54">
        <f>'Расчет субсидий'!D75-1</f>
        <v>4.4334975369458185E-2</v>
      </c>
      <c r="D73" s="54">
        <f>C73*'Расчет субсидий'!E75</f>
        <v>0.66502463054187277</v>
      </c>
      <c r="E73" s="50">
        <f t="shared" si="9"/>
        <v>2.4818181818181841</v>
      </c>
      <c r="F73" s="54">
        <f>'Расчет субсидий'!F75-1</f>
        <v>0</v>
      </c>
      <c r="G73" s="54">
        <f>F73*'Расчет субсидий'!G75</f>
        <v>0</v>
      </c>
      <c r="H73" s="50">
        <f t="shared" si="7"/>
        <v>0</v>
      </c>
      <c r="I73" s="49">
        <f t="shared" si="8"/>
        <v>0.66502463054187277</v>
      </c>
    </row>
    <row r="74" spans="1:9" ht="15" customHeight="1">
      <c r="A74" s="31" t="s">
        <v>60</v>
      </c>
      <c r="B74" s="47">
        <f>'Расчет субсидий'!L76</f>
        <v>-56.681818181818187</v>
      </c>
      <c r="C74" s="54">
        <f>'Расчет субсидий'!D76-1</f>
        <v>-0.73171936758893286</v>
      </c>
      <c r="D74" s="54">
        <f>C74*'Расчет субсидий'!E76</f>
        <v>-10.975790513833992</v>
      </c>
      <c r="E74" s="50">
        <f t="shared" si="9"/>
        <v>-56.681818181818187</v>
      </c>
      <c r="F74" s="54">
        <f>'Расчет субсидий'!F76-1</f>
        <v>0</v>
      </c>
      <c r="G74" s="54">
        <f>F74*'Расчет субсидий'!G76</f>
        <v>0</v>
      </c>
      <c r="H74" s="50">
        <f t="shared" si="7"/>
        <v>0</v>
      </c>
      <c r="I74" s="49">
        <f t="shared" si="8"/>
        <v>-10.975790513833992</v>
      </c>
    </row>
    <row r="75" spans="1:9" ht="15" customHeight="1">
      <c r="A75" s="30" t="s">
        <v>61</v>
      </c>
      <c r="B75" s="51"/>
      <c r="C75" s="52"/>
      <c r="D75" s="52"/>
      <c r="E75" s="53"/>
      <c r="F75" s="53"/>
      <c r="G75" s="53"/>
      <c r="H75" s="53"/>
      <c r="I75" s="53"/>
    </row>
    <row r="76" spans="1:9" ht="15" customHeight="1">
      <c r="A76" s="31" t="s">
        <v>62</v>
      </c>
      <c r="B76" s="47">
        <f>'Расчет субсидий'!L78</f>
        <v>-70.690909090909088</v>
      </c>
      <c r="C76" s="54">
        <f>'Расчет субсидий'!D78-1</f>
        <v>-0.56640542257996196</v>
      </c>
      <c r="D76" s="54">
        <f>C76*'Расчет субсидий'!E78</f>
        <v>-8.4960813386994296</v>
      </c>
      <c r="E76" s="50">
        <f>$B76*D76/$I76</f>
        <v>-70.690909090909088</v>
      </c>
      <c r="F76" s="54">
        <f>'Расчет субсидий'!F78-1</f>
        <v>0</v>
      </c>
      <c r="G76" s="54">
        <f>F76*'Расчет субсидий'!G78</f>
        <v>0</v>
      </c>
      <c r="H76" s="50">
        <f t="shared" si="7"/>
        <v>0</v>
      </c>
      <c r="I76" s="49">
        <f t="shared" si="8"/>
        <v>-8.4960813386994296</v>
      </c>
    </row>
    <row r="77" spans="1:9" ht="15" customHeight="1">
      <c r="A77" s="31" t="s">
        <v>63</v>
      </c>
      <c r="B77" s="47">
        <f>'Расчет субсидий'!L79</f>
        <v>20.290909090909082</v>
      </c>
      <c r="C77" s="54">
        <f>'Расчет субсидий'!D79-1</f>
        <v>0.20550544323483666</v>
      </c>
      <c r="D77" s="54">
        <f>C77*'Расчет субсидий'!E79</f>
        <v>3.0825816485225497</v>
      </c>
      <c r="E77" s="50">
        <f>$B77*D77/$I77</f>
        <v>20.290909090909082</v>
      </c>
      <c r="F77" s="54">
        <f>'Расчет субсидий'!F79-1</f>
        <v>0</v>
      </c>
      <c r="G77" s="54">
        <f>F77*'Расчет субсидий'!G79</f>
        <v>0</v>
      </c>
      <c r="H77" s="50">
        <f t="shared" si="7"/>
        <v>0</v>
      </c>
      <c r="I77" s="49">
        <f t="shared" si="8"/>
        <v>3.0825816485225497</v>
      </c>
    </row>
    <row r="78" spans="1:9" ht="15" customHeight="1">
      <c r="A78" s="31" t="s">
        <v>64</v>
      </c>
      <c r="B78" s="47">
        <f>'Расчет субсидий'!L80</f>
        <v>-90.490909090909099</v>
      </c>
      <c r="C78" s="54">
        <f>'Расчет субсидий'!D80-1</f>
        <v>-0.76123443421765025</v>
      </c>
      <c r="D78" s="54">
        <f>C78*'Расчет субсидий'!E80</f>
        <v>-11.418516513264754</v>
      </c>
      <c r="E78" s="50">
        <f>$B78*D78/$I78</f>
        <v>-90.490909090909099</v>
      </c>
      <c r="F78" s="54">
        <f>'Расчет субсидий'!F80-1</f>
        <v>0</v>
      </c>
      <c r="G78" s="54">
        <f>F78*'Расчет субсидий'!G80</f>
        <v>0</v>
      </c>
      <c r="H78" s="50">
        <f t="shared" si="7"/>
        <v>0</v>
      </c>
      <c r="I78" s="49">
        <f t="shared" si="8"/>
        <v>-11.418516513264754</v>
      </c>
    </row>
    <row r="79" spans="1:9" ht="15" customHeight="1">
      <c r="A79" s="31" t="s">
        <v>65</v>
      </c>
      <c r="B79" s="47">
        <f>'Расчет субсидий'!L81</f>
        <v>-53.063636363636363</v>
      </c>
      <c r="C79" s="54">
        <f>'Расчет субсидий'!D81-1</f>
        <v>-1</v>
      </c>
      <c r="D79" s="54">
        <f>C79*'Расчет субсидий'!E81</f>
        <v>-15</v>
      </c>
      <c r="E79" s="50">
        <f>$B79*D79/$I79</f>
        <v>-53.06363636363637</v>
      </c>
      <c r="F79" s="54">
        <f>'Расчет субсидий'!F81-1</f>
        <v>0</v>
      </c>
      <c r="G79" s="54">
        <f>F79*'Расчет субсидий'!G81</f>
        <v>0</v>
      </c>
      <c r="H79" s="50">
        <f t="shared" si="7"/>
        <v>0</v>
      </c>
      <c r="I79" s="49">
        <f t="shared" si="8"/>
        <v>-15</v>
      </c>
    </row>
    <row r="80" spans="1:9" ht="15" customHeight="1">
      <c r="A80" s="31" t="s">
        <v>66</v>
      </c>
      <c r="B80" s="47">
        <f>'Расчет субсидий'!L82</f>
        <v>42.55454545454549</v>
      </c>
      <c r="C80" s="54">
        <f>'Расчет субсидий'!D82-1</f>
        <v>0.30000000000000004</v>
      </c>
      <c r="D80" s="54">
        <f>C80*'Расчет субсидий'!E82</f>
        <v>4.5000000000000009</v>
      </c>
      <c r="E80" s="50">
        <f>$B80*D80/$I80</f>
        <v>42.55454545454549</v>
      </c>
      <c r="F80" s="54">
        <f>'Расчет субсидий'!F82-1</f>
        <v>0</v>
      </c>
      <c r="G80" s="54">
        <f>F80*'Расчет субсидий'!G82</f>
        <v>0</v>
      </c>
      <c r="H80" s="50">
        <f t="shared" si="7"/>
        <v>0</v>
      </c>
      <c r="I80" s="49">
        <f t="shared" si="8"/>
        <v>4.5000000000000009</v>
      </c>
    </row>
    <row r="81" spans="1:9" ht="15" customHeight="1">
      <c r="A81" s="30" t="s">
        <v>67</v>
      </c>
      <c r="B81" s="51"/>
      <c r="C81" s="52"/>
      <c r="D81" s="52"/>
      <c r="E81" s="53"/>
      <c r="F81" s="53"/>
      <c r="G81" s="53"/>
      <c r="H81" s="53"/>
      <c r="I81" s="53"/>
    </row>
    <row r="82" spans="1:9" ht="15" customHeight="1">
      <c r="A82" s="31" t="s">
        <v>68</v>
      </c>
      <c r="B82" s="47">
        <f>'Расчет субсидий'!L84</f>
        <v>-5.7272727272727266</v>
      </c>
      <c r="C82" s="54">
        <f>'Расчет субсидий'!D84-1</f>
        <v>-0.17496635262449534</v>
      </c>
      <c r="D82" s="54">
        <f>C82*'Расчет субсидий'!E84</f>
        <v>-2.62449528936743</v>
      </c>
      <c r="E82" s="50">
        <f t="shared" ref="E82:E89" si="10">$B82*D82/$I82</f>
        <v>-5.7272727272727266</v>
      </c>
      <c r="F82" s="54">
        <f>'Расчет субсидий'!F84-1</f>
        <v>0</v>
      </c>
      <c r="G82" s="54">
        <f>F82*'Расчет субсидий'!G84</f>
        <v>0</v>
      </c>
      <c r="H82" s="50">
        <f t="shared" si="7"/>
        <v>0</v>
      </c>
      <c r="I82" s="49">
        <f t="shared" si="8"/>
        <v>-2.62449528936743</v>
      </c>
    </row>
    <row r="83" spans="1:9" ht="15" customHeight="1">
      <c r="A83" s="31" t="s">
        <v>69</v>
      </c>
      <c r="B83" s="47">
        <f>'Расчет субсидий'!L85</f>
        <v>-6.2181818181818187</v>
      </c>
      <c r="C83" s="54">
        <f>'Расчет субсидий'!D85-1</f>
        <v>-0.20074381594879775</v>
      </c>
      <c r="D83" s="54">
        <f>C83*'Расчет субсидий'!E85</f>
        <v>-3.0111572392319665</v>
      </c>
      <c r="E83" s="50">
        <f t="shared" si="10"/>
        <v>-6.2181818181818187</v>
      </c>
      <c r="F83" s="54">
        <f>'Расчет субсидий'!F85-1</f>
        <v>0</v>
      </c>
      <c r="G83" s="54">
        <f>F83*'Расчет субсидий'!G85</f>
        <v>0</v>
      </c>
      <c r="H83" s="50">
        <f t="shared" si="7"/>
        <v>0</v>
      </c>
      <c r="I83" s="49">
        <f t="shared" si="8"/>
        <v>-3.0111572392319665</v>
      </c>
    </row>
    <row r="84" spans="1:9" ht="15" customHeight="1">
      <c r="A84" s="31" t="s">
        <v>70</v>
      </c>
      <c r="B84" s="47">
        <f>'Расчет субсидий'!L86</f>
        <v>-6.9818181818181841</v>
      </c>
      <c r="C84" s="54">
        <f>'Расчет субсидий'!D86-1</f>
        <v>-0.15081206496519717</v>
      </c>
      <c r="D84" s="54">
        <f>C84*'Расчет субсидий'!E86</f>
        <v>-2.2621809744779577</v>
      </c>
      <c r="E84" s="50">
        <f t="shared" si="10"/>
        <v>-6.9818181818181841</v>
      </c>
      <c r="F84" s="54">
        <f>'Расчет субсидий'!F86-1</f>
        <v>0</v>
      </c>
      <c r="G84" s="54">
        <f>F84*'Расчет субсидий'!G86</f>
        <v>0</v>
      </c>
      <c r="H84" s="50">
        <f t="shared" si="7"/>
        <v>0</v>
      </c>
      <c r="I84" s="49">
        <f t="shared" si="8"/>
        <v>-2.2621809744779577</v>
      </c>
    </row>
    <row r="85" spans="1:9" ht="15" customHeight="1">
      <c r="A85" s="31" t="s">
        <v>71</v>
      </c>
      <c r="B85" s="47">
        <f>'Расчет субсидий'!L87</f>
        <v>-4.8363636363636431</v>
      </c>
      <c r="C85" s="54">
        <f>'Расчет субсидий'!D87-1</f>
        <v>-8.1451060917180018E-2</v>
      </c>
      <c r="D85" s="54">
        <f>C85*'Расчет субсидий'!E87</f>
        <v>-1.2217659137577002</v>
      </c>
      <c r="E85" s="50">
        <f t="shared" si="10"/>
        <v>-4.8363636363636431</v>
      </c>
      <c r="F85" s="54">
        <f>'Расчет субсидий'!F87-1</f>
        <v>0</v>
      </c>
      <c r="G85" s="54">
        <f>F85*'Расчет субсидий'!G87</f>
        <v>0</v>
      </c>
      <c r="H85" s="50">
        <f t="shared" si="7"/>
        <v>0</v>
      </c>
      <c r="I85" s="49">
        <f t="shared" si="8"/>
        <v>-1.2217659137577002</v>
      </c>
    </row>
    <row r="86" spans="1:9" ht="15" customHeight="1">
      <c r="A86" s="31" t="s">
        <v>72</v>
      </c>
      <c r="B86" s="47">
        <f>'Расчет субсидий'!L88</f>
        <v>3.2363636363636346</v>
      </c>
      <c r="C86" s="54">
        <f>'Расчет субсидий'!D88-1</f>
        <v>0.136873920552677</v>
      </c>
      <c r="D86" s="54">
        <f>C86*'Расчет субсидий'!E88</f>
        <v>2.0531088082901547</v>
      </c>
      <c r="E86" s="50">
        <f t="shared" si="10"/>
        <v>3.2363636363636346</v>
      </c>
      <c r="F86" s="54">
        <f>'Расчет субсидий'!F88-1</f>
        <v>0</v>
      </c>
      <c r="G86" s="54">
        <f>F86*'Расчет субсидий'!G88</f>
        <v>0</v>
      </c>
      <c r="H86" s="50">
        <f t="shared" si="7"/>
        <v>0</v>
      </c>
      <c r="I86" s="49">
        <f t="shared" si="8"/>
        <v>2.0531088082901547</v>
      </c>
    </row>
    <row r="87" spans="1:9" ht="15" customHeight="1">
      <c r="A87" s="31" t="s">
        <v>73</v>
      </c>
      <c r="B87" s="47">
        <f>'Расчет субсидий'!L89</f>
        <v>-68.672727272727286</v>
      </c>
      <c r="C87" s="54">
        <f>'Расчет субсидий'!D89-1</f>
        <v>-0.79914326511185152</v>
      </c>
      <c r="D87" s="54">
        <f>C87*'Расчет субсидий'!E89</f>
        <v>-11.987148976677773</v>
      </c>
      <c r="E87" s="50">
        <f t="shared" si="10"/>
        <v>-68.672727272727286</v>
      </c>
      <c r="F87" s="54">
        <f>'Расчет субсидий'!F89-1</f>
        <v>0</v>
      </c>
      <c r="G87" s="54">
        <f>F87*'Расчет субсидий'!G89</f>
        <v>0</v>
      </c>
      <c r="H87" s="50">
        <f t="shared" si="7"/>
        <v>0</v>
      </c>
      <c r="I87" s="49">
        <f t="shared" si="8"/>
        <v>-11.987148976677773</v>
      </c>
    </row>
    <row r="88" spans="1:9" ht="15" customHeight="1">
      <c r="A88" s="31" t="s">
        <v>74</v>
      </c>
      <c r="B88" s="47">
        <f>'Расчет субсидий'!L90</f>
        <v>-83.827272727272714</v>
      </c>
      <c r="C88" s="54">
        <f>'Расчет субсидий'!D90-1</f>
        <v>-1</v>
      </c>
      <c r="D88" s="54">
        <f>C88*'Расчет субсидий'!E90</f>
        <v>-15</v>
      </c>
      <c r="E88" s="50">
        <f t="shared" si="10"/>
        <v>-83.827272727272714</v>
      </c>
      <c r="F88" s="54">
        <f>'Расчет субсидий'!F90-1</f>
        <v>0</v>
      </c>
      <c r="G88" s="54">
        <f>F88*'Расчет субсидий'!G90</f>
        <v>0</v>
      </c>
      <c r="H88" s="50">
        <f t="shared" si="7"/>
        <v>0</v>
      </c>
      <c r="I88" s="49">
        <f t="shared" si="8"/>
        <v>-15</v>
      </c>
    </row>
    <row r="89" spans="1:9" ht="15" customHeight="1">
      <c r="A89" s="31" t="s">
        <v>75</v>
      </c>
      <c r="B89" s="47">
        <f>'Расчет субсидий'!L91</f>
        <v>12.209090909090904</v>
      </c>
      <c r="C89" s="54">
        <f>'Расчет субсидий'!D91-1</f>
        <v>0.30000000000000004</v>
      </c>
      <c r="D89" s="54">
        <f>C89*'Расчет субсидий'!E91</f>
        <v>4.5000000000000009</v>
      </c>
      <c r="E89" s="50">
        <f t="shared" si="10"/>
        <v>12.209090909090904</v>
      </c>
      <c r="F89" s="54">
        <f>'Расчет субсидий'!F91-1</f>
        <v>0</v>
      </c>
      <c r="G89" s="54">
        <f>F89*'Расчет субсидий'!G91</f>
        <v>0</v>
      </c>
      <c r="H89" s="50">
        <f t="shared" si="7"/>
        <v>0</v>
      </c>
      <c r="I89" s="49">
        <f t="shared" si="8"/>
        <v>4.5000000000000009</v>
      </c>
    </row>
    <row r="90" spans="1:9" ht="15" customHeight="1">
      <c r="A90" s="30" t="s">
        <v>76</v>
      </c>
      <c r="B90" s="51"/>
      <c r="C90" s="52"/>
      <c r="D90" s="52"/>
      <c r="E90" s="53"/>
      <c r="F90" s="53"/>
      <c r="G90" s="53"/>
      <c r="H90" s="53"/>
      <c r="I90" s="53"/>
    </row>
    <row r="91" spans="1:9" ht="15" customHeight="1">
      <c r="A91" s="31" t="s">
        <v>77</v>
      </c>
      <c r="B91" s="47">
        <f>'Расчет субсидий'!L93</f>
        <v>19.818181818181813</v>
      </c>
      <c r="C91" s="54">
        <f>'Расчет субсидий'!D93-1</f>
        <v>0.21875432525951544</v>
      </c>
      <c r="D91" s="54">
        <f>C91*'Расчет субсидий'!E93</f>
        <v>3.2813148788927315</v>
      </c>
      <c r="E91" s="50">
        <f t="shared" ref="E91:E99" si="11">$B91*D91/$I91</f>
        <v>19.818181818181817</v>
      </c>
      <c r="F91" s="54">
        <f>'Расчет субсидий'!F93-1</f>
        <v>0</v>
      </c>
      <c r="G91" s="54">
        <f>F91*'Расчет субсидий'!G93</f>
        <v>0</v>
      </c>
      <c r="H91" s="50">
        <f t="shared" si="7"/>
        <v>0</v>
      </c>
      <c r="I91" s="49">
        <f t="shared" si="8"/>
        <v>3.2813148788927315</v>
      </c>
    </row>
    <row r="92" spans="1:9" ht="15" customHeight="1">
      <c r="A92" s="31" t="s">
        <v>78</v>
      </c>
      <c r="B92" s="47">
        <f>'Расчет субсидий'!L94</f>
        <v>-9.6636363636363569</v>
      </c>
      <c r="C92" s="54">
        <f>'Расчет субсидий'!D94-1</f>
        <v>-0.15430408381950234</v>
      </c>
      <c r="D92" s="54">
        <f>C92*'Расчет субсидий'!E94</f>
        <v>-2.3145612572925351</v>
      </c>
      <c r="E92" s="50">
        <f t="shared" si="11"/>
        <v>-9.6636363636363569</v>
      </c>
      <c r="F92" s="54">
        <f>'Расчет субсидий'!F94-1</f>
        <v>0</v>
      </c>
      <c r="G92" s="54">
        <f>F92*'Расчет субсидий'!G94</f>
        <v>0</v>
      </c>
      <c r="H92" s="50">
        <f t="shared" si="7"/>
        <v>0</v>
      </c>
      <c r="I92" s="49">
        <f t="shared" si="8"/>
        <v>-2.3145612572925351</v>
      </c>
    </row>
    <row r="93" spans="1:9" ht="15" customHeight="1">
      <c r="A93" s="31" t="s">
        <v>79</v>
      </c>
      <c r="B93" s="47">
        <f>'Расчет субсидий'!L95</f>
        <v>-59.099999999999994</v>
      </c>
      <c r="C93" s="54">
        <f>'Расчет субсидий'!D95-1</f>
        <v>-0.37046979865771812</v>
      </c>
      <c r="D93" s="54">
        <f>C93*'Расчет субсидий'!E95</f>
        <v>-5.5570469798657722</v>
      </c>
      <c r="E93" s="50">
        <f t="shared" si="11"/>
        <v>-59.099999999999994</v>
      </c>
      <c r="F93" s="54">
        <f>'Расчет субсидий'!F95-1</f>
        <v>0</v>
      </c>
      <c r="G93" s="54">
        <f>F93*'Расчет субсидий'!G95</f>
        <v>0</v>
      </c>
      <c r="H93" s="50">
        <f t="shared" si="7"/>
        <v>0</v>
      </c>
      <c r="I93" s="49">
        <f t="shared" si="8"/>
        <v>-5.5570469798657722</v>
      </c>
    </row>
    <row r="94" spans="1:9" ht="15" customHeight="1">
      <c r="A94" s="31" t="s">
        <v>80</v>
      </c>
      <c r="B94" s="47">
        <f>'Расчет субсидий'!L96</f>
        <v>-16.936363636363637</v>
      </c>
      <c r="C94" s="54">
        <f>'Расчет субсидий'!D96-1</f>
        <v>-0.10597658656808384</v>
      </c>
      <c r="D94" s="54">
        <f>C94*'Расчет субсидий'!E96</f>
        <v>-1.5896487985212575</v>
      </c>
      <c r="E94" s="50">
        <f t="shared" si="11"/>
        <v>-16.936363636363637</v>
      </c>
      <c r="F94" s="54">
        <f>'Расчет субсидий'!F96-1</f>
        <v>0</v>
      </c>
      <c r="G94" s="54">
        <f>F94*'Расчет субсидий'!G96</f>
        <v>0</v>
      </c>
      <c r="H94" s="50">
        <f t="shared" si="7"/>
        <v>0</v>
      </c>
      <c r="I94" s="49">
        <f t="shared" si="8"/>
        <v>-1.5896487985212575</v>
      </c>
    </row>
    <row r="95" spans="1:9">
      <c r="A95" s="31" t="s">
        <v>81</v>
      </c>
      <c r="B95" s="47">
        <f>'Расчет субсидий'!L97</f>
        <v>24.872727272727275</v>
      </c>
      <c r="C95" s="54">
        <f>'Расчет субсидий'!D97-1</f>
        <v>0.22125500667556741</v>
      </c>
      <c r="D95" s="54">
        <f>C95*'Расчет субсидий'!E97</f>
        <v>3.3188251001335112</v>
      </c>
      <c r="E95" s="50">
        <f t="shared" si="11"/>
        <v>24.872727272727271</v>
      </c>
      <c r="F95" s="54">
        <f>'Расчет субсидий'!F97-1</f>
        <v>0</v>
      </c>
      <c r="G95" s="54">
        <f>F95*'Расчет субсидий'!G97</f>
        <v>0</v>
      </c>
      <c r="H95" s="50">
        <f t="shared" si="7"/>
        <v>0</v>
      </c>
      <c r="I95" s="49">
        <f t="shared" si="8"/>
        <v>3.3188251001335112</v>
      </c>
    </row>
    <row r="96" spans="1:9" ht="15" customHeight="1">
      <c r="A96" s="31" t="s">
        <v>82</v>
      </c>
      <c r="B96" s="47">
        <f>'Расчет субсидий'!L98</f>
        <v>-22.72727272727272</v>
      </c>
      <c r="C96" s="54">
        <f>'Расчет субсидий'!D98-1</f>
        <v>-0.23967774420946619</v>
      </c>
      <c r="D96" s="54">
        <f>C96*'Расчет субсидий'!E98</f>
        <v>-3.5951661631419931</v>
      </c>
      <c r="E96" s="50">
        <f t="shared" si="11"/>
        <v>-22.72727272727272</v>
      </c>
      <c r="F96" s="54">
        <f>'Расчет субсидий'!F98-1</f>
        <v>0</v>
      </c>
      <c r="G96" s="54">
        <f>F96*'Расчет субсидий'!G98</f>
        <v>0</v>
      </c>
      <c r="H96" s="50">
        <f t="shared" si="7"/>
        <v>0</v>
      </c>
      <c r="I96" s="49">
        <f t="shared" si="8"/>
        <v>-3.5951661631419931</v>
      </c>
    </row>
    <row r="97" spans="1:9" ht="15" customHeight="1">
      <c r="A97" s="31" t="s">
        <v>83</v>
      </c>
      <c r="B97" s="47">
        <f>'Расчет субсидий'!L99</f>
        <v>-52.890909090909105</v>
      </c>
      <c r="C97" s="54">
        <f>'Расчет субсидий'!D99-1</f>
        <v>-0.47135416666666663</v>
      </c>
      <c r="D97" s="54">
        <f>C97*'Расчет субсидий'!E99</f>
        <v>-7.0703124999999991</v>
      </c>
      <c r="E97" s="50">
        <f t="shared" si="11"/>
        <v>-52.890909090909105</v>
      </c>
      <c r="F97" s="54">
        <f>'Расчет субсидий'!F99-1</f>
        <v>0</v>
      </c>
      <c r="G97" s="54">
        <f>F97*'Расчет субсидий'!G99</f>
        <v>0</v>
      </c>
      <c r="H97" s="50">
        <f t="shared" si="7"/>
        <v>0</v>
      </c>
      <c r="I97" s="49">
        <f t="shared" si="8"/>
        <v>-7.0703124999999991</v>
      </c>
    </row>
    <row r="98" spans="1:9" ht="15" customHeight="1">
      <c r="A98" s="31" t="s">
        <v>84</v>
      </c>
      <c r="B98" s="47">
        <f>'Расчет субсидий'!L100</f>
        <v>33.327272727272714</v>
      </c>
      <c r="C98" s="54">
        <f>'Расчет субсидий'!D100-1</f>
        <v>0.30000000000000004</v>
      </c>
      <c r="D98" s="54">
        <f>C98*'Расчет субсидий'!E100</f>
        <v>4.5000000000000009</v>
      </c>
      <c r="E98" s="50">
        <f t="shared" si="11"/>
        <v>33.327272727272714</v>
      </c>
      <c r="F98" s="54">
        <f>'Расчет субсидий'!F100-1</f>
        <v>0</v>
      </c>
      <c r="G98" s="54">
        <f>F98*'Расчет субсидий'!G100</f>
        <v>0</v>
      </c>
      <c r="H98" s="50">
        <f t="shared" si="7"/>
        <v>0</v>
      </c>
      <c r="I98" s="49">
        <f t="shared" si="8"/>
        <v>4.5000000000000009</v>
      </c>
    </row>
    <row r="99" spans="1:9" ht="15" customHeight="1">
      <c r="A99" s="31" t="s">
        <v>85</v>
      </c>
      <c r="B99" s="47">
        <f>'Расчет субсидий'!L101</f>
        <v>-13.172727272727286</v>
      </c>
      <c r="C99" s="54">
        <f>'Расчет субсидий'!D101-1</f>
        <v>-0.11555864949530115</v>
      </c>
      <c r="D99" s="54">
        <f>C99*'Расчет субсидий'!E101</f>
        <v>-1.7333797424295172</v>
      </c>
      <c r="E99" s="50">
        <f t="shared" si="11"/>
        <v>-13.172727272727286</v>
      </c>
      <c r="F99" s="54">
        <f>'Расчет субсидий'!F101-1</f>
        <v>0</v>
      </c>
      <c r="G99" s="54">
        <f>F99*'Расчет субсидий'!G101</f>
        <v>0</v>
      </c>
      <c r="H99" s="50">
        <f t="shared" si="7"/>
        <v>0</v>
      </c>
      <c r="I99" s="49">
        <f t="shared" si="8"/>
        <v>-1.7333797424295172</v>
      </c>
    </row>
    <row r="100" spans="1:9" ht="15" customHeight="1">
      <c r="A100" s="30" t="s">
        <v>86</v>
      </c>
      <c r="B100" s="51"/>
      <c r="C100" s="52"/>
      <c r="D100" s="52"/>
      <c r="E100" s="53"/>
      <c r="F100" s="53"/>
      <c r="G100" s="53"/>
      <c r="H100" s="53"/>
      <c r="I100" s="53"/>
    </row>
    <row r="101" spans="1:9" ht="15" customHeight="1">
      <c r="A101" s="31" t="s">
        <v>87</v>
      </c>
      <c r="B101" s="47">
        <f>'Расчет субсидий'!L103</f>
        <v>-27.736363636363635</v>
      </c>
      <c r="C101" s="54">
        <f>'Расчет субсидий'!D103-1</f>
        <v>-0.47750865051903113</v>
      </c>
      <c r="D101" s="54">
        <f>C101*'Расчет субсидий'!E103</f>
        <v>-7.1626297577854672</v>
      </c>
      <c r="E101" s="50">
        <f t="shared" ref="E101:E113" si="12">$B101*D101/$I101</f>
        <v>-27.736363636363635</v>
      </c>
      <c r="F101" s="54">
        <f>'Расчет субсидий'!F103-1</f>
        <v>0</v>
      </c>
      <c r="G101" s="54">
        <f>F101*'Расчет субсидий'!G103</f>
        <v>0</v>
      </c>
      <c r="H101" s="50">
        <f t="shared" si="7"/>
        <v>0</v>
      </c>
      <c r="I101" s="49">
        <f t="shared" si="8"/>
        <v>-7.1626297577854672</v>
      </c>
    </row>
    <row r="102" spans="1:9" ht="15" customHeight="1">
      <c r="A102" s="31" t="s">
        <v>88</v>
      </c>
      <c r="B102" s="47">
        <f>'Расчет субсидий'!L104</f>
        <v>-27.254545454545479</v>
      </c>
      <c r="C102" s="54">
        <f>'Расчет субсидий'!D104-1</f>
        <v>-0.21265916415702435</v>
      </c>
      <c r="D102" s="54">
        <f>C102*'Расчет субсидий'!E104</f>
        <v>-3.1898874623553652</v>
      </c>
      <c r="E102" s="50">
        <f t="shared" si="12"/>
        <v>-27.254545454545479</v>
      </c>
      <c r="F102" s="54">
        <f>'Расчет субсидий'!F104-1</f>
        <v>0</v>
      </c>
      <c r="G102" s="54">
        <f>F102*'Расчет субсидий'!G104</f>
        <v>0</v>
      </c>
      <c r="H102" s="50">
        <f t="shared" si="7"/>
        <v>0</v>
      </c>
      <c r="I102" s="49">
        <f t="shared" si="8"/>
        <v>-3.1898874623553652</v>
      </c>
    </row>
    <row r="103" spans="1:9" ht="15" customHeight="1">
      <c r="A103" s="31" t="s">
        <v>89</v>
      </c>
      <c r="B103" s="47">
        <f>'Расчет субсидий'!L105</f>
        <v>-30.009090909090901</v>
      </c>
      <c r="C103" s="54">
        <f>'Расчет субсидий'!D105-1</f>
        <v>-0.48069022185702548</v>
      </c>
      <c r="D103" s="54">
        <f>C103*'Расчет субсидий'!E105</f>
        <v>-7.2103533278553824</v>
      </c>
      <c r="E103" s="50">
        <f t="shared" si="12"/>
        <v>-30.009090909090901</v>
      </c>
      <c r="F103" s="54">
        <f>'Расчет субсидий'!F105-1</f>
        <v>0</v>
      </c>
      <c r="G103" s="54">
        <f>F103*'Расчет субсидий'!G105</f>
        <v>0</v>
      </c>
      <c r="H103" s="50">
        <f t="shared" si="7"/>
        <v>0</v>
      </c>
      <c r="I103" s="49">
        <f t="shared" si="8"/>
        <v>-7.2103533278553824</v>
      </c>
    </row>
    <row r="104" spans="1:9" ht="15" customHeight="1">
      <c r="A104" s="31" t="s">
        <v>90</v>
      </c>
      <c r="B104" s="47">
        <f>'Расчет субсидий'!L106</f>
        <v>14.345454545454544</v>
      </c>
      <c r="C104" s="54">
        <f>'Расчет субсидий'!D106-1</f>
        <v>0.21450704225352113</v>
      </c>
      <c r="D104" s="54">
        <f>C104*'Расчет субсидий'!E106</f>
        <v>3.2176056338028172</v>
      </c>
      <c r="E104" s="50">
        <f t="shared" si="12"/>
        <v>14.345454545454544</v>
      </c>
      <c r="F104" s="54">
        <f>'Расчет субсидий'!F106-1</f>
        <v>0</v>
      </c>
      <c r="G104" s="54">
        <f>F104*'Расчет субсидий'!G106</f>
        <v>0</v>
      </c>
      <c r="H104" s="50">
        <f t="shared" si="7"/>
        <v>0</v>
      </c>
      <c r="I104" s="49">
        <f t="shared" si="8"/>
        <v>3.2176056338028172</v>
      </c>
    </row>
    <row r="105" spans="1:9" ht="15" customHeight="1">
      <c r="A105" s="31" t="s">
        <v>91</v>
      </c>
      <c r="B105" s="47">
        <f>'Расчет субсидий'!L107</f>
        <v>28.854545454545473</v>
      </c>
      <c r="C105" s="54">
        <f>'Расчет субсидий'!D107-1</f>
        <v>0.30000000000000004</v>
      </c>
      <c r="D105" s="54">
        <f>C105*'Расчет субсидий'!E107</f>
        <v>4.5000000000000009</v>
      </c>
      <c r="E105" s="50">
        <f t="shared" si="12"/>
        <v>28.854545454545473</v>
      </c>
      <c r="F105" s="54">
        <f>'Расчет субсидий'!F107-1</f>
        <v>0</v>
      </c>
      <c r="G105" s="54">
        <f>F105*'Расчет субсидий'!G107</f>
        <v>0</v>
      </c>
      <c r="H105" s="50">
        <f t="shared" si="7"/>
        <v>0</v>
      </c>
      <c r="I105" s="49">
        <f t="shared" si="8"/>
        <v>4.5000000000000009</v>
      </c>
    </row>
    <row r="106" spans="1:9" ht="15" customHeight="1">
      <c r="A106" s="31" t="s">
        <v>92</v>
      </c>
      <c r="B106" s="47">
        <f>'Расчет субсидий'!L108</f>
        <v>-37.045454545454547</v>
      </c>
      <c r="C106" s="54">
        <f>'Расчет субсидий'!D108-1</f>
        <v>-0.53448275862068972</v>
      </c>
      <c r="D106" s="54">
        <f>C106*'Расчет субсидий'!E108</f>
        <v>-8.0172413793103452</v>
      </c>
      <c r="E106" s="50">
        <f t="shared" si="12"/>
        <v>-37.045454545454547</v>
      </c>
      <c r="F106" s="54">
        <f>'Расчет субсидий'!F108-1</f>
        <v>0</v>
      </c>
      <c r="G106" s="54">
        <f>F106*'Расчет субсидий'!G108</f>
        <v>0</v>
      </c>
      <c r="H106" s="50">
        <f t="shared" si="7"/>
        <v>0</v>
      </c>
      <c r="I106" s="49">
        <f t="shared" si="8"/>
        <v>-8.0172413793103452</v>
      </c>
    </row>
    <row r="107" spans="1:9" ht="15" customHeight="1">
      <c r="A107" s="31" t="s">
        <v>93</v>
      </c>
      <c r="B107" s="47">
        <f>'Расчет субсидий'!L109</f>
        <v>13.854545454545473</v>
      </c>
      <c r="C107" s="54">
        <f>'Расчет субсидий'!D109-1</f>
        <v>0.13835198372329605</v>
      </c>
      <c r="D107" s="54">
        <f>C107*'Расчет субсидий'!E109</f>
        <v>2.0752797558494409</v>
      </c>
      <c r="E107" s="50">
        <f t="shared" si="12"/>
        <v>13.854545454545473</v>
      </c>
      <c r="F107" s="54">
        <f>'Расчет субсидий'!F109-1</f>
        <v>0</v>
      </c>
      <c r="G107" s="54">
        <f>F107*'Расчет субсидий'!G109</f>
        <v>0</v>
      </c>
      <c r="H107" s="50">
        <f t="shared" si="7"/>
        <v>0</v>
      </c>
      <c r="I107" s="49">
        <f t="shared" si="8"/>
        <v>2.0752797558494409</v>
      </c>
    </row>
    <row r="108" spans="1:9" ht="15" customHeight="1">
      <c r="A108" s="31" t="s">
        <v>94</v>
      </c>
      <c r="B108" s="47">
        <f>'Расчет субсидий'!L110</f>
        <v>27.472727272727269</v>
      </c>
      <c r="C108" s="54">
        <f>'Расчет субсидий'!D110-1</f>
        <v>0.27589905362776013</v>
      </c>
      <c r="D108" s="54">
        <f>C108*'Расчет субсидий'!E110</f>
        <v>4.1384858044164021</v>
      </c>
      <c r="E108" s="50">
        <f t="shared" si="12"/>
        <v>27.472727272727269</v>
      </c>
      <c r="F108" s="54">
        <f>'Расчет субсидий'!F110-1</f>
        <v>0</v>
      </c>
      <c r="G108" s="54">
        <f>F108*'Расчет субсидий'!G110</f>
        <v>0</v>
      </c>
      <c r="H108" s="50">
        <f t="shared" si="7"/>
        <v>0</v>
      </c>
      <c r="I108" s="49">
        <f t="shared" si="8"/>
        <v>4.1384858044164021</v>
      </c>
    </row>
    <row r="109" spans="1:9" ht="15" customHeight="1">
      <c r="A109" s="31" t="s">
        <v>95</v>
      </c>
      <c r="B109" s="47">
        <f>'Расчет субсидий'!L111</f>
        <v>-6.827272727272728</v>
      </c>
      <c r="C109" s="54">
        <f>'Расчет субсидий'!D111-1</f>
        <v>-9.9429115128448986E-2</v>
      </c>
      <c r="D109" s="54">
        <f>C109*'Расчет субсидий'!E111</f>
        <v>-1.4914367269267348</v>
      </c>
      <c r="E109" s="50">
        <f t="shared" si="12"/>
        <v>-6.827272727272728</v>
      </c>
      <c r="F109" s="54">
        <f>'Расчет субсидий'!F111-1</f>
        <v>0</v>
      </c>
      <c r="G109" s="54">
        <f>F109*'Расчет субсидий'!G111</f>
        <v>0</v>
      </c>
      <c r="H109" s="50">
        <f t="shared" si="7"/>
        <v>0</v>
      </c>
      <c r="I109" s="49">
        <f t="shared" si="8"/>
        <v>-1.4914367269267348</v>
      </c>
    </row>
    <row r="110" spans="1:9" ht="15" customHeight="1">
      <c r="A110" s="31" t="s">
        <v>96</v>
      </c>
      <c r="B110" s="47">
        <f>'Расчет субсидий'!L112</f>
        <v>21.645454545454527</v>
      </c>
      <c r="C110" s="54">
        <f>'Расчет субсидий'!D112-1</f>
        <v>0.22103967168262662</v>
      </c>
      <c r="D110" s="54">
        <f>C110*'Расчет субсидий'!E112</f>
        <v>3.3155950752393992</v>
      </c>
      <c r="E110" s="50">
        <f t="shared" si="12"/>
        <v>21.645454545454527</v>
      </c>
      <c r="F110" s="54">
        <f>'Расчет субсидий'!F112-1</f>
        <v>0</v>
      </c>
      <c r="G110" s="54">
        <f>F110*'Расчет субсидий'!G112</f>
        <v>0</v>
      </c>
      <c r="H110" s="50">
        <f t="shared" si="7"/>
        <v>0</v>
      </c>
      <c r="I110" s="49">
        <f t="shared" si="8"/>
        <v>3.3155950752393992</v>
      </c>
    </row>
    <row r="111" spans="1:9" ht="15" customHeight="1">
      <c r="A111" s="31" t="s">
        <v>97</v>
      </c>
      <c r="B111" s="47">
        <f>'Расчет субсидий'!L113</f>
        <v>-40.072727272727263</v>
      </c>
      <c r="C111" s="54">
        <f>'Расчет субсидий'!D113-1</f>
        <v>-0.81234567901234567</v>
      </c>
      <c r="D111" s="54">
        <f>C111*'Расчет субсидий'!E113</f>
        <v>-12.185185185185185</v>
      </c>
      <c r="E111" s="50">
        <f t="shared" si="12"/>
        <v>-40.072727272727263</v>
      </c>
      <c r="F111" s="54">
        <f>'Расчет субсидий'!F113-1</f>
        <v>0</v>
      </c>
      <c r="G111" s="54">
        <f>F111*'Расчет субсидий'!G113</f>
        <v>0</v>
      </c>
      <c r="H111" s="50">
        <f t="shared" si="7"/>
        <v>0</v>
      </c>
      <c r="I111" s="49">
        <f t="shared" si="8"/>
        <v>-12.185185185185185</v>
      </c>
    </row>
    <row r="112" spans="1:9" ht="15" customHeight="1">
      <c r="A112" s="31" t="s">
        <v>98</v>
      </c>
      <c r="B112" s="47">
        <f>'Расчет субсидий'!L114</f>
        <v>-7.2363636363636346</v>
      </c>
      <c r="C112" s="54">
        <f>'Расчет субсидий'!D114-1</f>
        <v>-0.11415525114155256</v>
      </c>
      <c r="D112" s="54">
        <f>C112*'Расчет субсидий'!E114</f>
        <v>-1.7123287671232883</v>
      </c>
      <c r="E112" s="50">
        <f t="shared" si="12"/>
        <v>-7.2363636363636337</v>
      </c>
      <c r="F112" s="54">
        <f>'Расчет субсидий'!F114-1</f>
        <v>0</v>
      </c>
      <c r="G112" s="54">
        <f>F112*'Расчет субсидий'!G114</f>
        <v>0</v>
      </c>
      <c r="H112" s="50">
        <f t="shared" si="7"/>
        <v>0</v>
      </c>
      <c r="I112" s="49">
        <f t="shared" si="8"/>
        <v>-1.7123287671232883</v>
      </c>
    </row>
    <row r="113" spans="1:9" ht="15" customHeight="1">
      <c r="A113" s="31" t="s">
        <v>99</v>
      </c>
      <c r="B113" s="47">
        <f>'Расчет субсидий'!L115</f>
        <v>-5.2909090909090963</v>
      </c>
      <c r="C113" s="54">
        <f>'Расчет субсидий'!D115-1</f>
        <v>-0.10935960591132998</v>
      </c>
      <c r="D113" s="54">
        <f>C113*'Расчет субсидий'!E115</f>
        <v>-1.6403940886699497</v>
      </c>
      <c r="E113" s="50">
        <f t="shared" si="12"/>
        <v>-5.2909090909090963</v>
      </c>
      <c r="F113" s="54">
        <f>'Расчет субсидий'!F115-1</f>
        <v>0</v>
      </c>
      <c r="G113" s="54">
        <f>F113*'Расчет субсидий'!G115</f>
        <v>0</v>
      </c>
      <c r="H113" s="50">
        <f t="shared" si="7"/>
        <v>0</v>
      </c>
      <c r="I113" s="49">
        <f t="shared" si="8"/>
        <v>-1.6403940886699497</v>
      </c>
    </row>
    <row r="114" spans="1:9" ht="15" customHeight="1">
      <c r="A114" s="30" t="s">
        <v>100</v>
      </c>
      <c r="B114" s="51"/>
      <c r="C114" s="52"/>
      <c r="D114" s="52"/>
      <c r="E114" s="53"/>
      <c r="F114" s="53"/>
      <c r="G114" s="53"/>
      <c r="H114" s="53"/>
      <c r="I114" s="53"/>
    </row>
    <row r="115" spans="1:9" ht="15" customHeight="1">
      <c r="A115" s="31" t="s">
        <v>101</v>
      </c>
      <c r="B115" s="47">
        <f>'Расчет субсидий'!L117</f>
        <v>3.5272727272727309</v>
      </c>
      <c r="C115" s="54">
        <f>'Расчет субсидий'!D117-1</f>
        <v>2.3485419132680541E-2</v>
      </c>
      <c r="D115" s="54">
        <f>C115*'Расчет субсидий'!E117</f>
        <v>0.35228128699020811</v>
      </c>
      <c r="E115" s="50">
        <f t="shared" ref="E115:E129" si="13">$B115*D115/$I115</f>
        <v>3.5272727272727309</v>
      </c>
      <c r="F115" s="54">
        <f>'Расчет субсидий'!F117-1</f>
        <v>0</v>
      </c>
      <c r="G115" s="54">
        <f>F115*'Расчет субсидий'!G117</f>
        <v>0</v>
      </c>
      <c r="H115" s="50">
        <f t="shared" si="7"/>
        <v>0</v>
      </c>
      <c r="I115" s="49">
        <f t="shared" si="8"/>
        <v>0.35228128699020811</v>
      </c>
    </row>
    <row r="116" spans="1:9" ht="15" customHeight="1">
      <c r="A116" s="31" t="s">
        <v>102</v>
      </c>
      <c r="B116" s="47">
        <f>'Расчет субсидий'!L118</f>
        <v>19.927272727272708</v>
      </c>
      <c r="C116" s="54">
        <f>'Расчет субсидий'!D118-1</f>
        <v>0.13814779983170822</v>
      </c>
      <c r="D116" s="54">
        <f>C116*'Расчет субсидий'!E118</f>
        <v>2.072216997475623</v>
      </c>
      <c r="E116" s="50">
        <f t="shared" si="13"/>
        <v>19.927272727272708</v>
      </c>
      <c r="F116" s="54">
        <f>'Расчет субсидий'!F118-1</f>
        <v>0</v>
      </c>
      <c r="G116" s="54">
        <f>F116*'Расчет субсидий'!G118</f>
        <v>0</v>
      </c>
      <c r="H116" s="50">
        <f t="shared" si="7"/>
        <v>0</v>
      </c>
      <c r="I116" s="49">
        <f t="shared" si="8"/>
        <v>2.072216997475623</v>
      </c>
    </row>
    <row r="117" spans="1:9" ht="15" customHeight="1">
      <c r="A117" s="31" t="s">
        <v>103</v>
      </c>
      <c r="B117" s="47">
        <f>'Расчет субсидий'!L119</f>
        <v>-222.94545454545457</v>
      </c>
      <c r="C117" s="54">
        <f>'Расчет субсидий'!D119-1</f>
        <v>-1</v>
      </c>
      <c r="D117" s="54">
        <f>C117*'Расчет субсидий'!E119</f>
        <v>-15</v>
      </c>
      <c r="E117" s="50">
        <f t="shared" si="13"/>
        <v>-222.94545454545457</v>
      </c>
      <c r="F117" s="54">
        <f>'Расчет субсидий'!F119-1</f>
        <v>0</v>
      </c>
      <c r="G117" s="54">
        <f>F117*'Расчет субсидий'!G119</f>
        <v>0</v>
      </c>
      <c r="H117" s="50">
        <f t="shared" si="7"/>
        <v>0</v>
      </c>
      <c r="I117" s="49">
        <f t="shared" si="8"/>
        <v>-15</v>
      </c>
    </row>
    <row r="118" spans="1:9" ht="15" customHeight="1">
      <c r="A118" s="31" t="s">
        <v>104</v>
      </c>
      <c r="B118" s="47">
        <f>'Расчет субсидий'!L120</f>
        <v>15.663636363636385</v>
      </c>
      <c r="C118" s="54">
        <f>'Расчет субсидий'!D120-1</f>
        <v>0.10499930371814514</v>
      </c>
      <c r="D118" s="54">
        <f>C118*'Расчет субсидий'!E120</f>
        <v>1.5749895557721771</v>
      </c>
      <c r="E118" s="50">
        <f t="shared" si="13"/>
        <v>15.663636363636385</v>
      </c>
      <c r="F118" s="54">
        <f>'Расчет субсидий'!F120-1</f>
        <v>0</v>
      </c>
      <c r="G118" s="54">
        <f>F118*'Расчет субсидий'!G120</f>
        <v>0</v>
      </c>
      <c r="H118" s="50">
        <f t="shared" si="7"/>
        <v>0</v>
      </c>
      <c r="I118" s="49">
        <f t="shared" si="8"/>
        <v>1.5749895557721771</v>
      </c>
    </row>
    <row r="119" spans="1:9" ht="15" customHeight="1">
      <c r="A119" s="31" t="s">
        <v>105</v>
      </c>
      <c r="B119" s="47">
        <f>'Расчет субсидий'!L121</f>
        <v>45.236363636363649</v>
      </c>
      <c r="C119" s="54">
        <f>'Расчет субсидий'!D121-1</f>
        <v>0.2613976229878141</v>
      </c>
      <c r="D119" s="54">
        <f>C119*'Расчет субсидий'!E121</f>
        <v>3.9209643448172118</v>
      </c>
      <c r="E119" s="50">
        <f t="shared" si="13"/>
        <v>45.236363636363649</v>
      </c>
      <c r="F119" s="54">
        <f>'Расчет субсидий'!F121-1</f>
        <v>0</v>
      </c>
      <c r="G119" s="54">
        <f>F119*'Расчет субсидий'!G121</f>
        <v>0</v>
      </c>
      <c r="H119" s="50">
        <f t="shared" si="7"/>
        <v>0</v>
      </c>
      <c r="I119" s="49">
        <f t="shared" si="8"/>
        <v>3.9209643448172118</v>
      </c>
    </row>
    <row r="120" spans="1:9" ht="15" customHeight="1">
      <c r="A120" s="31" t="s">
        <v>106</v>
      </c>
      <c r="B120" s="47">
        <f>'Расчет субсидий'!L122</f>
        <v>1.6999999999999886</v>
      </c>
      <c r="C120" s="54">
        <f>'Расчет субсидий'!D122-1</f>
        <v>7.5204849029071319E-3</v>
      </c>
      <c r="D120" s="54">
        <f>C120*'Расчет субсидий'!E122</f>
        <v>0.11280727354360698</v>
      </c>
      <c r="E120" s="50">
        <f t="shared" si="13"/>
        <v>1.6999999999999886</v>
      </c>
      <c r="F120" s="54">
        <f>'Расчет субсидий'!F122-1</f>
        <v>0</v>
      </c>
      <c r="G120" s="54">
        <f>F120*'Расчет субсидий'!G122</f>
        <v>0</v>
      </c>
      <c r="H120" s="50">
        <f t="shared" si="7"/>
        <v>0</v>
      </c>
      <c r="I120" s="49">
        <f t="shared" si="8"/>
        <v>0.11280727354360698</v>
      </c>
    </row>
    <row r="121" spans="1:9" ht="15" customHeight="1">
      <c r="A121" s="31" t="s">
        <v>107</v>
      </c>
      <c r="B121" s="47">
        <f>'Расчет субсидий'!L123</f>
        <v>-109.77272727272725</v>
      </c>
      <c r="C121" s="54">
        <f>'Расчет субсидий'!D123-1</f>
        <v>-0.49423076923076925</v>
      </c>
      <c r="D121" s="54">
        <f>C121*'Расчет субсидий'!E123</f>
        <v>-7.4134615384615383</v>
      </c>
      <c r="E121" s="50">
        <f t="shared" si="13"/>
        <v>-109.77272727272725</v>
      </c>
      <c r="F121" s="54">
        <f>'Расчет субсидий'!F123-1</f>
        <v>0</v>
      </c>
      <c r="G121" s="54">
        <f>F121*'Расчет субсидий'!G123</f>
        <v>0</v>
      </c>
      <c r="H121" s="50">
        <f t="shared" ref="H121:H184" si="14">$B121*G121/$I121</f>
        <v>0</v>
      </c>
      <c r="I121" s="49">
        <f t="shared" ref="I121:I184" si="15">D121+G121</f>
        <v>-7.4134615384615383</v>
      </c>
    </row>
    <row r="122" spans="1:9" ht="15" customHeight="1">
      <c r="A122" s="31" t="s">
        <v>108</v>
      </c>
      <c r="B122" s="47">
        <f>'Расчет субсидий'!L124</f>
        <v>-22.927272727272708</v>
      </c>
      <c r="C122" s="54">
        <f>'Расчет субсидий'!D124-1</f>
        <v>-0.15582984350892659</v>
      </c>
      <c r="D122" s="54">
        <f>C122*'Расчет субсидий'!E124</f>
        <v>-2.337447652633899</v>
      </c>
      <c r="E122" s="50">
        <f t="shared" si="13"/>
        <v>-22.927272727272708</v>
      </c>
      <c r="F122" s="54">
        <f>'Расчет субсидий'!F124-1</f>
        <v>0</v>
      </c>
      <c r="G122" s="54">
        <f>F122*'Расчет субсидий'!G124</f>
        <v>0</v>
      </c>
      <c r="H122" s="50">
        <f t="shared" si="14"/>
        <v>0</v>
      </c>
      <c r="I122" s="49">
        <f t="shared" si="15"/>
        <v>-2.337447652633899</v>
      </c>
    </row>
    <row r="123" spans="1:9" ht="15" customHeight="1">
      <c r="A123" s="31" t="s">
        <v>109</v>
      </c>
      <c r="B123" s="47">
        <f>'Расчет субсидий'!L125</f>
        <v>-155.86363636363637</v>
      </c>
      <c r="C123" s="54">
        <f>'Расчет субсидий'!D125-1</f>
        <v>-0.41738325175287738</v>
      </c>
      <c r="D123" s="54">
        <f>C123*'Расчет субсидий'!E125</f>
        <v>-6.2607487762931608</v>
      </c>
      <c r="E123" s="50">
        <f t="shared" si="13"/>
        <v>-155.86363636363637</v>
      </c>
      <c r="F123" s="54">
        <f>'Расчет субсидий'!F125-1</f>
        <v>0</v>
      </c>
      <c r="G123" s="54">
        <f>F123*'Расчет субсидий'!G125</f>
        <v>0</v>
      </c>
      <c r="H123" s="50">
        <f t="shared" si="14"/>
        <v>0</v>
      </c>
      <c r="I123" s="49">
        <f t="shared" si="15"/>
        <v>-6.2607487762931608</v>
      </c>
    </row>
    <row r="124" spans="1:9" ht="15" customHeight="1">
      <c r="A124" s="31" t="s">
        <v>110</v>
      </c>
      <c r="B124" s="47">
        <f>'Расчет субсидий'!L126</f>
        <v>0</v>
      </c>
      <c r="C124" s="54">
        <f>'Расчет субсидий'!D126-1</f>
        <v>-0.12684196295795602</v>
      </c>
      <c r="D124" s="54">
        <f>C124*'Расчет субсидий'!E126</f>
        <v>-1.9026294443693403</v>
      </c>
      <c r="E124" s="50">
        <f t="shared" si="13"/>
        <v>0</v>
      </c>
      <c r="F124" s="54">
        <f>'Расчет субсидий'!F126-1</f>
        <v>0</v>
      </c>
      <c r="G124" s="54">
        <f>F124*'Расчет субсидий'!G126</f>
        <v>0</v>
      </c>
      <c r="H124" s="50">
        <f t="shared" si="14"/>
        <v>0</v>
      </c>
      <c r="I124" s="49">
        <f t="shared" si="15"/>
        <v>-1.9026294443693403</v>
      </c>
    </row>
    <row r="125" spans="1:9" ht="15" customHeight="1">
      <c r="A125" s="31" t="s">
        <v>111</v>
      </c>
      <c r="B125" s="47">
        <f>'Расчет субсидий'!L127</f>
        <v>-93.899999999999977</v>
      </c>
      <c r="C125" s="54">
        <f>'Расчет субсидий'!D127-1</f>
        <v>-0.30823468931010489</v>
      </c>
      <c r="D125" s="54">
        <f>C125*'Расчет субсидий'!E127</f>
        <v>-4.6235203396515736</v>
      </c>
      <c r="E125" s="50">
        <f t="shared" si="13"/>
        <v>-93.899999999999977</v>
      </c>
      <c r="F125" s="54">
        <f>'Расчет субсидий'!F127-1</f>
        <v>0</v>
      </c>
      <c r="G125" s="54">
        <f>F125*'Расчет субсидий'!G127</f>
        <v>0</v>
      </c>
      <c r="H125" s="50">
        <f t="shared" si="14"/>
        <v>0</v>
      </c>
      <c r="I125" s="49">
        <f t="shared" si="15"/>
        <v>-4.6235203396515736</v>
      </c>
    </row>
    <row r="126" spans="1:9" ht="15" customHeight="1">
      <c r="A126" s="31" t="s">
        <v>112</v>
      </c>
      <c r="B126" s="47">
        <f>'Расчет субсидий'!L128</f>
        <v>-43.318181818181813</v>
      </c>
      <c r="C126" s="54">
        <f>'Расчет субсидий'!D128-1</f>
        <v>-0.38400948589819606</v>
      </c>
      <c r="D126" s="54">
        <f>C126*'Расчет субсидий'!E128</f>
        <v>-5.7601422884729407</v>
      </c>
      <c r="E126" s="50">
        <f t="shared" si="13"/>
        <v>-43.318181818181813</v>
      </c>
      <c r="F126" s="54">
        <f>'Расчет субсидий'!F128-1</f>
        <v>0</v>
      </c>
      <c r="G126" s="54">
        <f>F126*'Расчет субсидий'!G128</f>
        <v>0</v>
      </c>
      <c r="H126" s="50">
        <f t="shared" si="14"/>
        <v>0</v>
      </c>
      <c r="I126" s="49">
        <f t="shared" si="15"/>
        <v>-5.7601422884729407</v>
      </c>
    </row>
    <row r="127" spans="1:9" ht="15" customHeight="1">
      <c r="A127" s="31" t="s">
        <v>113</v>
      </c>
      <c r="B127" s="47">
        <f>'Расчет субсидий'!L129</f>
        <v>-136.76363636363638</v>
      </c>
      <c r="C127" s="54">
        <f>'Расчет субсидий'!D129-1</f>
        <v>-0.5947197776748494</v>
      </c>
      <c r="D127" s="54">
        <f>C127*'Расчет субсидий'!E129</f>
        <v>-8.9207966651227402</v>
      </c>
      <c r="E127" s="50">
        <f t="shared" si="13"/>
        <v>-136.76363636363638</v>
      </c>
      <c r="F127" s="54">
        <f>'Расчет субсидий'!F129-1</f>
        <v>0</v>
      </c>
      <c r="G127" s="54">
        <f>F127*'Расчет субсидий'!G129</f>
        <v>0</v>
      </c>
      <c r="H127" s="50">
        <f t="shared" si="14"/>
        <v>0</v>
      </c>
      <c r="I127" s="49">
        <f t="shared" si="15"/>
        <v>-8.9207966651227402</v>
      </c>
    </row>
    <row r="128" spans="1:9" ht="15" customHeight="1">
      <c r="A128" s="31" t="s">
        <v>114</v>
      </c>
      <c r="B128" s="47">
        <f>'Расчет субсидий'!L130</f>
        <v>-80.981818181818198</v>
      </c>
      <c r="C128" s="54">
        <f>'Расчет субсидий'!D130-1</f>
        <v>-0.56688108197262077</v>
      </c>
      <c r="D128" s="54">
        <f>C128*'Расчет субсидий'!E130</f>
        <v>-8.5032162295893112</v>
      </c>
      <c r="E128" s="50">
        <f t="shared" si="13"/>
        <v>-80.981818181818198</v>
      </c>
      <c r="F128" s="54">
        <f>'Расчет субсидий'!F130-1</f>
        <v>0</v>
      </c>
      <c r="G128" s="54">
        <f>F128*'Расчет субсидий'!G130</f>
        <v>0</v>
      </c>
      <c r="H128" s="50">
        <f t="shared" si="14"/>
        <v>0</v>
      </c>
      <c r="I128" s="49">
        <f t="shared" si="15"/>
        <v>-8.5032162295893112</v>
      </c>
    </row>
    <row r="129" spans="1:9" ht="15" customHeight="1">
      <c r="A129" s="31" t="s">
        <v>115</v>
      </c>
      <c r="B129" s="47">
        <f>'Расчет субсидий'!L131</f>
        <v>54.699999999999989</v>
      </c>
      <c r="C129" s="54">
        <f>'Расчет субсидий'!D131-1</f>
        <v>0.30000000000000004</v>
      </c>
      <c r="D129" s="54">
        <f>C129*'Расчет субсидий'!E131</f>
        <v>4.5000000000000009</v>
      </c>
      <c r="E129" s="50">
        <f t="shared" si="13"/>
        <v>54.699999999999989</v>
      </c>
      <c r="F129" s="54">
        <f>'Расчет субсидий'!F131-1</f>
        <v>0</v>
      </c>
      <c r="G129" s="54">
        <f>F129*'Расчет субсидий'!G131</f>
        <v>0</v>
      </c>
      <c r="H129" s="50">
        <f t="shared" si="14"/>
        <v>0</v>
      </c>
      <c r="I129" s="49">
        <f t="shared" si="15"/>
        <v>4.5000000000000009</v>
      </c>
    </row>
    <row r="130" spans="1:9" ht="15" customHeight="1">
      <c r="A130" s="30" t="s">
        <v>116</v>
      </c>
      <c r="B130" s="51"/>
      <c r="C130" s="52"/>
      <c r="D130" s="52"/>
      <c r="E130" s="53"/>
      <c r="F130" s="53"/>
      <c r="G130" s="53"/>
      <c r="H130" s="53"/>
      <c r="I130" s="53"/>
    </row>
    <row r="131" spans="1:9" ht="15" customHeight="1">
      <c r="A131" s="31" t="s">
        <v>117</v>
      </c>
      <c r="B131" s="47">
        <f>'Расчет субсидий'!L133</f>
        <v>-57.836363636363643</v>
      </c>
      <c r="C131" s="54">
        <f>'Расчет субсидий'!D133-1</f>
        <v>-0.75560298826040562</v>
      </c>
      <c r="D131" s="54">
        <f>C131*'Расчет субсидий'!E133</f>
        <v>-11.334044823906083</v>
      </c>
      <c r="E131" s="50">
        <f t="shared" ref="E131:E137" si="16">$B131*D131/$I131</f>
        <v>-57.836363636363643</v>
      </c>
      <c r="F131" s="54">
        <f>'Расчет субсидий'!F133-1</f>
        <v>0</v>
      </c>
      <c r="G131" s="54">
        <f>F131*'Расчет субсидий'!G133</f>
        <v>0</v>
      </c>
      <c r="H131" s="50">
        <f t="shared" si="14"/>
        <v>0</v>
      </c>
      <c r="I131" s="49">
        <f t="shared" si="15"/>
        <v>-11.334044823906083</v>
      </c>
    </row>
    <row r="132" spans="1:9" ht="15" customHeight="1">
      <c r="A132" s="31" t="s">
        <v>118</v>
      </c>
      <c r="B132" s="47">
        <f>'Расчет субсидий'!L134</f>
        <v>-4.8999999999999986</v>
      </c>
      <c r="C132" s="54">
        <f>'Расчет субсидий'!D134-1</f>
        <v>-0.15702479338842967</v>
      </c>
      <c r="D132" s="54">
        <f>C132*'Расчет субсидий'!E134</f>
        <v>-2.3553719008264453</v>
      </c>
      <c r="E132" s="50">
        <f t="shared" si="16"/>
        <v>-4.8999999999999986</v>
      </c>
      <c r="F132" s="54">
        <f>'Расчет субсидий'!F134-1</f>
        <v>0</v>
      </c>
      <c r="G132" s="54">
        <f>F132*'Расчет субсидий'!G134</f>
        <v>0</v>
      </c>
      <c r="H132" s="50">
        <f t="shared" si="14"/>
        <v>0</v>
      </c>
      <c r="I132" s="49">
        <f t="shared" si="15"/>
        <v>-2.3553719008264453</v>
      </c>
    </row>
    <row r="133" spans="1:9" ht="15" customHeight="1">
      <c r="A133" s="31" t="s">
        <v>119</v>
      </c>
      <c r="B133" s="47">
        <f>'Расчет субсидий'!L135</f>
        <v>18.727272727272734</v>
      </c>
      <c r="C133" s="54">
        <f>'Расчет субсидий'!D135-1</f>
        <v>0.30000000000000004</v>
      </c>
      <c r="D133" s="54">
        <f>C133*'Расчет субсидий'!E135</f>
        <v>4.5000000000000009</v>
      </c>
      <c r="E133" s="50">
        <f t="shared" si="16"/>
        <v>18.727272727272734</v>
      </c>
      <c r="F133" s="54">
        <f>'Расчет субсидий'!F135-1</f>
        <v>0</v>
      </c>
      <c r="G133" s="54">
        <f>F133*'Расчет субсидий'!G135</f>
        <v>0</v>
      </c>
      <c r="H133" s="50">
        <f t="shared" si="14"/>
        <v>0</v>
      </c>
      <c r="I133" s="49">
        <f t="shared" si="15"/>
        <v>4.5000000000000009</v>
      </c>
    </row>
    <row r="134" spans="1:9" ht="15" customHeight="1">
      <c r="A134" s="31" t="s">
        <v>120</v>
      </c>
      <c r="B134" s="47">
        <f>'Расчет субсидий'!L136</f>
        <v>22.036363636363632</v>
      </c>
      <c r="C134" s="54">
        <f>'Расчет субсидий'!D136-1</f>
        <v>0.25405247813411069</v>
      </c>
      <c r="D134" s="54">
        <f>C134*'Расчет субсидий'!E136</f>
        <v>3.8107871720116604</v>
      </c>
      <c r="E134" s="50">
        <f t="shared" si="16"/>
        <v>22.036363636363632</v>
      </c>
      <c r="F134" s="54">
        <f>'Расчет субсидий'!F136-1</f>
        <v>0</v>
      </c>
      <c r="G134" s="54">
        <f>F134*'Расчет субсидий'!G136</f>
        <v>0</v>
      </c>
      <c r="H134" s="50">
        <f t="shared" si="14"/>
        <v>0</v>
      </c>
      <c r="I134" s="49">
        <f t="shared" si="15"/>
        <v>3.8107871720116604</v>
      </c>
    </row>
    <row r="135" spans="1:9" ht="15" customHeight="1">
      <c r="A135" s="31" t="s">
        <v>121</v>
      </c>
      <c r="B135" s="47">
        <f>'Расчет субсидий'!L137</f>
        <v>-7.8909090909091049</v>
      </c>
      <c r="C135" s="54">
        <f>'Расчет субсидий'!D137-1</f>
        <v>-8.8466413181242043E-2</v>
      </c>
      <c r="D135" s="54">
        <f>C135*'Расчет субсидий'!E137</f>
        <v>-1.3269961977186306</v>
      </c>
      <c r="E135" s="50">
        <f t="shared" si="16"/>
        <v>-7.8909090909091049</v>
      </c>
      <c r="F135" s="54">
        <f>'Расчет субсидий'!F137-1</f>
        <v>0</v>
      </c>
      <c r="G135" s="54">
        <f>F135*'Расчет субсидий'!G137</f>
        <v>0</v>
      </c>
      <c r="H135" s="50">
        <f t="shared" si="14"/>
        <v>0</v>
      </c>
      <c r="I135" s="49">
        <f t="shared" si="15"/>
        <v>-1.3269961977186306</v>
      </c>
    </row>
    <row r="136" spans="1:9" ht="15" customHeight="1">
      <c r="A136" s="31" t="s">
        <v>122</v>
      </c>
      <c r="B136" s="47">
        <f>'Расчет субсидий'!L138</f>
        <v>-55.954545454545467</v>
      </c>
      <c r="C136" s="54">
        <f>'Расчет субсидий'!D138-1</f>
        <v>-0.64100666173205034</v>
      </c>
      <c r="D136" s="54">
        <f>C136*'Расчет субсидий'!E138</f>
        <v>-9.6150999259807559</v>
      </c>
      <c r="E136" s="50">
        <f t="shared" si="16"/>
        <v>-55.954545454545467</v>
      </c>
      <c r="F136" s="54">
        <f>'Расчет субсидий'!F138-1</f>
        <v>0</v>
      </c>
      <c r="G136" s="54">
        <f>F136*'Расчет субсидий'!G138</f>
        <v>0</v>
      </c>
      <c r="H136" s="50">
        <f t="shared" si="14"/>
        <v>0</v>
      </c>
      <c r="I136" s="49">
        <f t="shared" si="15"/>
        <v>-9.6150999259807559</v>
      </c>
    </row>
    <row r="137" spans="1:9" ht="15" customHeight="1">
      <c r="A137" s="31" t="s">
        <v>123</v>
      </c>
      <c r="B137" s="47">
        <f>'Расчет субсидий'!L139</f>
        <v>-40.718181818181812</v>
      </c>
      <c r="C137" s="54">
        <f>'Расчет субсидий'!D139-1</f>
        <v>-0.67979002624671914</v>
      </c>
      <c r="D137" s="54">
        <f>C137*'Расчет субсидий'!E139</f>
        <v>-10.196850393700787</v>
      </c>
      <c r="E137" s="50">
        <f t="shared" si="16"/>
        <v>-40.718181818181812</v>
      </c>
      <c r="F137" s="54">
        <f>'Расчет субсидий'!F139-1</f>
        <v>0</v>
      </c>
      <c r="G137" s="54">
        <f>F137*'Расчет субсидий'!G139</f>
        <v>0</v>
      </c>
      <c r="H137" s="50">
        <f t="shared" si="14"/>
        <v>0</v>
      </c>
      <c r="I137" s="49">
        <f t="shared" si="15"/>
        <v>-10.196850393700787</v>
      </c>
    </row>
    <row r="138" spans="1:9" ht="15" customHeight="1">
      <c r="A138" s="30" t="s">
        <v>124</v>
      </c>
      <c r="B138" s="51"/>
      <c r="C138" s="52"/>
      <c r="D138" s="52"/>
      <c r="E138" s="53"/>
      <c r="F138" s="53"/>
      <c r="G138" s="53"/>
      <c r="H138" s="53"/>
      <c r="I138" s="53"/>
    </row>
    <row r="139" spans="1:9" ht="15" customHeight="1">
      <c r="A139" s="31" t="s">
        <v>125</v>
      </c>
      <c r="B139" s="47">
        <f>'Расчет субсидий'!L141</f>
        <v>-35.24545454545455</v>
      </c>
      <c r="C139" s="54">
        <f>'Расчет субсидий'!D141-1</f>
        <v>-0.4685370741482966</v>
      </c>
      <c r="D139" s="54">
        <f>C139*'Расчет субсидий'!E141</f>
        <v>-7.0280561122244487</v>
      </c>
      <c r="E139" s="50">
        <f t="shared" ref="E139:E146" si="17">$B139*D139/$I139</f>
        <v>-35.24545454545455</v>
      </c>
      <c r="F139" s="54">
        <f>'Расчет субсидий'!F141-1</f>
        <v>0</v>
      </c>
      <c r="G139" s="54">
        <f>F139*'Расчет субсидий'!G141</f>
        <v>0</v>
      </c>
      <c r="H139" s="50">
        <f t="shared" si="14"/>
        <v>0</v>
      </c>
      <c r="I139" s="49">
        <f t="shared" si="15"/>
        <v>-7.0280561122244487</v>
      </c>
    </row>
    <row r="140" spans="1:9" ht="15" customHeight="1">
      <c r="A140" s="31" t="s">
        <v>126</v>
      </c>
      <c r="B140" s="47">
        <f>'Расчет субсидий'!L142</f>
        <v>-39.809090909090912</v>
      </c>
      <c r="C140" s="54">
        <f>'Расчет субсидий'!D142-1</f>
        <v>-0.57170418006430879</v>
      </c>
      <c r="D140" s="54">
        <f>C140*'Расчет субсидий'!E142</f>
        <v>-8.5755627009646318</v>
      </c>
      <c r="E140" s="50">
        <f t="shared" si="17"/>
        <v>-39.809090909090912</v>
      </c>
      <c r="F140" s="54">
        <f>'Расчет субсидий'!F142-1</f>
        <v>0</v>
      </c>
      <c r="G140" s="54">
        <f>F140*'Расчет субсидий'!G142</f>
        <v>0</v>
      </c>
      <c r="H140" s="50">
        <f t="shared" si="14"/>
        <v>0</v>
      </c>
      <c r="I140" s="49">
        <f t="shared" si="15"/>
        <v>-8.5755627009646318</v>
      </c>
    </row>
    <row r="141" spans="1:9" ht="15" customHeight="1">
      <c r="A141" s="31" t="s">
        <v>127</v>
      </c>
      <c r="B141" s="47">
        <f>'Расчет субсидий'!L143</f>
        <v>-1.8545454545454731</v>
      </c>
      <c r="C141" s="54">
        <f>'Расчет субсидий'!D143-1</f>
        <v>-1.6638735934881521E-2</v>
      </c>
      <c r="D141" s="54">
        <f>C141*'Расчет субсидий'!E143</f>
        <v>-0.24958103902322282</v>
      </c>
      <c r="E141" s="50">
        <f t="shared" si="17"/>
        <v>-1.8545454545454731</v>
      </c>
      <c r="F141" s="54">
        <f>'Расчет субсидий'!F143-1</f>
        <v>0</v>
      </c>
      <c r="G141" s="54">
        <f>F141*'Расчет субсидий'!G143</f>
        <v>0</v>
      </c>
      <c r="H141" s="50">
        <f t="shared" si="14"/>
        <v>0</v>
      </c>
      <c r="I141" s="49">
        <f t="shared" si="15"/>
        <v>-0.24958103902322282</v>
      </c>
    </row>
    <row r="142" spans="1:9" ht="15" customHeight="1">
      <c r="A142" s="31" t="s">
        <v>128</v>
      </c>
      <c r="B142" s="47">
        <f>'Расчет субсидий'!L144</f>
        <v>-68.036363636363632</v>
      </c>
      <c r="C142" s="54">
        <f>'Расчет субсидий'!D144-1</f>
        <v>-0.86184477854530672</v>
      </c>
      <c r="D142" s="54">
        <f>C142*'Расчет субсидий'!E144</f>
        <v>-12.927671678179601</v>
      </c>
      <c r="E142" s="50">
        <f t="shared" si="17"/>
        <v>-68.036363636363632</v>
      </c>
      <c r="F142" s="54">
        <f>'Расчет субсидий'!F144-1</f>
        <v>0</v>
      </c>
      <c r="G142" s="54">
        <f>F142*'Расчет субсидий'!G144</f>
        <v>0</v>
      </c>
      <c r="H142" s="50">
        <f t="shared" si="14"/>
        <v>0</v>
      </c>
      <c r="I142" s="49">
        <f t="shared" si="15"/>
        <v>-12.927671678179601</v>
      </c>
    </row>
    <row r="143" spans="1:9" ht="15" customHeight="1">
      <c r="A143" s="31" t="s">
        <v>129</v>
      </c>
      <c r="B143" s="47">
        <f>'Расчет субсидий'!L145</f>
        <v>-27.909090909090907</v>
      </c>
      <c r="C143" s="54">
        <f>'Расчет субсидий'!D145-1</f>
        <v>-0.29841269841269835</v>
      </c>
      <c r="D143" s="54">
        <f>C143*'Расчет субсидий'!E145</f>
        <v>-4.4761904761904754</v>
      </c>
      <c r="E143" s="50">
        <f t="shared" si="17"/>
        <v>-27.909090909090907</v>
      </c>
      <c r="F143" s="54">
        <f>'Расчет субсидий'!F145-1</f>
        <v>0</v>
      </c>
      <c r="G143" s="54">
        <f>F143*'Расчет субсидий'!G145</f>
        <v>0</v>
      </c>
      <c r="H143" s="50">
        <f t="shared" si="14"/>
        <v>0</v>
      </c>
      <c r="I143" s="49">
        <f t="shared" si="15"/>
        <v>-4.4761904761904754</v>
      </c>
    </row>
    <row r="144" spans="1:9" ht="15" customHeight="1">
      <c r="A144" s="31" t="s">
        <v>130</v>
      </c>
      <c r="B144" s="47">
        <f>'Расчет субсидий'!L146</f>
        <v>-16.61818181818181</v>
      </c>
      <c r="C144" s="54">
        <f>'Расчет субсидий'!D146-1</f>
        <v>-0.27987296546248508</v>
      </c>
      <c r="D144" s="54">
        <f>C144*'Расчет субсидий'!E146</f>
        <v>-4.1980944819372761</v>
      </c>
      <c r="E144" s="50">
        <f t="shared" si="17"/>
        <v>-16.61818181818181</v>
      </c>
      <c r="F144" s="54">
        <f>'Расчет субсидий'!F146-1</f>
        <v>0</v>
      </c>
      <c r="G144" s="54">
        <f>F144*'Расчет субсидий'!G146</f>
        <v>0</v>
      </c>
      <c r="H144" s="50">
        <f t="shared" si="14"/>
        <v>0</v>
      </c>
      <c r="I144" s="49">
        <f t="shared" si="15"/>
        <v>-4.1980944819372761</v>
      </c>
    </row>
    <row r="145" spans="1:9" ht="15" customHeight="1">
      <c r="A145" s="31" t="s">
        <v>131</v>
      </c>
      <c r="B145" s="47">
        <f>'Расчет субсидий'!L147</f>
        <v>-53.054545454545455</v>
      </c>
      <c r="C145" s="54">
        <f>'Расчет субсидий'!D147-1</f>
        <v>-0.80102695763799736</v>
      </c>
      <c r="D145" s="54">
        <f>C145*'Расчет субсидий'!E147</f>
        <v>-12.01540436456996</v>
      </c>
      <c r="E145" s="50">
        <f t="shared" si="17"/>
        <v>-53.054545454545455</v>
      </c>
      <c r="F145" s="54">
        <f>'Расчет субсидий'!F147-1</f>
        <v>0</v>
      </c>
      <c r="G145" s="54">
        <f>F145*'Расчет субсидий'!G147</f>
        <v>0</v>
      </c>
      <c r="H145" s="50">
        <f t="shared" si="14"/>
        <v>0</v>
      </c>
      <c r="I145" s="49">
        <f t="shared" si="15"/>
        <v>-12.01540436456996</v>
      </c>
    </row>
    <row r="146" spans="1:9" ht="15" customHeight="1">
      <c r="A146" s="31" t="s">
        <v>132</v>
      </c>
      <c r="B146" s="47">
        <f>'Расчет субсидий'!L148</f>
        <v>-13.354545454545452</v>
      </c>
      <c r="C146" s="54">
        <f>'Расчет субсидий'!D148-1</f>
        <v>-0.45084226646248082</v>
      </c>
      <c r="D146" s="54">
        <f>C146*'Расчет субсидий'!E148</f>
        <v>-6.762633996937212</v>
      </c>
      <c r="E146" s="50">
        <f t="shared" si="17"/>
        <v>-13.354545454545452</v>
      </c>
      <c r="F146" s="54">
        <f>'Расчет субсидий'!F148-1</f>
        <v>0</v>
      </c>
      <c r="G146" s="54">
        <f>F146*'Расчет субсидий'!G148</f>
        <v>0</v>
      </c>
      <c r="H146" s="50">
        <f t="shared" si="14"/>
        <v>0</v>
      </c>
      <c r="I146" s="49">
        <f t="shared" si="15"/>
        <v>-6.762633996937212</v>
      </c>
    </row>
    <row r="147" spans="1:9" ht="15" customHeight="1">
      <c r="A147" s="30" t="s">
        <v>133</v>
      </c>
      <c r="B147" s="51"/>
      <c r="C147" s="52"/>
      <c r="D147" s="52"/>
      <c r="E147" s="53"/>
      <c r="F147" s="53"/>
      <c r="G147" s="53"/>
      <c r="H147" s="53"/>
      <c r="I147" s="53"/>
    </row>
    <row r="148" spans="1:9" ht="15" customHeight="1">
      <c r="A148" s="31" t="s">
        <v>134</v>
      </c>
      <c r="B148" s="47">
        <f>'Расчет субсидий'!L150</f>
        <v>-59.63636363636364</v>
      </c>
      <c r="C148" s="54">
        <f>'Расчет субсидий'!D150-1</f>
        <v>-0.95047052996532932</v>
      </c>
      <c r="D148" s="54">
        <f>C148*'Расчет субсидий'!E150</f>
        <v>-14.25705794947994</v>
      </c>
      <c r="E148" s="50">
        <f t="shared" ref="E148:E153" si="18">$B148*D148/$I148</f>
        <v>-59.63636363636364</v>
      </c>
      <c r="F148" s="54">
        <f>'Расчет субсидий'!F150-1</f>
        <v>0</v>
      </c>
      <c r="G148" s="54">
        <f>F148*'Расчет субсидий'!G150</f>
        <v>0</v>
      </c>
      <c r="H148" s="50">
        <f t="shared" si="14"/>
        <v>0</v>
      </c>
      <c r="I148" s="49">
        <f t="shared" si="15"/>
        <v>-14.25705794947994</v>
      </c>
    </row>
    <row r="149" spans="1:9" ht="15" customHeight="1">
      <c r="A149" s="31" t="s">
        <v>135</v>
      </c>
      <c r="B149" s="47">
        <f>'Расчет субсидий'!L151</f>
        <v>16.954545454545467</v>
      </c>
      <c r="C149" s="54">
        <f>'Расчет субсидий'!D151-1</f>
        <v>0.20882653061224477</v>
      </c>
      <c r="D149" s="54">
        <f>C149*'Расчет субсидий'!E151</f>
        <v>3.1323979591836713</v>
      </c>
      <c r="E149" s="50">
        <f t="shared" si="18"/>
        <v>16.954545454545467</v>
      </c>
      <c r="F149" s="54">
        <f>'Расчет субсидий'!F151-1</f>
        <v>0</v>
      </c>
      <c r="G149" s="54">
        <f>F149*'Расчет субсидий'!G151</f>
        <v>0</v>
      </c>
      <c r="H149" s="50">
        <f t="shared" si="14"/>
        <v>0</v>
      </c>
      <c r="I149" s="49">
        <f t="shared" si="15"/>
        <v>3.1323979591836713</v>
      </c>
    </row>
    <row r="150" spans="1:9" ht="15" customHeight="1">
      <c r="A150" s="31" t="s">
        <v>136</v>
      </c>
      <c r="B150" s="47">
        <f>'Расчет субсидий'!L152</f>
        <v>-8.2727272727272805</v>
      </c>
      <c r="C150" s="54">
        <f>'Расчет субсидий'!D152-1</f>
        <v>-6.8888888888888888E-2</v>
      </c>
      <c r="D150" s="54">
        <f>C150*'Расчет субсидий'!E152</f>
        <v>-1.0333333333333332</v>
      </c>
      <c r="E150" s="50">
        <f t="shared" si="18"/>
        <v>-8.2727272727272805</v>
      </c>
      <c r="F150" s="54">
        <f>'Расчет субсидий'!F152-1</f>
        <v>0</v>
      </c>
      <c r="G150" s="54">
        <f>F150*'Расчет субсидий'!G152</f>
        <v>0</v>
      </c>
      <c r="H150" s="50">
        <f t="shared" si="14"/>
        <v>0</v>
      </c>
      <c r="I150" s="49">
        <f t="shared" si="15"/>
        <v>-1.0333333333333332</v>
      </c>
    </row>
    <row r="151" spans="1:9" ht="15" customHeight="1">
      <c r="A151" s="31" t="s">
        <v>137</v>
      </c>
      <c r="B151" s="47">
        <f>'Расчет субсидий'!L153</f>
        <v>-9.1272727272727252</v>
      </c>
      <c r="C151" s="54">
        <f>'Расчет субсидий'!D153-1</f>
        <v>-9.4482480869915397E-2</v>
      </c>
      <c r="D151" s="54">
        <f>C151*'Расчет субсидий'!E153</f>
        <v>-1.417237213048731</v>
      </c>
      <c r="E151" s="50">
        <f t="shared" si="18"/>
        <v>-9.1272727272727252</v>
      </c>
      <c r="F151" s="54">
        <f>'Расчет субсидий'!F153-1</f>
        <v>0</v>
      </c>
      <c r="G151" s="54">
        <f>F151*'Расчет субсидий'!G153</f>
        <v>0</v>
      </c>
      <c r="H151" s="50">
        <f t="shared" si="14"/>
        <v>0</v>
      </c>
      <c r="I151" s="49">
        <f t="shared" si="15"/>
        <v>-1.417237213048731</v>
      </c>
    </row>
    <row r="152" spans="1:9" ht="15" customHeight="1">
      <c r="A152" s="31" t="s">
        <v>138</v>
      </c>
      <c r="B152" s="47">
        <f>'Расчет субсидий'!L154</f>
        <v>2.8636363636363633</v>
      </c>
      <c r="C152" s="54">
        <f>'Расчет субсидий'!D154-1</f>
        <v>0.30000000000000004</v>
      </c>
      <c r="D152" s="54">
        <f>C152*'Расчет субсидий'!E154</f>
        <v>4.5000000000000009</v>
      </c>
      <c r="E152" s="50">
        <f t="shared" si="18"/>
        <v>2.8636363636363633</v>
      </c>
      <c r="F152" s="54">
        <f>'Расчет субсидий'!F154-1</f>
        <v>0</v>
      </c>
      <c r="G152" s="54">
        <f>F152*'Расчет субсидий'!G154</f>
        <v>0</v>
      </c>
      <c r="H152" s="50">
        <f t="shared" si="14"/>
        <v>0</v>
      </c>
      <c r="I152" s="49">
        <f t="shared" si="15"/>
        <v>4.5000000000000009</v>
      </c>
    </row>
    <row r="153" spans="1:9" ht="15" customHeight="1">
      <c r="A153" s="31" t="s">
        <v>139</v>
      </c>
      <c r="B153" s="47">
        <f>'Расчет субсидий'!L155</f>
        <v>24.545454545454533</v>
      </c>
      <c r="C153" s="54">
        <f>'Расчет субсидий'!D155-1</f>
        <v>0.30000000000000004</v>
      </c>
      <c r="D153" s="54">
        <f>C153*'Расчет субсидий'!E155</f>
        <v>4.5000000000000009</v>
      </c>
      <c r="E153" s="50">
        <f t="shared" si="18"/>
        <v>24.545454545454533</v>
      </c>
      <c r="F153" s="54">
        <f>'Расчет субсидий'!F155-1</f>
        <v>0</v>
      </c>
      <c r="G153" s="54">
        <f>F153*'Расчет субсидий'!G155</f>
        <v>0</v>
      </c>
      <c r="H153" s="50">
        <f t="shared" si="14"/>
        <v>0</v>
      </c>
      <c r="I153" s="49">
        <f t="shared" si="15"/>
        <v>4.5000000000000009</v>
      </c>
    </row>
    <row r="154" spans="1:9" ht="15" customHeight="1">
      <c r="A154" s="30" t="s">
        <v>140</v>
      </c>
      <c r="B154" s="51"/>
      <c r="C154" s="52"/>
      <c r="D154" s="52"/>
      <c r="E154" s="53"/>
      <c r="F154" s="53"/>
      <c r="G154" s="53"/>
      <c r="H154" s="53"/>
      <c r="I154" s="53"/>
    </row>
    <row r="155" spans="1:9" ht="15" customHeight="1">
      <c r="A155" s="31" t="s">
        <v>141</v>
      </c>
      <c r="B155" s="47">
        <f>'Расчет субсидий'!L157</f>
        <v>-48.909090909090907</v>
      </c>
      <c r="C155" s="54">
        <f>'Расчет субсидий'!D157-1</f>
        <v>-0.43402609956500726</v>
      </c>
      <c r="D155" s="54">
        <f>C155*'Расчет субсидий'!E157</f>
        <v>-6.510391493475109</v>
      </c>
      <c r="E155" s="50">
        <f t="shared" ref="E155:E166" si="19">$B155*D155/$I155</f>
        <v>-48.909090909090899</v>
      </c>
      <c r="F155" s="54">
        <f>'Расчет субсидий'!F157-1</f>
        <v>0</v>
      </c>
      <c r="G155" s="54">
        <f>F155*'Расчет субсидий'!G157</f>
        <v>0</v>
      </c>
      <c r="H155" s="50">
        <f t="shared" si="14"/>
        <v>0</v>
      </c>
      <c r="I155" s="49">
        <f t="shared" si="15"/>
        <v>-6.510391493475109</v>
      </c>
    </row>
    <row r="156" spans="1:9" ht="15" customHeight="1">
      <c r="A156" s="31" t="s">
        <v>142</v>
      </c>
      <c r="B156" s="47">
        <f>'Расчет субсидий'!L158</f>
        <v>22.76363636363638</v>
      </c>
      <c r="C156" s="54">
        <f>'Расчет субсидий'!D158-1</f>
        <v>0.2126660600545951</v>
      </c>
      <c r="D156" s="54">
        <f>C156*'Расчет субсидий'!E158</f>
        <v>3.1899909008189264</v>
      </c>
      <c r="E156" s="50">
        <f t="shared" si="19"/>
        <v>22.76363636363638</v>
      </c>
      <c r="F156" s="54">
        <f>'Расчет субсидий'!F158-1</f>
        <v>0</v>
      </c>
      <c r="G156" s="54">
        <f>F156*'Расчет субсидий'!G158</f>
        <v>0</v>
      </c>
      <c r="H156" s="50">
        <f t="shared" si="14"/>
        <v>0</v>
      </c>
      <c r="I156" s="49">
        <f t="shared" si="15"/>
        <v>3.1899909008189264</v>
      </c>
    </row>
    <row r="157" spans="1:9" ht="15" customHeight="1">
      <c r="A157" s="31" t="s">
        <v>143</v>
      </c>
      <c r="B157" s="47">
        <f>'Расчет субсидий'!L159</f>
        <v>9.663636363636364</v>
      </c>
      <c r="C157" s="54">
        <f>'Расчет субсидий'!D159-1</f>
        <v>0.30000000000000004</v>
      </c>
      <c r="D157" s="54">
        <f>C157*'Расчет субсидий'!E159</f>
        <v>4.5000000000000009</v>
      </c>
      <c r="E157" s="50">
        <f t="shared" si="19"/>
        <v>9.663636363636364</v>
      </c>
      <c r="F157" s="54">
        <f>'Расчет субсидий'!F159-1</f>
        <v>0</v>
      </c>
      <c r="G157" s="54">
        <f>F157*'Расчет субсидий'!G159</f>
        <v>0</v>
      </c>
      <c r="H157" s="50">
        <f t="shared" si="14"/>
        <v>0</v>
      </c>
      <c r="I157" s="49">
        <f t="shared" si="15"/>
        <v>4.5000000000000009</v>
      </c>
    </row>
    <row r="158" spans="1:9" ht="15" customHeight="1">
      <c r="A158" s="31" t="s">
        <v>144</v>
      </c>
      <c r="B158" s="47">
        <f>'Расчет субсидий'!L160</f>
        <v>-108.21818181818185</v>
      </c>
      <c r="C158" s="54">
        <f>'Расчет субсидий'!D160-1</f>
        <v>-0.33100833965125098</v>
      </c>
      <c r="D158" s="54">
        <f>C158*'Расчет субсидий'!E160</f>
        <v>-4.9651250947687648</v>
      </c>
      <c r="E158" s="50">
        <f t="shared" si="19"/>
        <v>-108.21818181818185</v>
      </c>
      <c r="F158" s="54">
        <f>'Расчет субсидий'!F160-1</f>
        <v>0</v>
      </c>
      <c r="G158" s="54">
        <f>F158*'Расчет субсидий'!G160</f>
        <v>0</v>
      </c>
      <c r="H158" s="50">
        <f t="shared" si="14"/>
        <v>0</v>
      </c>
      <c r="I158" s="49">
        <f t="shared" si="15"/>
        <v>-4.9651250947687648</v>
      </c>
    </row>
    <row r="159" spans="1:9" ht="15" customHeight="1">
      <c r="A159" s="31" t="s">
        <v>145</v>
      </c>
      <c r="B159" s="47">
        <f>'Расчет субсидий'!L161</f>
        <v>0.19090909090909047</v>
      </c>
      <c r="C159" s="54">
        <f>'Расчет субсидий'!D161-1</f>
        <v>7.1593533487297911E-2</v>
      </c>
      <c r="D159" s="54">
        <f>C159*'Расчет субсидий'!E161</f>
        <v>1.0739030023094687</v>
      </c>
      <c r="E159" s="50">
        <f t="shared" si="19"/>
        <v>0.19090909090909047</v>
      </c>
      <c r="F159" s="54">
        <f>'Расчет субсидий'!F161-1</f>
        <v>0</v>
      </c>
      <c r="G159" s="54">
        <f>F159*'Расчет субсидий'!G161</f>
        <v>0</v>
      </c>
      <c r="H159" s="50">
        <f t="shared" si="14"/>
        <v>0</v>
      </c>
      <c r="I159" s="49">
        <f t="shared" si="15"/>
        <v>1.0739030023094687</v>
      </c>
    </row>
    <row r="160" spans="1:9" ht="15" customHeight="1">
      <c r="A160" s="31" t="s">
        <v>146</v>
      </c>
      <c r="B160" s="47">
        <f>'Расчет субсидий'!L162</f>
        <v>-7.163636363636364</v>
      </c>
      <c r="C160" s="54">
        <f>'Расчет субсидий'!D162-1</f>
        <v>-0.37810537810537814</v>
      </c>
      <c r="D160" s="54">
        <f>C160*'Расчет субсидий'!E162</f>
        <v>-5.6715806715806725</v>
      </c>
      <c r="E160" s="50">
        <f t="shared" si="19"/>
        <v>-7.1636363636363631</v>
      </c>
      <c r="F160" s="54">
        <f>'Расчет субсидий'!F162-1</f>
        <v>0</v>
      </c>
      <c r="G160" s="54">
        <f>F160*'Расчет субсидий'!G162</f>
        <v>0</v>
      </c>
      <c r="H160" s="50">
        <f t="shared" si="14"/>
        <v>0</v>
      </c>
      <c r="I160" s="49">
        <f t="shared" si="15"/>
        <v>-5.6715806715806725</v>
      </c>
    </row>
    <row r="161" spans="1:9" ht="15" customHeight="1">
      <c r="A161" s="31" t="s">
        <v>147</v>
      </c>
      <c r="B161" s="47">
        <f>'Расчет субсидий'!L163</f>
        <v>-1.4636363636363683</v>
      </c>
      <c r="C161" s="54">
        <f>'Расчет субсидий'!D163-1</f>
        <v>-1.0809003788722849E-2</v>
      </c>
      <c r="D161" s="54">
        <f>C161*'Расчет субсидий'!E163</f>
        <v>-0.16213505683084273</v>
      </c>
      <c r="E161" s="50">
        <f t="shared" si="19"/>
        <v>-1.4636363636363683</v>
      </c>
      <c r="F161" s="54">
        <f>'Расчет субсидий'!F163-1</f>
        <v>0</v>
      </c>
      <c r="G161" s="54">
        <f>F161*'Расчет субсидий'!G163</f>
        <v>0</v>
      </c>
      <c r="H161" s="50">
        <f t="shared" si="14"/>
        <v>0</v>
      </c>
      <c r="I161" s="49">
        <f t="shared" si="15"/>
        <v>-0.16213505683084273</v>
      </c>
    </row>
    <row r="162" spans="1:9" ht="15" customHeight="1">
      <c r="A162" s="31" t="s">
        <v>148</v>
      </c>
      <c r="B162" s="47">
        <f>'Расчет субсидий'!L164</f>
        <v>-72.627272727272725</v>
      </c>
      <c r="C162" s="54">
        <f>'Расчет субсидий'!D164-1</f>
        <v>-0.59155306067896285</v>
      </c>
      <c r="D162" s="54">
        <f>C162*'Расчет субсидий'!E164</f>
        <v>-8.8732959101844422</v>
      </c>
      <c r="E162" s="50">
        <f t="shared" si="19"/>
        <v>-72.627272727272725</v>
      </c>
      <c r="F162" s="54">
        <f>'Расчет субсидий'!F164-1</f>
        <v>0</v>
      </c>
      <c r="G162" s="54">
        <f>F162*'Расчет субсидий'!G164</f>
        <v>0</v>
      </c>
      <c r="H162" s="50">
        <f t="shared" si="14"/>
        <v>0</v>
      </c>
      <c r="I162" s="49">
        <f t="shared" si="15"/>
        <v>-8.8732959101844422</v>
      </c>
    </row>
    <row r="163" spans="1:9" ht="15" customHeight="1">
      <c r="A163" s="31" t="s">
        <v>149</v>
      </c>
      <c r="B163" s="47">
        <f>'Расчет субсидий'!L165</f>
        <v>18.381818181818176</v>
      </c>
      <c r="C163" s="54">
        <f>'Расчет субсидий'!D165-1</f>
        <v>8.4973835036132428E-2</v>
      </c>
      <c r="D163" s="54">
        <f>C163*'Расчет субсидий'!E165</f>
        <v>1.2746075255419864</v>
      </c>
      <c r="E163" s="50">
        <f t="shared" si="19"/>
        <v>18.381818181818176</v>
      </c>
      <c r="F163" s="54">
        <f>'Расчет субсидий'!F165-1</f>
        <v>0</v>
      </c>
      <c r="G163" s="54">
        <f>F163*'Расчет субсидий'!G165</f>
        <v>0</v>
      </c>
      <c r="H163" s="50">
        <f t="shared" si="14"/>
        <v>0</v>
      </c>
      <c r="I163" s="49">
        <f t="shared" si="15"/>
        <v>1.2746075255419864</v>
      </c>
    </row>
    <row r="164" spans="1:9" ht="15" customHeight="1">
      <c r="A164" s="31" t="s">
        <v>150</v>
      </c>
      <c r="B164" s="47">
        <f>'Расчет субсидий'!L166</f>
        <v>-8.136363636363626</v>
      </c>
      <c r="C164" s="54">
        <f>'Расчет субсидий'!D166-1</f>
        <v>-4.7473200612557442E-2</v>
      </c>
      <c r="D164" s="54">
        <f>C164*'Расчет субсидий'!E166</f>
        <v>-0.71209800918836164</v>
      </c>
      <c r="E164" s="50">
        <f t="shared" si="19"/>
        <v>-8.136363636363626</v>
      </c>
      <c r="F164" s="54">
        <f>'Расчет субсидий'!F166-1</f>
        <v>0</v>
      </c>
      <c r="G164" s="54">
        <f>F164*'Расчет субсидий'!G166</f>
        <v>0</v>
      </c>
      <c r="H164" s="50">
        <f t="shared" si="14"/>
        <v>0</v>
      </c>
      <c r="I164" s="49">
        <f t="shared" si="15"/>
        <v>-0.71209800918836164</v>
      </c>
    </row>
    <row r="165" spans="1:9" ht="15" customHeight="1">
      <c r="A165" s="31" t="s">
        <v>151</v>
      </c>
      <c r="B165" s="47">
        <f>'Расчет субсидий'!L167</f>
        <v>-19.590909090909093</v>
      </c>
      <c r="C165" s="54">
        <f>'Расчет субсидий'!D167-1</f>
        <v>-0.28933631618195377</v>
      </c>
      <c r="D165" s="54">
        <f>C165*'Расчет субсидий'!E167</f>
        <v>-4.3400447427293063</v>
      </c>
      <c r="E165" s="50">
        <f t="shared" si="19"/>
        <v>-19.590909090909093</v>
      </c>
      <c r="F165" s="54">
        <f>'Расчет субсидий'!F167-1</f>
        <v>0</v>
      </c>
      <c r="G165" s="54">
        <f>F165*'Расчет субсидий'!G167</f>
        <v>0</v>
      </c>
      <c r="H165" s="50">
        <f t="shared" si="14"/>
        <v>0</v>
      </c>
      <c r="I165" s="49">
        <f t="shared" si="15"/>
        <v>-4.3400447427293063</v>
      </c>
    </row>
    <row r="166" spans="1:9" ht="15" customHeight="1">
      <c r="A166" s="31" t="s">
        <v>152</v>
      </c>
      <c r="B166" s="47">
        <f>'Расчет субсидий'!L168</f>
        <v>-70.754545454545479</v>
      </c>
      <c r="C166" s="54">
        <f>'Расчет субсидий'!D168-1</f>
        <v>-0.53030871141107361</v>
      </c>
      <c r="D166" s="54">
        <f>C166*'Расчет субсидий'!E168</f>
        <v>-7.9546306711661039</v>
      </c>
      <c r="E166" s="50">
        <f t="shared" si="19"/>
        <v>-70.754545454545479</v>
      </c>
      <c r="F166" s="54">
        <f>'Расчет субсидий'!F168-1</f>
        <v>0</v>
      </c>
      <c r="G166" s="54">
        <f>F166*'Расчет субсидий'!G168</f>
        <v>0</v>
      </c>
      <c r="H166" s="50">
        <f t="shared" si="14"/>
        <v>0</v>
      </c>
      <c r="I166" s="49">
        <f t="shared" si="15"/>
        <v>-7.9546306711661039</v>
      </c>
    </row>
    <row r="167" spans="1:9" ht="15" customHeight="1">
      <c r="A167" s="30" t="s">
        <v>153</v>
      </c>
      <c r="B167" s="51"/>
      <c r="C167" s="52"/>
      <c r="D167" s="52"/>
      <c r="E167" s="53"/>
      <c r="F167" s="53"/>
      <c r="G167" s="53"/>
      <c r="H167" s="53"/>
      <c r="I167" s="53"/>
    </row>
    <row r="168" spans="1:9" ht="15" customHeight="1">
      <c r="A168" s="31" t="s">
        <v>68</v>
      </c>
      <c r="B168" s="47">
        <f>'Расчет субсидий'!L170</f>
        <v>39.800000000000011</v>
      </c>
      <c r="C168" s="54">
        <f>'Расчет субсидий'!D170-1</f>
        <v>0.25690782953419222</v>
      </c>
      <c r="D168" s="54">
        <f>C168*'Расчет субсидий'!E170</f>
        <v>3.8536174430128831</v>
      </c>
      <c r="E168" s="50">
        <f t="shared" ref="E168:E180" si="20">$B168*D168/$I168</f>
        <v>39.800000000000011</v>
      </c>
      <c r="F168" s="54">
        <f>'Расчет субсидий'!F170-1</f>
        <v>0</v>
      </c>
      <c r="G168" s="54">
        <f>F168*'Расчет субсидий'!G170</f>
        <v>0</v>
      </c>
      <c r="H168" s="50">
        <f t="shared" si="14"/>
        <v>0</v>
      </c>
      <c r="I168" s="49">
        <f t="shared" si="15"/>
        <v>3.8536174430128831</v>
      </c>
    </row>
    <row r="169" spans="1:9" ht="15" customHeight="1">
      <c r="A169" s="31" t="s">
        <v>154</v>
      </c>
      <c r="B169" s="47">
        <f>'Расчет субсидий'!L171</f>
        <v>19.063636363636363</v>
      </c>
      <c r="C169" s="54">
        <f>'Расчет субсидий'!D171-1</f>
        <v>0.16068052930056709</v>
      </c>
      <c r="D169" s="54">
        <f>C169*'Расчет субсидий'!E171</f>
        <v>2.4102079395085063</v>
      </c>
      <c r="E169" s="50">
        <f t="shared" si="20"/>
        <v>19.063636363636363</v>
      </c>
      <c r="F169" s="54">
        <f>'Расчет субсидий'!F171-1</f>
        <v>0</v>
      </c>
      <c r="G169" s="54">
        <f>F169*'Расчет субсидий'!G171</f>
        <v>0</v>
      </c>
      <c r="H169" s="50">
        <f t="shared" si="14"/>
        <v>0</v>
      </c>
      <c r="I169" s="49">
        <f t="shared" si="15"/>
        <v>2.4102079395085063</v>
      </c>
    </row>
    <row r="170" spans="1:9" ht="15" customHeight="1">
      <c r="A170" s="31" t="s">
        <v>155</v>
      </c>
      <c r="B170" s="47">
        <f>'Расчет субсидий'!L172</f>
        <v>44.209090909090946</v>
      </c>
      <c r="C170" s="54">
        <f>'Расчет субсидий'!D172-1</f>
        <v>0.24608775137111505</v>
      </c>
      <c r="D170" s="54">
        <f>C170*'Расчет субсидий'!E172</f>
        <v>3.691316270566726</v>
      </c>
      <c r="E170" s="50">
        <f t="shared" si="20"/>
        <v>44.209090909090946</v>
      </c>
      <c r="F170" s="54">
        <f>'Расчет субсидий'!F172-1</f>
        <v>0</v>
      </c>
      <c r="G170" s="54">
        <f>F170*'Расчет субсидий'!G172</f>
        <v>0</v>
      </c>
      <c r="H170" s="50">
        <f t="shared" si="14"/>
        <v>0</v>
      </c>
      <c r="I170" s="49">
        <f t="shared" si="15"/>
        <v>3.691316270566726</v>
      </c>
    </row>
    <row r="171" spans="1:9" ht="15" customHeight="1">
      <c r="A171" s="31" t="s">
        <v>156</v>
      </c>
      <c r="B171" s="47">
        <f>'Расчет субсидий'!L173</f>
        <v>36.418181818181836</v>
      </c>
      <c r="C171" s="54">
        <f>'Расчет субсидий'!D173-1</f>
        <v>0.20359608449252953</v>
      </c>
      <c r="D171" s="54">
        <f>C171*'Расчет субсидий'!E173</f>
        <v>3.0539412673879429</v>
      </c>
      <c r="E171" s="50">
        <f t="shared" si="20"/>
        <v>36.418181818181836</v>
      </c>
      <c r="F171" s="54">
        <f>'Расчет субсидий'!F173-1</f>
        <v>0</v>
      </c>
      <c r="G171" s="54">
        <f>F171*'Расчет субсидий'!G173</f>
        <v>0</v>
      </c>
      <c r="H171" s="50">
        <f t="shared" si="14"/>
        <v>0</v>
      </c>
      <c r="I171" s="49">
        <f t="shared" si="15"/>
        <v>3.0539412673879429</v>
      </c>
    </row>
    <row r="172" spans="1:9" ht="15" customHeight="1">
      <c r="A172" s="31" t="s">
        <v>157</v>
      </c>
      <c r="B172" s="47">
        <f>'Расчет субсидий'!L174</f>
        <v>-15.809090909090912</v>
      </c>
      <c r="C172" s="54">
        <f>'Расчет субсидий'!D174-1</f>
        <v>-0.14763941656260804</v>
      </c>
      <c r="D172" s="54">
        <f>C172*'Расчет субсидий'!E174</f>
        <v>-2.2145912484391204</v>
      </c>
      <c r="E172" s="50">
        <f t="shared" si="20"/>
        <v>-15.80909090909091</v>
      </c>
      <c r="F172" s="54">
        <f>'Расчет субсидий'!F174-1</f>
        <v>0</v>
      </c>
      <c r="G172" s="54">
        <f>F172*'Расчет субсидий'!G174</f>
        <v>0</v>
      </c>
      <c r="H172" s="50">
        <f t="shared" si="14"/>
        <v>0</v>
      </c>
      <c r="I172" s="49">
        <f t="shared" si="15"/>
        <v>-2.2145912484391204</v>
      </c>
    </row>
    <row r="173" spans="1:9" ht="15" customHeight="1">
      <c r="A173" s="31" t="s">
        <v>158</v>
      </c>
      <c r="B173" s="47">
        <f>'Расчет субсидий'!L175</f>
        <v>-53.127272727272725</v>
      </c>
      <c r="C173" s="54">
        <f>'Расчет субсидий'!D175-1</f>
        <v>-0.49025748086290877</v>
      </c>
      <c r="D173" s="54">
        <f>C173*'Расчет субсидий'!E175</f>
        <v>-7.353862212943632</v>
      </c>
      <c r="E173" s="50">
        <f t="shared" si="20"/>
        <v>-53.127272727272725</v>
      </c>
      <c r="F173" s="54">
        <f>'Расчет субсидий'!F175-1</f>
        <v>0</v>
      </c>
      <c r="G173" s="54">
        <f>F173*'Расчет субсидий'!G175</f>
        <v>0</v>
      </c>
      <c r="H173" s="50">
        <f t="shared" si="14"/>
        <v>0</v>
      </c>
      <c r="I173" s="49">
        <f t="shared" si="15"/>
        <v>-7.353862212943632</v>
      </c>
    </row>
    <row r="174" spans="1:9" ht="15" customHeight="1">
      <c r="A174" s="31" t="s">
        <v>159</v>
      </c>
      <c r="B174" s="47">
        <f>'Расчет субсидий'!L176</f>
        <v>16.090909090909093</v>
      </c>
      <c r="C174" s="54">
        <f>'Расчет субсидий'!D176-1</f>
        <v>0.11905829596412554</v>
      </c>
      <c r="D174" s="54">
        <f>C174*'Расчет субсидий'!E176</f>
        <v>1.7858744394618831</v>
      </c>
      <c r="E174" s="50">
        <f t="shared" si="20"/>
        <v>16.090909090909093</v>
      </c>
      <c r="F174" s="54">
        <f>'Расчет субсидий'!F176-1</f>
        <v>0</v>
      </c>
      <c r="G174" s="54">
        <f>F174*'Расчет субсидий'!G176</f>
        <v>0</v>
      </c>
      <c r="H174" s="50">
        <f t="shared" si="14"/>
        <v>0</v>
      </c>
      <c r="I174" s="49">
        <f t="shared" si="15"/>
        <v>1.7858744394618831</v>
      </c>
    </row>
    <row r="175" spans="1:9" ht="15" customHeight="1">
      <c r="A175" s="31" t="s">
        <v>160</v>
      </c>
      <c r="B175" s="47">
        <f>'Расчет субсидий'!L177</f>
        <v>-19.699999999999989</v>
      </c>
      <c r="C175" s="54">
        <f>'Расчет субсидий'!D177-1</f>
        <v>-0.20912005700035619</v>
      </c>
      <c r="D175" s="54">
        <f>C175*'Расчет субсидий'!E177</f>
        <v>-3.136800855005343</v>
      </c>
      <c r="E175" s="50">
        <f t="shared" si="20"/>
        <v>-19.699999999999989</v>
      </c>
      <c r="F175" s="54">
        <f>'Расчет субсидий'!F177-1</f>
        <v>0</v>
      </c>
      <c r="G175" s="54">
        <f>F175*'Расчет субсидий'!G177</f>
        <v>0</v>
      </c>
      <c r="H175" s="50">
        <f t="shared" si="14"/>
        <v>0</v>
      </c>
      <c r="I175" s="49">
        <f t="shared" si="15"/>
        <v>-3.136800855005343</v>
      </c>
    </row>
    <row r="176" spans="1:9" ht="15" customHeight="1">
      <c r="A176" s="31" t="s">
        <v>161</v>
      </c>
      <c r="B176" s="47">
        <f>'Расчет субсидий'!L178</f>
        <v>-6.0909090909090935</v>
      </c>
      <c r="C176" s="54">
        <f>'Расчет субсидий'!D178-1</f>
        <v>-5.2631578947368252E-2</v>
      </c>
      <c r="D176" s="54">
        <f>C176*'Расчет субсидий'!E178</f>
        <v>-0.78947368421052377</v>
      </c>
      <c r="E176" s="50">
        <f t="shared" si="20"/>
        <v>-6.0909090909090935</v>
      </c>
      <c r="F176" s="54">
        <f>'Расчет субсидий'!F178-1</f>
        <v>0</v>
      </c>
      <c r="G176" s="54">
        <f>F176*'Расчет субсидий'!G178</f>
        <v>0</v>
      </c>
      <c r="H176" s="50">
        <f t="shared" si="14"/>
        <v>0</v>
      </c>
      <c r="I176" s="49">
        <f t="shared" si="15"/>
        <v>-0.78947368421052377</v>
      </c>
    </row>
    <row r="177" spans="1:9" ht="15" customHeight="1">
      <c r="A177" s="31" t="s">
        <v>96</v>
      </c>
      <c r="B177" s="47">
        <f>'Расчет субсидий'!L179</f>
        <v>-58.599999999999994</v>
      </c>
      <c r="C177" s="54">
        <f>'Расчет субсидий'!D179-1</f>
        <v>-0.45656485521618406</v>
      </c>
      <c r="D177" s="54">
        <f>C177*'Расчет субсидий'!E179</f>
        <v>-6.8484728282427607</v>
      </c>
      <c r="E177" s="50">
        <f t="shared" si="20"/>
        <v>-58.599999999999994</v>
      </c>
      <c r="F177" s="54">
        <f>'Расчет субсидий'!F179-1</f>
        <v>0</v>
      </c>
      <c r="G177" s="54">
        <f>F177*'Расчет субсидий'!G179</f>
        <v>0</v>
      </c>
      <c r="H177" s="50">
        <f t="shared" si="14"/>
        <v>0</v>
      </c>
      <c r="I177" s="49">
        <f t="shared" si="15"/>
        <v>-6.8484728282427607</v>
      </c>
    </row>
    <row r="178" spans="1:9" ht="15" customHeight="1">
      <c r="A178" s="31" t="s">
        <v>162</v>
      </c>
      <c r="B178" s="47">
        <f>'Расчет субсидий'!L180</f>
        <v>-134.23636363636362</v>
      </c>
      <c r="C178" s="54">
        <f>'Расчет субсидий'!D180-1</f>
        <v>-0.88225903013370588</v>
      </c>
      <c r="D178" s="54">
        <f>C178*'Расчет субсидий'!E180</f>
        <v>-13.233885452005588</v>
      </c>
      <c r="E178" s="50">
        <f t="shared" si="20"/>
        <v>-134.23636363636362</v>
      </c>
      <c r="F178" s="54">
        <f>'Расчет субсидий'!F180-1</f>
        <v>0</v>
      </c>
      <c r="G178" s="54">
        <f>F178*'Расчет субсидий'!G180</f>
        <v>0</v>
      </c>
      <c r="H178" s="50">
        <f t="shared" si="14"/>
        <v>0</v>
      </c>
      <c r="I178" s="49">
        <f t="shared" si="15"/>
        <v>-13.233885452005588</v>
      </c>
    </row>
    <row r="179" spans="1:9" ht="15" customHeight="1">
      <c r="A179" s="31" t="s">
        <v>163</v>
      </c>
      <c r="B179" s="47">
        <f>'Расчет субсидий'!L181</f>
        <v>35</v>
      </c>
      <c r="C179" s="54">
        <f>'Расчет субсидий'!D181-1</f>
        <v>0.13841059602649008</v>
      </c>
      <c r="D179" s="54">
        <f>C179*'Расчет субсидий'!E181</f>
        <v>2.0761589403973515</v>
      </c>
      <c r="E179" s="50">
        <f t="shared" si="20"/>
        <v>35</v>
      </c>
      <c r="F179" s="54">
        <f>'Расчет субсидий'!F181-1</f>
        <v>0</v>
      </c>
      <c r="G179" s="54">
        <f>F179*'Расчет субсидий'!G181</f>
        <v>0</v>
      </c>
      <c r="H179" s="50">
        <f t="shared" si="14"/>
        <v>0</v>
      </c>
      <c r="I179" s="49">
        <f t="shared" si="15"/>
        <v>2.0761589403973515</v>
      </c>
    </row>
    <row r="180" spans="1:9" ht="15" customHeight="1">
      <c r="A180" s="31" t="s">
        <v>164</v>
      </c>
      <c r="B180" s="47">
        <f>'Расчет субсидий'!L182</f>
        <v>-29.400000000000006</v>
      </c>
      <c r="C180" s="54">
        <f>'Расчет субсидий'!D182-1</f>
        <v>-0.20359848484848486</v>
      </c>
      <c r="D180" s="54">
        <f>C180*'Расчет субсидий'!E182</f>
        <v>-3.0539772727272729</v>
      </c>
      <c r="E180" s="50">
        <f t="shared" si="20"/>
        <v>-29.400000000000006</v>
      </c>
      <c r="F180" s="54">
        <f>'Расчет субсидий'!F182-1</f>
        <v>0</v>
      </c>
      <c r="G180" s="54">
        <f>F180*'Расчет субсидий'!G182</f>
        <v>0</v>
      </c>
      <c r="H180" s="50">
        <f t="shared" si="14"/>
        <v>0</v>
      </c>
      <c r="I180" s="49">
        <f t="shared" si="15"/>
        <v>-3.0539772727272729</v>
      </c>
    </row>
    <row r="181" spans="1:9" ht="15" customHeight="1">
      <c r="A181" s="30" t="s">
        <v>165</v>
      </c>
      <c r="B181" s="51"/>
      <c r="C181" s="52"/>
      <c r="D181" s="52"/>
      <c r="E181" s="53"/>
      <c r="F181" s="53"/>
      <c r="G181" s="53"/>
      <c r="H181" s="53"/>
      <c r="I181" s="53"/>
    </row>
    <row r="182" spans="1:9" ht="15" customHeight="1">
      <c r="A182" s="31" t="s">
        <v>166</v>
      </c>
      <c r="B182" s="47">
        <f>'Расчет субсидий'!L184</f>
        <v>-41.718181818181819</v>
      </c>
      <c r="C182" s="54">
        <f>'Расчет субсидий'!D184-1</f>
        <v>-0.45217391304347831</v>
      </c>
      <c r="D182" s="54">
        <f>C182*'Расчет субсидий'!E184</f>
        <v>-6.7826086956521747</v>
      </c>
      <c r="E182" s="50">
        <f t="shared" ref="E182:E187" si="21">$B182*D182/$I182</f>
        <v>-41.718181818181819</v>
      </c>
      <c r="F182" s="54">
        <f>'Расчет субсидий'!F184-1</f>
        <v>0</v>
      </c>
      <c r="G182" s="54">
        <f>F182*'Расчет субсидий'!G184</f>
        <v>0</v>
      </c>
      <c r="H182" s="50">
        <f t="shared" si="14"/>
        <v>0</v>
      </c>
      <c r="I182" s="49">
        <f t="shared" si="15"/>
        <v>-6.7826086956521747</v>
      </c>
    </row>
    <row r="183" spans="1:9" ht="15" customHeight="1">
      <c r="A183" s="31" t="s">
        <v>167</v>
      </c>
      <c r="B183" s="47">
        <f>'Расчет субсидий'!L185</f>
        <v>18.136363636363626</v>
      </c>
      <c r="C183" s="54">
        <f>'Расчет субсидий'!D185-1</f>
        <v>0.20685294117647057</v>
      </c>
      <c r="D183" s="54">
        <f>C183*'Расчет субсидий'!E185</f>
        <v>3.1027941176470586</v>
      </c>
      <c r="E183" s="50">
        <f t="shared" si="21"/>
        <v>18.136363636363626</v>
      </c>
      <c r="F183" s="54">
        <f>'Расчет субсидий'!F185-1</f>
        <v>0</v>
      </c>
      <c r="G183" s="54">
        <f>F183*'Расчет субсидий'!G185</f>
        <v>0</v>
      </c>
      <c r="H183" s="50">
        <f t="shared" si="14"/>
        <v>0</v>
      </c>
      <c r="I183" s="49">
        <f t="shared" si="15"/>
        <v>3.1027941176470586</v>
      </c>
    </row>
    <row r="184" spans="1:9" ht="15" customHeight="1">
      <c r="A184" s="31" t="s">
        <v>168</v>
      </c>
      <c r="B184" s="47">
        <f>'Расчет субсидий'!L186</f>
        <v>-39.027272727272717</v>
      </c>
      <c r="C184" s="54">
        <f>'Расчет субсидий'!D186-1</f>
        <v>-0.47277936962750711</v>
      </c>
      <c r="D184" s="54">
        <f>C184*'Расчет субсидий'!E186</f>
        <v>-7.0916905444126064</v>
      </c>
      <c r="E184" s="50">
        <f t="shared" si="21"/>
        <v>-39.027272727272717</v>
      </c>
      <c r="F184" s="54">
        <f>'Расчет субсидий'!F186-1</f>
        <v>0</v>
      </c>
      <c r="G184" s="54">
        <f>F184*'Расчет субсидий'!G186</f>
        <v>0</v>
      </c>
      <c r="H184" s="50">
        <f t="shared" si="14"/>
        <v>0</v>
      </c>
      <c r="I184" s="49">
        <f t="shared" si="15"/>
        <v>-7.0916905444126064</v>
      </c>
    </row>
    <row r="185" spans="1:9" ht="15" customHeight="1">
      <c r="A185" s="31" t="s">
        <v>169</v>
      </c>
      <c r="B185" s="47">
        <f>'Расчет субсидий'!L187</f>
        <v>-19.690909090909088</v>
      </c>
      <c r="C185" s="54">
        <f>'Расчет субсидий'!D187-1</f>
        <v>-0.31280310378273524</v>
      </c>
      <c r="D185" s="54">
        <f>C185*'Расчет субсидий'!E187</f>
        <v>-4.6920465567410288</v>
      </c>
      <c r="E185" s="50">
        <f t="shared" si="21"/>
        <v>-19.690909090909088</v>
      </c>
      <c r="F185" s="54">
        <f>'Расчет субсидий'!F187-1</f>
        <v>0</v>
      </c>
      <c r="G185" s="54">
        <f>F185*'Расчет субсидий'!G187</f>
        <v>0</v>
      </c>
      <c r="H185" s="50">
        <f t="shared" ref="H185:H247" si="22">$B185*G185/$I185</f>
        <v>0</v>
      </c>
      <c r="I185" s="49">
        <f t="shared" ref="I185:I247" si="23">D185+G185</f>
        <v>-4.6920465567410288</v>
      </c>
    </row>
    <row r="186" spans="1:9" ht="15" customHeight="1">
      <c r="A186" s="31" t="s">
        <v>170</v>
      </c>
      <c r="B186" s="47">
        <f>'Расчет субсидий'!L188</f>
        <v>17.672727272727272</v>
      </c>
      <c r="C186" s="54">
        <f>'Расчет субсидий'!D188-1</f>
        <v>0.28743718592964829</v>
      </c>
      <c r="D186" s="54">
        <f>C186*'Расчет субсидий'!E188</f>
        <v>4.3115577889447243</v>
      </c>
      <c r="E186" s="50">
        <f t="shared" si="21"/>
        <v>17.672727272727272</v>
      </c>
      <c r="F186" s="54">
        <f>'Расчет субсидий'!F188-1</f>
        <v>0</v>
      </c>
      <c r="G186" s="54">
        <f>F186*'Расчет субсидий'!G188</f>
        <v>0</v>
      </c>
      <c r="H186" s="50">
        <f t="shared" si="22"/>
        <v>0</v>
      </c>
      <c r="I186" s="49">
        <f t="shared" si="23"/>
        <v>4.3115577889447243</v>
      </c>
    </row>
    <row r="187" spans="1:9" ht="15" customHeight="1">
      <c r="A187" s="31" t="s">
        <v>171</v>
      </c>
      <c r="B187" s="47">
        <f>'Расчет субсидий'!L189</f>
        <v>9.0272727272727309</v>
      </c>
      <c r="C187" s="54">
        <f>'Расчет субсидий'!D189-1</f>
        <v>9.210526315789469E-2</v>
      </c>
      <c r="D187" s="54">
        <f>C187*'Расчет субсидий'!E189</f>
        <v>1.3815789473684204</v>
      </c>
      <c r="E187" s="50">
        <f t="shared" si="21"/>
        <v>9.0272727272727309</v>
      </c>
      <c r="F187" s="54">
        <f>'Расчет субсидий'!F189-1</f>
        <v>0</v>
      </c>
      <c r="G187" s="54">
        <f>F187*'Расчет субсидий'!G189</f>
        <v>0</v>
      </c>
      <c r="H187" s="50">
        <f t="shared" si="22"/>
        <v>0</v>
      </c>
      <c r="I187" s="49">
        <f t="shared" si="23"/>
        <v>1.3815789473684204</v>
      </c>
    </row>
    <row r="188" spans="1:9" ht="15" customHeight="1">
      <c r="A188" s="30" t="s">
        <v>172</v>
      </c>
      <c r="B188" s="51"/>
      <c r="C188" s="52"/>
      <c r="D188" s="52"/>
      <c r="E188" s="53"/>
      <c r="F188" s="53"/>
      <c r="G188" s="53"/>
      <c r="H188" s="53"/>
      <c r="I188" s="53"/>
    </row>
    <row r="189" spans="1:9" ht="15" customHeight="1">
      <c r="A189" s="31" t="s">
        <v>173</v>
      </c>
      <c r="B189" s="47">
        <f>'Расчет субсидий'!L191</f>
        <v>-18.590909090909093</v>
      </c>
      <c r="C189" s="54">
        <f>'Расчет субсидий'!D191-1</f>
        <v>-0.23318385650224216</v>
      </c>
      <c r="D189" s="54">
        <f>C189*'Расчет субсидий'!E191</f>
        <v>-3.4977578475336326</v>
      </c>
      <c r="E189" s="50">
        <f t="shared" ref="E189:E201" si="24">$B189*D189/$I189</f>
        <v>-18.590909090909097</v>
      </c>
      <c r="F189" s="54">
        <f>'Расчет субсидий'!F191-1</f>
        <v>0</v>
      </c>
      <c r="G189" s="54">
        <f>F189*'Расчет субсидий'!G191</f>
        <v>0</v>
      </c>
      <c r="H189" s="50">
        <f t="shared" si="22"/>
        <v>0</v>
      </c>
      <c r="I189" s="49">
        <f t="shared" si="23"/>
        <v>-3.4977578475336326</v>
      </c>
    </row>
    <row r="190" spans="1:9" ht="15" customHeight="1">
      <c r="A190" s="31" t="s">
        <v>174</v>
      </c>
      <c r="B190" s="47">
        <f>'Расчет субсидий'!L192</f>
        <v>-9.5999999999999943</v>
      </c>
      <c r="C190" s="54">
        <f>'Расчет субсидий'!D192-1</f>
        <v>-0.18783351120597658</v>
      </c>
      <c r="D190" s="54">
        <f>C190*'Расчет субсидий'!E192</f>
        <v>-2.8175026680896487</v>
      </c>
      <c r="E190" s="50">
        <f t="shared" si="24"/>
        <v>-9.5999999999999943</v>
      </c>
      <c r="F190" s="54">
        <f>'Расчет субсидий'!F192-1</f>
        <v>0</v>
      </c>
      <c r="G190" s="54">
        <f>F190*'Расчет субсидий'!G192</f>
        <v>0</v>
      </c>
      <c r="H190" s="50">
        <f t="shared" si="22"/>
        <v>0</v>
      </c>
      <c r="I190" s="49">
        <f t="shared" si="23"/>
        <v>-2.8175026680896487</v>
      </c>
    </row>
    <row r="191" spans="1:9" ht="15" customHeight="1">
      <c r="A191" s="31" t="s">
        <v>175</v>
      </c>
      <c r="B191" s="47">
        <f>'Расчет субсидий'!L193</f>
        <v>-21.654545454545456</v>
      </c>
      <c r="C191" s="54">
        <f>'Расчет субсидий'!D193-1</f>
        <v>-0.21547360809833704</v>
      </c>
      <c r="D191" s="54">
        <f>C191*'Расчет субсидий'!E193</f>
        <v>-3.2321041214750554</v>
      </c>
      <c r="E191" s="50">
        <f t="shared" si="24"/>
        <v>-21.654545454545456</v>
      </c>
      <c r="F191" s="54">
        <f>'Расчет субсидий'!F193-1</f>
        <v>0</v>
      </c>
      <c r="G191" s="54">
        <f>F191*'Расчет субсидий'!G193</f>
        <v>0</v>
      </c>
      <c r="H191" s="50">
        <f t="shared" si="22"/>
        <v>0</v>
      </c>
      <c r="I191" s="49">
        <f t="shared" si="23"/>
        <v>-3.2321041214750554</v>
      </c>
    </row>
    <row r="192" spans="1:9" ht="15" customHeight="1">
      <c r="A192" s="31" t="s">
        <v>176</v>
      </c>
      <c r="B192" s="47">
        <f>'Расчет субсидий'!L194</f>
        <v>0.19090909090909047</v>
      </c>
      <c r="C192" s="54">
        <f>'Расчет субсидий'!D194-1</f>
        <v>5.514563106796122E-2</v>
      </c>
      <c r="D192" s="54">
        <f>C192*'Расчет субсидий'!E194</f>
        <v>0.82718446601941831</v>
      </c>
      <c r="E192" s="50">
        <f t="shared" si="24"/>
        <v>0.19090909090909047</v>
      </c>
      <c r="F192" s="54">
        <f>'Расчет субсидий'!F194-1</f>
        <v>0</v>
      </c>
      <c r="G192" s="54">
        <f>F192*'Расчет субсидий'!G194</f>
        <v>0</v>
      </c>
      <c r="H192" s="50">
        <f t="shared" si="22"/>
        <v>0</v>
      </c>
      <c r="I192" s="49">
        <f t="shared" si="23"/>
        <v>0.82718446601941831</v>
      </c>
    </row>
    <row r="193" spans="1:9" ht="15" customHeight="1">
      <c r="A193" s="31" t="s">
        <v>177</v>
      </c>
      <c r="B193" s="47">
        <f>'Расчет субсидий'!L195</f>
        <v>-21.763636363636365</v>
      </c>
      <c r="C193" s="54">
        <f>'Расчет субсидий'!D195-1</f>
        <v>-0.29144942648592287</v>
      </c>
      <c r="D193" s="54">
        <f>C193*'Расчет субсидий'!E195</f>
        <v>-4.3717413972888428</v>
      </c>
      <c r="E193" s="50">
        <f t="shared" si="24"/>
        <v>-21.763636363636365</v>
      </c>
      <c r="F193" s="54">
        <f>'Расчет субсидий'!F195-1</f>
        <v>0</v>
      </c>
      <c r="G193" s="54">
        <f>F193*'Расчет субсидий'!G195</f>
        <v>0</v>
      </c>
      <c r="H193" s="50">
        <f t="shared" si="22"/>
        <v>0</v>
      </c>
      <c r="I193" s="49">
        <f t="shared" si="23"/>
        <v>-4.3717413972888428</v>
      </c>
    </row>
    <row r="194" spans="1:9" ht="15" customHeight="1">
      <c r="A194" s="31" t="s">
        <v>178</v>
      </c>
      <c r="B194" s="47">
        <f>'Расчет субсидий'!L196</f>
        <v>-58.772727272727266</v>
      </c>
      <c r="C194" s="54">
        <f>'Расчет субсидий'!D196-1</f>
        <v>-0.86420218785364011</v>
      </c>
      <c r="D194" s="54">
        <f>C194*'Расчет субсидий'!E196</f>
        <v>-12.963032817804601</v>
      </c>
      <c r="E194" s="50">
        <f t="shared" si="24"/>
        <v>-58.772727272727266</v>
      </c>
      <c r="F194" s="54">
        <f>'Расчет субсидий'!F196-1</f>
        <v>0</v>
      </c>
      <c r="G194" s="54">
        <f>F194*'Расчет субсидий'!G196</f>
        <v>0</v>
      </c>
      <c r="H194" s="50">
        <f t="shared" si="22"/>
        <v>0</v>
      </c>
      <c r="I194" s="49">
        <f t="shared" si="23"/>
        <v>-12.963032817804601</v>
      </c>
    </row>
    <row r="195" spans="1:9" ht="15" customHeight="1">
      <c r="A195" s="31" t="s">
        <v>179</v>
      </c>
      <c r="B195" s="47">
        <f>'Расчет субсидий'!L197</f>
        <v>18.672727272727286</v>
      </c>
      <c r="C195" s="54">
        <f>'Расчет субсидий'!D197-1</f>
        <v>0.22148082069580721</v>
      </c>
      <c r="D195" s="54">
        <f>C195*'Расчет субсидий'!E197</f>
        <v>3.3222123104371084</v>
      </c>
      <c r="E195" s="50">
        <f t="shared" si="24"/>
        <v>18.672727272727286</v>
      </c>
      <c r="F195" s="54">
        <f>'Расчет субсидий'!F197-1</f>
        <v>0</v>
      </c>
      <c r="G195" s="54">
        <f>F195*'Расчет субсидий'!G197</f>
        <v>0</v>
      </c>
      <c r="H195" s="50">
        <f t="shared" si="22"/>
        <v>0</v>
      </c>
      <c r="I195" s="49">
        <f t="shared" si="23"/>
        <v>3.3222123104371084</v>
      </c>
    </row>
    <row r="196" spans="1:9" ht="15" customHeight="1">
      <c r="A196" s="31" t="s">
        <v>180</v>
      </c>
      <c r="B196" s="47">
        <f>'Расчет субсидий'!L198</f>
        <v>12.74545454545455</v>
      </c>
      <c r="C196" s="54">
        <f>'Расчет субсидий'!D198-1</f>
        <v>0.21327081770442602</v>
      </c>
      <c r="D196" s="54">
        <f>C196*'Расчет субсидий'!E198</f>
        <v>3.1990622655663903</v>
      </c>
      <c r="E196" s="50">
        <f t="shared" si="24"/>
        <v>12.74545454545455</v>
      </c>
      <c r="F196" s="54">
        <f>'Расчет субсидий'!F198-1</f>
        <v>0</v>
      </c>
      <c r="G196" s="54">
        <f>F196*'Расчет субсидий'!G198</f>
        <v>0</v>
      </c>
      <c r="H196" s="50">
        <f t="shared" si="22"/>
        <v>0</v>
      </c>
      <c r="I196" s="49">
        <f t="shared" si="23"/>
        <v>3.1990622655663903</v>
      </c>
    </row>
    <row r="197" spans="1:9" ht="15" customHeight="1">
      <c r="A197" s="31" t="s">
        <v>181</v>
      </c>
      <c r="B197" s="47">
        <f>'Расчет субсидий'!L199</f>
        <v>-44.963636363636368</v>
      </c>
      <c r="C197" s="54">
        <f>'Расчет субсидий'!D199-1</f>
        <v>-0.45825671202648022</v>
      </c>
      <c r="D197" s="54">
        <f>C197*'Расчет субсидий'!E199</f>
        <v>-6.8738506803972035</v>
      </c>
      <c r="E197" s="50">
        <f t="shared" si="24"/>
        <v>-44.963636363636368</v>
      </c>
      <c r="F197" s="54">
        <f>'Расчет субсидий'!F199-1</f>
        <v>0</v>
      </c>
      <c r="G197" s="54">
        <f>F197*'Расчет субсидий'!G199</f>
        <v>0</v>
      </c>
      <c r="H197" s="50">
        <f t="shared" si="22"/>
        <v>0</v>
      </c>
      <c r="I197" s="49">
        <f t="shared" si="23"/>
        <v>-6.8738506803972035</v>
      </c>
    </row>
    <row r="198" spans="1:9" ht="15" customHeight="1">
      <c r="A198" s="31" t="s">
        <v>182</v>
      </c>
      <c r="B198" s="47">
        <f>'Расчет субсидий'!L200</f>
        <v>-47.709090909090904</v>
      </c>
      <c r="C198" s="54">
        <f>'Расчет субсидий'!D200-1</f>
        <v>-0.5719905586152636</v>
      </c>
      <c r="D198" s="54">
        <f>C198*'Расчет субсидий'!E200</f>
        <v>-8.5798583792289538</v>
      </c>
      <c r="E198" s="50">
        <f t="shared" si="24"/>
        <v>-47.709090909090904</v>
      </c>
      <c r="F198" s="54">
        <f>'Расчет субсидий'!F200-1</f>
        <v>0</v>
      </c>
      <c r="G198" s="54">
        <f>F198*'Расчет субсидий'!G200</f>
        <v>0</v>
      </c>
      <c r="H198" s="50">
        <f t="shared" si="22"/>
        <v>0</v>
      </c>
      <c r="I198" s="49">
        <f t="shared" si="23"/>
        <v>-8.5798583792289538</v>
      </c>
    </row>
    <row r="199" spans="1:9" ht="15" customHeight="1">
      <c r="A199" s="31" t="s">
        <v>183</v>
      </c>
      <c r="B199" s="47">
        <f>'Расчет субсидий'!L201</f>
        <v>-72.081818181818193</v>
      </c>
      <c r="C199" s="54">
        <f>'Расчет субсидий'!D201-1</f>
        <v>-0.93747841105354057</v>
      </c>
      <c r="D199" s="54">
        <f>C199*'Расчет субсидий'!E201</f>
        <v>-14.062176165803109</v>
      </c>
      <c r="E199" s="50">
        <f t="shared" si="24"/>
        <v>-72.081818181818193</v>
      </c>
      <c r="F199" s="54">
        <f>'Расчет субсидий'!F201-1</f>
        <v>0</v>
      </c>
      <c r="G199" s="54">
        <f>F199*'Расчет субсидий'!G201</f>
        <v>0</v>
      </c>
      <c r="H199" s="50">
        <f t="shared" si="22"/>
        <v>0</v>
      </c>
      <c r="I199" s="49">
        <f t="shared" si="23"/>
        <v>-14.062176165803109</v>
      </c>
    </row>
    <row r="200" spans="1:9" ht="15" customHeight="1">
      <c r="A200" s="31" t="s">
        <v>184</v>
      </c>
      <c r="B200" s="47">
        <f>'Расчет субсидий'!L202</f>
        <v>12.409090909090907</v>
      </c>
      <c r="C200" s="54">
        <f>'Расчет субсидий'!D202-1</f>
        <v>0.17982799061767007</v>
      </c>
      <c r="D200" s="54">
        <f>C200*'Расчет субсидий'!E202</f>
        <v>2.6974198592650511</v>
      </c>
      <c r="E200" s="50">
        <f t="shared" si="24"/>
        <v>12.409090909090905</v>
      </c>
      <c r="F200" s="54">
        <f>'Расчет субсидий'!F202-1</f>
        <v>0</v>
      </c>
      <c r="G200" s="54">
        <f>F200*'Расчет субсидий'!G202</f>
        <v>0</v>
      </c>
      <c r="H200" s="50">
        <f t="shared" si="22"/>
        <v>0</v>
      </c>
      <c r="I200" s="49">
        <f t="shared" si="23"/>
        <v>2.6974198592650511</v>
      </c>
    </row>
    <row r="201" spans="1:9" ht="15" customHeight="1">
      <c r="A201" s="31" t="s">
        <v>185</v>
      </c>
      <c r="B201" s="47">
        <f>'Расчет субсидий'!L203</f>
        <v>-49.77272727272728</v>
      </c>
      <c r="C201" s="54">
        <f>'Расчет субсидий'!D203-1</f>
        <v>-0.59526261585993823</v>
      </c>
      <c r="D201" s="54">
        <f>C201*'Расчет субсидий'!E203</f>
        <v>-8.9289392378990726</v>
      </c>
      <c r="E201" s="50">
        <f t="shared" si="24"/>
        <v>-49.77272727272728</v>
      </c>
      <c r="F201" s="54">
        <f>'Расчет субсидий'!F203-1</f>
        <v>0</v>
      </c>
      <c r="G201" s="54">
        <f>F201*'Расчет субсидий'!G203</f>
        <v>0</v>
      </c>
      <c r="H201" s="50">
        <f t="shared" si="22"/>
        <v>0</v>
      </c>
      <c r="I201" s="49">
        <f t="shared" si="23"/>
        <v>-8.9289392378990726</v>
      </c>
    </row>
    <row r="202" spans="1:9" ht="15" customHeight="1">
      <c r="A202" s="30" t="s">
        <v>186</v>
      </c>
      <c r="B202" s="51"/>
      <c r="C202" s="52"/>
      <c r="D202" s="52"/>
      <c r="E202" s="53"/>
      <c r="F202" s="53"/>
      <c r="G202" s="53"/>
      <c r="H202" s="53"/>
      <c r="I202" s="53"/>
    </row>
    <row r="203" spans="1:9" ht="15" customHeight="1">
      <c r="A203" s="31" t="s">
        <v>187</v>
      </c>
      <c r="B203" s="47">
        <f>'Расчет субсидий'!L205</f>
        <v>29.254545454545479</v>
      </c>
      <c r="C203" s="54">
        <f>'Расчет субсидий'!D205-1</f>
        <v>0.30000000000000004</v>
      </c>
      <c r="D203" s="54">
        <f>C203*'Расчет субсидий'!E205</f>
        <v>4.5000000000000009</v>
      </c>
      <c r="E203" s="50">
        <f t="shared" ref="E203:E214" si="25">$B203*D203/$I203</f>
        <v>29.254545454545475</v>
      </c>
      <c r="F203" s="54">
        <f>'Расчет субсидий'!F205-1</f>
        <v>0</v>
      </c>
      <c r="G203" s="54">
        <f>F203*'Расчет субсидий'!G205</f>
        <v>0</v>
      </c>
      <c r="H203" s="50">
        <f t="shared" si="22"/>
        <v>0</v>
      </c>
      <c r="I203" s="49">
        <f t="shared" si="23"/>
        <v>4.5000000000000009</v>
      </c>
    </row>
    <row r="204" spans="1:9" ht="15" customHeight="1">
      <c r="A204" s="31" t="s">
        <v>188</v>
      </c>
      <c r="B204" s="47">
        <f>'Расчет субсидий'!L206</f>
        <v>-10.436363636363637</v>
      </c>
      <c r="C204" s="54">
        <f>'Расчет субсидий'!D206-1</f>
        <v>-0.10341365461847385</v>
      </c>
      <c r="D204" s="54">
        <f>C204*'Расчет субсидий'!E206</f>
        <v>-1.5512048192771077</v>
      </c>
      <c r="E204" s="50">
        <f t="shared" si="25"/>
        <v>-10.436363636363637</v>
      </c>
      <c r="F204" s="54">
        <f>'Расчет субсидий'!F206-1</f>
        <v>0</v>
      </c>
      <c r="G204" s="54">
        <f>F204*'Расчет субсидий'!G206</f>
        <v>0</v>
      </c>
      <c r="H204" s="50">
        <f t="shared" si="22"/>
        <v>0</v>
      </c>
      <c r="I204" s="49">
        <f t="shared" si="23"/>
        <v>-1.5512048192771077</v>
      </c>
    </row>
    <row r="205" spans="1:9" ht="15" customHeight="1">
      <c r="A205" s="31" t="s">
        <v>189</v>
      </c>
      <c r="B205" s="47">
        <f>'Расчет субсидий'!L207</f>
        <v>-27.181818181818187</v>
      </c>
      <c r="C205" s="54">
        <f>'Расчет субсидий'!D207-1</f>
        <v>-0.15427266797129813</v>
      </c>
      <c r="D205" s="54">
        <f>C205*'Расчет субсидий'!E207</f>
        <v>-2.314090019569472</v>
      </c>
      <c r="E205" s="50">
        <f t="shared" si="25"/>
        <v>-27.181818181818187</v>
      </c>
      <c r="F205" s="54">
        <f>'Расчет субсидий'!F207-1</f>
        <v>0</v>
      </c>
      <c r="G205" s="54">
        <f>F205*'Расчет субсидий'!G207</f>
        <v>0</v>
      </c>
      <c r="H205" s="50">
        <f t="shared" si="22"/>
        <v>0</v>
      </c>
      <c r="I205" s="49">
        <f t="shared" si="23"/>
        <v>-2.314090019569472</v>
      </c>
    </row>
    <row r="206" spans="1:9" ht="15" customHeight="1">
      <c r="A206" s="31" t="s">
        <v>190</v>
      </c>
      <c r="B206" s="47">
        <f>'Расчет субсидий'!L208</f>
        <v>-59.963636363636368</v>
      </c>
      <c r="C206" s="54">
        <f>'Расчет субсидий'!D208-1</f>
        <v>-0.61596009975062338</v>
      </c>
      <c r="D206" s="54">
        <f>C206*'Расчет субсидий'!E208</f>
        <v>-9.2394014962593509</v>
      </c>
      <c r="E206" s="50">
        <f t="shared" si="25"/>
        <v>-59.963636363636368</v>
      </c>
      <c r="F206" s="54">
        <f>'Расчет субсидий'!F208-1</f>
        <v>0</v>
      </c>
      <c r="G206" s="54">
        <f>F206*'Расчет субсидий'!G208</f>
        <v>0</v>
      </c>
      <c r="H206" s="50">
        <f t="shared" si="22"/>
        <v>0</v>
      </c>
      <c r="I206" s="49">
        <f t="shared" si="23"/>
        <v>-9.2394014962593509</v>
      </c>
    </row>
    <row r="207" spans="1:9" ht="15" customHeight="1">
      <c r="A207" s="31" t="s">
        <v>191</v>
      </c>
      <c r="B207" s="47">
        <f>'Расчет субсидий'!L209</f>
        <v>-2.8454545454545439</v>
      </c>
      <c r="C207" s="54">
        <f>'Расчет субсидий'!D209-1</f>
        <v>-2.8581510232886242E-2</v>
      </c>
      <c r="D207" s="54">
        <f>C207*'Расчет субсидий'!E209</f>
        <v>-0.42872265349329364</v>
      </c>
      <c r="E207" s="50">
        <f t="shared" si="25"/>
        <v>-2.8454545454545439</v>
      </c>
      <c r="F207" s="54">
        <f>'Расчет субсидий'!F209-1</f>
        <v>0</v>
      </c>
      <c r="G207" s="54">
        <f>F207*'Расчет субсидий'!G209</f>
        <v>0</v>
      </c>
      <c r="H207" s="50">
        <f t="shared" si="22"/>
        <v>0</v>
      </c>
      <c r="I207" s="49">
        <f t="shared" si="23"/>
        <v>-0.42872265349329364</v>
      </c>
    </row>
    <row r="208" spans="1:9" ht="15" customHeight="1">
      <c r="A208" s="31" t="s">
        <v>192</v>
      </c>
      <c r="B208" s="47">
        <f>'Расчет субсидий'!L210</f>
        <v>65.081818181818164</v>
      </c>
      <c r="C208" s="54">
        <f>'Расчет субсидий'!D210-1</f>
        <v>0.30000000000000004</v>
      </c>
      <c r="D208" s="54">
        <f>C208*'Расчет субсидий'!E210</f>
        <v>4.5000000000000009</v>
      </c>
      <c r="E208" s="50">
        <f t="shared" si="25"/>
        <v>65.081818181818164</v>
      </c>
      <c r="F208" s="54">
        <f>'Расчет субсидий'!F210-1</f>
        <v>0</v>
      </c>
      <c r="G208" s="54">
        <f>F208*'Расчет субсидий'!G210</f>
        <v>0</v>
      </c>
      <c r="H208" s="50">
        <f t="shared" si="22"/>
        <v>0</v>
      </c>
      <c r="I208" s="49">
        <f t="shared" si="23"/>
        <v>4.5000000000000009</v>
      </c>
    </row>
    <row r="209" spans="1:9" ht="15" customHeight="1">
      <c r="A209" s="31" t="s">
        <v>193</v>
      </c>
      <c r="B209" s="47">
        <f>'Расчет субсидий'!L211</f>
        <v>-6.6272727272727252</v>
      </c>
      <c r="C209" s="54">
        <f>'Расчет субсидий'!D211-1</f>
        <v>-3.2455081315247325E-2</v>
      </c>
      <c r="D209" s="54">
        <f>C209*'Расчет субсидий'!E211</f>
        <v>-0.48682621972870987</v>
      </c>
      <c r="E209" s="50">
        <f t="shared" si="25"/>
        <v>-6.6272727272727252</v>
      </c>
      <c r="F209" s="54">
        <f>'Расчет субсидий'!F211-1</f>
        <v>0</v>
      </c>
      <c r="G209" s="54">
        <f>F209*'Расчет субсидий'!G211</f>
        <v>0</v>
      </c>
      <c r="H209" s="50">
        <f t="shared" si="22"/>
        <v>0</v>
      </c>
      <c r="I209" s="49">
        <f t="shared" si="23"/>
        <v>-0.48682621972870987</v>
      </c>
    </row>
    <row r="210" spans="1:9" ht="15" customHeight="1">
      <c r="A210" s="31" t="s">
        <v>194</v>
      </c>
      <c r="B210" s="47">
        <f>'Расчет субсидий'!L212</f>
        <v>-94.954545454545467</v>
      </c>
      <c r="C210" s="54">
        <f>'Расчет субсидий'!D212-1</f>
        <v>-0.91795164667808871</v>
      </c>
      <c r="D210" s="54">
        <f>C210*'Расчет субсидий'!E212</f>
        <v>-13.76927470017133</v>
      </c>
      <c r="E210" s="50">
        <f t="shared" si="25"/>
        <v>-94.954545454545453</v>
      </c>
      <c r="F210" s="54">
        <f>'Расчет субсидий'!F212-1</f>
        <v>0</v>
      </c>
      <c r="G210" s="54">
        <f>F210*'Расчет субсидий'!G212</f>
        <v>0</v>
      </c>
      <c r="H210" s="50">
        <f t="shared" si="22"/>
        <v>0</v>
      </c>
      <c r="I210" s="49">
        <f t="shared" si="23"/>
        <v>-13.76927470017133</v>
      </c>
    </row>
    <row r="211" spans="1:9" ht="15" customHeight="1">
      <c r="A211" s="31" t="s">
        <v>195</v>
      </c>
      <c r="B211" s="47">
        <f>'Расчет субсидий'!L213</f>
        <v>-33.463636363636368</v>
      </c>
      <c r="C211" s="54">
        <f>'Расчет субсидий'!D213-1</f>
        <v>-0.3475991649269311</v>
      </c>
      <c r="D211" s="54">
        <f>C211*'Расчет субсидий'!E213</f>
        <v>-5.2139874739039662</v>
      </c>
      <c r="E211" s="50">
        <f t="shared" si="25"/>
        <v>-33.463636363636368</v>
      </c>
      <c r="F211" s="54">
        <f>'Расчет субсидий'!F213-1</f>
        <v>0</v>
      </c>
      <c r="G211" s="54">
        <f>F211*'Расчет субсидий'!G213</f>
        <v>0</v>
      </c>
      <c r="H211" s="50">
        <f t="shared" si="22"/>
        <v>0</v>
      </c>
      <c r="I211" s="49">
        <f t="shared" si="23"/>
        <v>-5.2139874739039662</v>
      </c>
    </row>
    <row r="212" spans="1:9" ht="15" customHeight="1">
      <c r="A212" s="31" t="s">
        <v>196</v>
      </c>
      <c r="B212" s="47">
        <f>'Расчет субсидий'!L214</f>
        <v>-111.04545454545456</v>
      </c>
      <c r="C212" s="54">
        <f>'Расчет субсидий'!D214-1</f>
        <v>-0.60169491525423724</v>
      </c>
      <c r="D212" s="54">
        <f>C212*'Расчет субсидий'!E214</f>
        <v>-9.0254237288135588</v>
      </c>
      <c r="E212" s="50">
        <f t="shared" si="25"/>
        <v>-111.04545454545456</v>
      </c>
      <c r="F212" s="54">
        <f>'Расчет субсидий'!F214-1</f>
        <v>0</v>
      </c>
      <c r="G212" s="54">
        <f>F212*'Расчет субсидий'!G214</f>
        <v>0</v>
      </c>
      <c r="H212" s="50">
        <f t="shared" si="22"/>
        <v>0</v>
      </c>
      <c r="I212" s="49">
        <f t="shared" si="23"/>
        <v>-9.0254237288135588</v>
      </c>
    </row>
    <row r="213" spans="1:9" ht="15" customHeight="1">
      <c r="A213" s="31" t="s">
        <v>197</v>
      </c>
      <c r="B213" s="47">
        <f>'Расчет субсидий'!L215</f>
        <v>20.345454545454544</v>
      </c>
      <c r="C213" s="54">
        <f>'Расчет субсидий'!D215-1</f>
        <v>0.19565217391304368</v>
      </c>
      <c r="D213" s="54">
        <f>C213*'Расчет субсидий'!E215</f>
        <v>2.934782608695655</v>
      </c>
      <c r="E213" s="50">
        <f t="shared" si="25"/>
        <v>20.345454545454544</v>
      </c>
      <c r="F213" s="54">
        <f>'Расчет субсидий'!F215-1</f>
        <v>0</v>
      </c>
      <c r="G213" s="54">
        <f>F213*'Расчет субсидий'!G215</f>
        <v>0</v>
      </c>
      <c r="H213" s="50">
        <f t="shared" si="22"/>
        <v>0</v>
      </c>
      <c r="I213" s="49">
        <f t="shared" si="23"/>
        <v>2.934782608695655</v>
      </c>
    </row>
    <row r="214" spans="1:9" ht="15" customHeight="1">
      <c r="A214" s="31" t="s">
        <v>198</v>
      </c>
      <c r="B214" s="47">
        <f>'Расчет субсидий'!L216</f>
        <v>-18.427272727272737</v>
      </c>
      <c r="C214" s="54">
        <f>'Расчет субсидий'!D216-1</f>
        <v>-0.2610015174506829</v>
      </c>
      <c r="D214" s="54">
        <f>C214*'Расчет субсидий'!E216</f>
        <v>-3.9150227617602433</v>
      </c>
      <c r="E214" s="50">
        <f t="shared" si="25"/>
        <v>-18.427272727272733</v>
      </c>
      <c r="F214" s="54">
        <f>'Расчет субсидий'!F216-1</f>
        <v>0</v>
      </c>
      <c r="G214" s="54">
        <f>F214*'Расчет субсидий'!G216</f>
        <v>0</v>
      </c>
      <c r="H214" s="50">
        <f t="shared" si="22"/>
        <v>0</v>
      </c>
      <c r="I214" s="49">
        <f t="shared" si="23"/>
        <v>-3.9150227617602433</v>
      </c>
    </row>
    <row r="215" spans="1:9" ht="15" customHeight="1">
      <c r="A215" s="30" t="s">
        <v>199</v>
      </c>
      <c r="B215" s="51"/>
      <c r="C215" s="52"/>
      <c r="D215" s="52"/>
      <c r="E215" s="53"/>
      <c r="F215" s="53"/>
      <c r="G215" s="53"/>
      <c r="H215" s="53"/>
      <c r="I215" s="53"/>
    </row>
    <row r="216" spans="1:9" ht="15" customHeight="1">
      <c r="A216" s="31" t="s">
        <v>200</v>
      </c>
      <c r="B216" s="47">
        <f>'Расчет субсидий'!L218</f>
        <v>-16.899999999999999</v>
      </c>
      <c r="C216" s="54">
        <f>'Расчет субсидий'!D218-1</f>
        <v>-0.93759602883819881</v>
      </c>
      <c r="D216" s="54">
        <f>C216*'Расчет субсидий'!E218</f>
        <v>-14.063940432572982</v>
      </c>
      <c r="E216" s="50">
        <f t="shared" ref="E216:E228" si="26">$B216*D216/$I216</f>
        <v>-16.899999999999999</v>
      </c>
      <c r="F216" s="54">
        <f>'Расчет субсидий'!F218-1</f>
        <v>0</v>
      </c>
      <c r="G216" s="54">
        <f>F216*'Расчет субсидий'!G218</f>
        <v>0</v>
      </c>
      <c r="H216" s="50">
        <f t="shared" si="22"/>
        <v>0</v>
      </c>
      <c r="I216" s="49">
        <f t="shared" si="23"/>
        <v>-14.063940432572982</v>
      </c>
    </row>
    <row r="217" spans="1:9" ht="15" customHeight="1">
      <c r="A217" s="31" t="s">
        <v>201</v>
      </c>
      <c r="B217" s="47">
        <f>'Расчет субсидий'!L219</f>
        <v>-45.699999999999989</v>
      </c>
      <c r="C217" s="54">
        <f>'Расчет субсидий'!D219-1</f>
        <v>-0.39669070852778954</v>
      </c>
      <c r="D217" s="54">
        <f>C217*'Расчет субсидий'!E219</f>
        <v>-5.9503606279168428</v>
      </c>
      <c r="E217" s="50">
        <f t="shared" si="26"/>
        <v>-45.699999999999996</v>
      </c>
      <c r="F217" s="54">
        <f>'Расчет субсидий'!F219-1</f>
        <v>0</v>
      </c>
      <c r="G217" s="54">
        <f>F217*'Расчет субсидий'!G219</f>
        <v>0</v>
      </c>
      <c r="H217" s="50">
        <f t="shared" si="22"/>
        <v>0</v>
      </c>
      <c r="I217" s="49">
        <f t="shared" si="23"/>
        <v>-5.9503606279168428</v>
      </c>
    </row>
    <row r="218" spans="1:9" ht="15" customHeight="1">
      <c r="A218" s="31" t="s">
        <v>202</v>
      </c>
      <c r="B218" s="47">
        <f>'Расчет субсидий'!L220</f>
        <v>0</v>
      </c>
      <c r="C218" s="54">
        <f>'Расчет субсидий'!D220-1</f>
        <v>1.6189353962805519E-2</v>
      </c>
      <c r="D218" s="54">
        <f>C218*'Расчет субсидий'!E220</f>
        <v>0.24284030944208279</v>
      </c>
      <c r="E218" s="50">
        <f t="shared" si="26"/>
        <v>0</v>
      </c>
      <c r="F218" s="54">
        <f>'Расчет субсидий'!F220-1</f>
        <v>0</v>
      </c>
      <c r="G218" s="54">
        <f>F218*'Расчет субсидий'!G220</f>
        <v>0</v>
      </c>
      <c r="H218" s="50">
        <f t="shared" si="22"/>
        <v>0</v>
      </c>
      <c r="I218" s="49">
        <f t="shared" si="23"/>
        <v>0.24284030944208279</v>
      </c>
    </row>
    <row r="219" spans="1:9" ht="15" customHeight="1">
      <c r="A219" s="31" t="s">
        <v>203</v>
      </c>
      <c r="B219" s="47">
        <f>'Расчет субсидий'!L221</f>
        <v>-16.909090909090907</v>
      </c>
      <c r="C219" s="54">
        <f>'Расчет субсидий'!D221-1</f>
        <v>-0.21693121693121686</v>
      </c>
      <c r="D219" s="54">
        <f>C219*'Расчет субсидий'!E221</f>
        <v>-3.2539682539682531</v>
      </c>
      <c r="E219" s="50">
        <f t="shared" si="26"/>
        <v>-16.909090909090907</v>
      </c>
      <c r="F219" s="54">
        <f>'Расчет субсидий'!F221-1</f>
        <v>0</v>
      </c>
      <c r="G219" s="54">
        <f>F219*'Расчет субсидий'!G221</f>
        <v>0</v>
      </c>
      <c r="H219" s="50">
        <f t="shared" si="22"/>
        <v>0</v>
      </c>
      <c r="I219" s="49">
        <f t="shared" si="23"/>
        <v>-3.2539682539682531</v>
      </c>
    </row>
    <row r="220" spans="1:9" ht="15" customHeight="1">
      <c r="A220" s="31" t="s">
        <v>204</v>
      </c>
      <c r="B220" s="47">
        <f>'Расчет субсидий'!L222</f>
        <v>-56.418181818181807</v>
      </c>
      <c r="C220" s="54">
        <f>'Расчет субсидий'!D222-1</f>
        <v>-0.32985263979701374</v>
      </c>
      <c r="D220" s="54">
        <f>C220*'Расчет субсидий'!E222</f>
        <v>-4.9477895969552064</v>
      </c>
      <c r="E220" s="50">
        <f t="shared" si="26"/>
        <v>-56.418181818181807</v>
      </c>
      <c r="F220" s="54">
        <f>'Расчет субсидий'!F222-1</f>
        <v>0</v>
      </c>
      <c r="G220" s="54">
        <f>F220*'Расчет субсидий'!G222</f>
        <v>0</v>
      </c>
      <c r="H220" s="50">
        <f t="shared" si="22"/>
        <v>0</v>
      </c>
      <c r="I220" s="49">
        <f t="shared" si="23"/>
        <v>-4.9477895969552064</v>
      </c>
    </row>
    <row r="221" spans="1:9" ht="15" customHeight="1">
      <c r="A221" s="31" t="s">
        <v>205</v>
      </c>
      <c r="B221" s="47">
        <f>'Расчет субсидий'!L223</f>
        <v>-20.199999999999989</v>
      </c>
      <c r="C221" s="54">
        <f>'Расчет субсидий'!D223-1</f>
        <v>-0.16485842815559659</v>
      </c>
      <c r="D221" s="54">
        <f>C221*'Расчет субсидий'!E223</f>
        <v>-2.472876422333949</v>
      </c>
      <c r="E221" s="50">
        <f t="shared" si="26"/>
        <v>-20.199999999999989</v>
      </c>
      <c r="F221" s="54">
        <f>'Расчет субсидий'!F223-1</f>
        <v>0</v>
      </c>
      <c r="G221" s="54">
        <f>F221*'Расчет субсидий'!G223</f>
        <v>0</v>
      </c>
      <c r="H221" s="50">
        <f t="shared" si="22"/>
        <v>0</v>
      </c>
      <c r="I221" s="49">
        <f t="shared" si="23"/>
        <v>-2.472876422333949</v>
      </c>
    </row>
    <row r="222" spans="1:9" ht="15" customHeight="1">
      <c r="A222" s="31" t="s">
        <v>206</v>
      </c>
      <c r="B222" s="47">
        <f>'Расчет субсидий'!L224</f>
        <v>-0.41818181818181799</v>
      </c>
      <c r="C222" s="54">
        <f>'Расчет субсидий'!D224-1</f>
        <v>-0.1138450979996366</v>
      </c>
      <c r="D222" s="54">
        <f>C222*'Расчет субсидий'!E224</f>
        <v>-1.707676469994549</v>
      </c>
      <c r="E222" s="50">
        <f t="shared" si="26"/>
        <v>-0.41818181818181799</v>
      </c>
      <c r="F222" s="54">
        <f>'Расчет субсидий'!F224-1</f>
        <v>0</v>
      </c>
      <c r="G222" s="54">
        <f>F222*'Расчет субсидий'!G224</f>
        <v>0</v>
      </c>
      <c r="H222" s="50">
        <f t="shared" si="22"/>
        <v>0</v>
      </c>
      <c r="I222" s="49">
        <f t="shared" si="23"/>
        <v>-1.707676469994549</v>
      </c>
    </row>
    <row r="223" spans="1:9" ht="15" customHeight="1">
      <c r="A223" s="31" t="s">
        <v>207</v>
      </c>
      <c r="B223" s="47">
        <f>'Расчет субсидий'!L225</f>
        <v>-5.5090909090909008</v>
      </c>
      <c r="C223" s="54">
        <f>'Расчет субсидий'!D225-1</f>
        <v>-4.2392671097539081E-2</v>
      </c>
      <c r="D223" s="54">
        <f>C223*'Расчет субсидий'!E225</f>
        <v>-0.63589006646308621</v>
      </c>
      <c r="E223" s="50">
        <f t="shared" si="26"/>
        <v>-5.5090909090909008</v>
      </c>
      <c r="F223" s="54">
        <f>'Расчет субсидий'!F225-1</f>
        <v>0</v>
      </c>
      <c r="G223" s="54">
        <f>F223*'Расчет субсидий'!G225</f>
        <v>0</v>
      </c>
      <c r="H223" s="50">
        <f t="shared" si="22"/>
        <v>0</v>
      </c>
      <c r="I223" s="49">
        <f t="shared" si="23"/>
        <v>-0.63589006646308621</v>
      </c>
    </row>
    <row r="224" spans="1:9" ht="15" customHeight="1">
      <c r="A224" s="31" t="s">
        <v>208</v>
      </c>
      <c r="B224" s="47">
        <f>'Расчет субсидий'!L226</f>
        <v>-4.6363636363636367</v>
      </c>
      <c r="C224" s="54">
        <f>'Расчет субсидий'!D226-1</f>
        <v>-0.3568268751039414</v>
      </c>
      <c r="D224" s="54">
        <f>C224*'Расчет субсидий'!E226</f>
        <v>-5.3524031265591212</v>
      </c>
      <c r="E224" s="50">
        <f t="shared" si="26"/>
        <v>-4.6363636363636367</v>
      </c>
      <c r="F224" s="54">
        <f>'Расчет субсидий'!F226-1</f>
        <v>0</v>
      </c>
      <c r="G224" s="54">
        <f>F224*'Расчет субсидий'!G226</f>
        <v>0</v>
      </c>
      <c r="H224" s="50">
        <f t="shared" si="22"/>
        <v>0</v>
      </c>
      <c r="I224" s="49">
        <f t="shared" si="23"/>
        <v>-5.3524031265591212</v>
      </c>
    </row>
    <row r="225" spans="1:9" ht="15" customHeight="1">
      <c r="A225" s="31" t="s">
        <v>209</v>
      </c>
      <c r="B225" s="47">
        <f>'Расчет субсидий'!L227</f>
        <v>-43.927272727272737</v>
      </c>
      <c r="C225" s="54">
        <f>'Расчет субсидий'!D227-1</f>
        <v>-0.7571872571872571</v>
      </c>
      <c r="D225" s="54">
        <f>C225*'Расчет субсидий'!E227</f>
        <v>-11.357808857808857</v>
      </c>
      <c r="E225" s="50">
        <f t="shared" si="26"/>
        <v>-43.927272727272737</v>
      </c>
      <c r="F225" s="54">
        <f>'Расчет субсидий'!F227-1</f>
        <v>0</v>
      </c>
      <c r="G225" s="54">
        <f>F225*'Расчет субсидий'!G227</f>
        <v>0</v>
      </c>
      <c r="H225" s="50">
        <f t="shared" si="22"/>
        <v>0</v>
      </c>
      <c r="I225" s="49">
        <f t="shared" si="23"/>
        <v>-11.357808857808857</v>
      </c>
    </row>
    <row r="226" spans="1:9" ht="15" customHeight="1">
      <c r="A226" s="31" t="s">
        <v>210</v>
      </c>
      <c r="B226" s="47">
        <f>'Расчет субсидий'!L228</f>
        <v>-101.87272727272727</v>
      </c>
      <c r="C226" s="54">
        <f>'Расчет субсидий'!D228-1</f>
        <v>-0.76748201438848918</v>
      </c>
      <c r="D226" s="54">
        <f>C226*'Расчет субсидий'!E228</f>
        <v>-11.512230215827337</v>
      </c>
      <c r="E226" s="50">
        <f t="shared" si="26"/>
        <v>-101.87272727272727</v>
      </c>
      <c r="F226" s="54">
        <f>'Расчет субсидий'!F228-1</f>
        <v>0</v>
      </c>
      <c r="G226" s="54">
        <f>F226*'Расчет субсидий'!G228</f>
        <v>0</v>
      </c>
      <c r="H226" s="50">
        <f t="shared" si="22"/>
        <v>0</v>
      </c>
      <c r="I226" s="49">
        <f t="shared" si="23"/>
        <v>-11.512230215827337</v>
      </c>
    </row>
    <row r="227" spans="1:9" ht="15" customHeight="1">
      <c r="A227" s="31" t="s">
        <v>211</v>
      </c>
      <c r="B227" s="47">
        <f>'Расчет субсидий'!L229</f>
        <v>8.0818181818181785</v>
      </c>
      <c r="C227" s="54">
        <f>'Расчет субсидий'!D229-1</f>
        <v>0.30000000000000004</v>
      </c>
      <c r="D227" s="54">
        <f>C227*'Расчет субсидий'!E229</f>
        <v>4.5000000000000009</v>
      </c>
      <c r="E227" s="50">
        <f t="shared" si="26"/>
        <v>8.0818181818181785</v>
      </c>
      <c r="F227" s="54">
        <f>'Расчет субсидий'!F229-1</f>
        <v>0</v>
      </c>
      <c r="G227" s="54">
        <f>F227*'Расчет субсидий'!G229</f>
        <v>0</v>
      </c>
      <c r="H227" s="50">
        <f t="shared" si="22"/>
        <v>0</v>
      </c>
      <c r="I227" s="49">
        <f t="shared" si="23"/>
        <v>4.5000000000000009</v>
      </c>
    </row>
    <row r="228" spans="1:9" ht="15" customHeight="1">
      <c r="A228" s="31" t="s">
        <v>212</v>
      </c>
      <c r="B228" s="47">
        <f>'Расчет субсидий'!L230</f>
        <v>-39.75454545454545</v>
      </c>
      <c r="C228" s="54">
        <f>'Расчет субсидий'!D230-1</f>
        <v>-0.64716805942432687</v>
      </c>
      <c r="D228" s="54">
        <f>C228*'Расчет субсидий'!E230</f>
        <v>-9.7075208913649025</v>
      </c>
      <c r="E228" s="50">
        <f t="shared" si="26"/>
        <v>-39.75454545454545</v>
      </c>
      <c r="F228" s="54">
        <f>'Расчет субсидий'!F230-1</f>
        <v>0</v>
      </c>
      <c r="G228" s="54">
        <f>F228*'Расчет субсидий'!G230</f>
        <v>0</v>
      </c>
      <c r="H228" s="50">
        <f t="shared" si="22"/>
        <v>0</v>
      </c>
      <c r="I228" s="49">
        <f t="shared" si="23"/>
        <v>-9.7075208913649025</v>
      </c>
    </row>
    <row r="229" spans="1:9" ht="15" customHeight="1">
      <c r="A229" s="30" t="s">
        <v>213</v>
      </c>
      <c r="B229" s="51"/>
      <c r="C229" s="52"/>
      <c r="D229" s="52"/>
      <c r="E229" s="53"/>
      <c r="F229" s="53"/>
      <c r="G229" s="53"/>
      <c r="H229" s="53"/>
      <c r="I229" s="53"/>
    </row>
    <row r="230" spans="1:9" ht="15" customHeight="1">
      <c r="A230" s="31" t="s">
        <v>214</v>
      </c>
      <c r="B230" s="47">
        <f>'Расчет субсидий'!L232</f>
        <v>-37.927272727272722</v>
      </c>
      <c r="C230" s="54">
        <f>'Расчет субсидий'!D232-1</f>
        <v>-0.47595228934205458</v>
      </c>
      <c r="D230" s="54">
        <f>C230*'Расчет субсидий'!E232</f>
        <v>-7.1392843401308186</v>
      </c>
      <c r="E230" s="50">
        <f t="shared" ref="E230:E238" si="27">$B230*D230/$I230</f>
        <v>-37.927272727272722</v>
      </c>
      <c r="F230" s="54">
        <f>'Расчет субсидий'!F232-1</f>
        <v>0</v>
      </c>
      <c r="G230" s="54">
        <f>F230*'Расчет субсидий'!G232</f>
        <v>0</v>
      </c>
      <c r="H230" s="50">
        <f t="shared" si="22"/>
        <v>0</v>
      </c>
      <c r="I230" s="49">
        <f t="shared" si="23"/>
        <v>-7.1392843401308186</v>
      </c>
    </row>
    <row r="231" spans="1:9" ht="15" customHeight="1">
      <c r="A231" s="31" t="s">
        <v>143</v>
      </c>
      <c r="B231" s="47">
        <f>'Расчет субсидий'!L233</f>
        <v>-19.018181818181816</v>
      </c>
      <c r="C231" s="54">
        <f>'Расчет субсидий'!D233-1</f>
        <v>-0.32160110420979993</v>
      </c>
      <c r="D231" s="54">
        <f>C231*'Расчет субсидий'!E233</f>
        <v>-4.8240165631469987</v>
      </c>
      <c r="E231" s="50">
        <f t="shared" si="27"/>
        <v>-19.018181818181816</v>
      </c>
      <c r="F231" s="54">
        <f>'Расчет субсидий'!F233-1</f>
        <v>0</v>
      </c>
      <c r="G231" s="54">
        <f>F231*'Расчет субсидий'!G233</f>
        <v>0</v>
      </c>
      <c r="H231" s="50">
        <f t="shared" si="22"/>
        <v>0</v>
      </c>
      <c r="I231" s="49">
        <f t="shared" si="23"/>
        <v>-4.8240165631469987</v>
      </c>
    </row>
    <row r="232" spans="1:9" ht="15" customHeight="1">
      <c r="A232" s="31" t="s">
        <v>215</v>
      </c>
      <c r="B232" s="47">
        <f>'Расчет субсидий'!L234</f>
        <v>24.5</v>
      </c>
      <c r="C232" s="54">
        <f>'Расчет субсидий'!D234-1</f>
        <v>0.30000000000000004</v>
      </c>
      <c r="D232" s="54">
        <f>C232*'Расчет субсидий'!E234</f>
        <v>4.5000000000000009</v>
      </c>
      <c r="E232" s="50">
        <f t="shared" si="27"/>
        <v>24.5</v>
      </c>
      <c r="F232" s="54">
        <f>'Расчет субсидий'!F234-1</f>
        <v>0</v>
      </c>
      <c r="G232" s="54">
        <f>F232*'Расчет субсидий'!G234</f>
        <v>0</v>
      </c>
      <c r="H232" s="50">
        <f t="shared" si="22"/>
        <v>0</v>
      </c>
      <c r="I232" s="49">
        <f t="shared" si="23"/>
        <v>4.5000000000000009</v>
      </c>
    </row>
    <row r="233" spans="1:9" ht="15" customHeight="1">
      <c r="A233" s="31" t="s">
        <v>216</v>
      </c>
      <c r="B233" s="47">
        <f>'Расчет субсидий'!L235</f>
        <v>21.436363636363652</v>
      </c>
      <c r="C233" s="54">
        <f>'Расчет субсидий'!D235-1</f>
        <v>0.30000000000000004</v>
      </c>
      <c r="D233" s="54">
        <f>C233*'Расчет субсидий'!E235</f>
        <v>4.5000000000000009</v>
      </c>
      <c r="E233" s="50">
        <f t="shared" si="27"/>
        <v>21.436363636363652</v>
      </c>
      <c r="F233" s="54">
        <f>'Расчет субсидий'!F235-1</f>
        <v>0</v>
      </c>
      <c r="G233" s="54">
        <f>F233*'Расчет субсидий'!G235</f>
        <v>0</v>
      </c>
      <c r="H233" s="50">
        <f t="shared" si="22"/>
        <v>0</v>
      </c>
      <c r="I233" s="49">
        <f t="shared" si="23"/>
        <v>4.5000000000000009</v>
      </c>
    </row>
    <row r="234" spans="1:9" ht="15" customHeight="1">
      <c r="A234" s="31" t="s">
        <v>217</v>
      </c>
      <c r="B234" s="47">
        <f>'Расчет субсидий'!L236</f>
        <v>6.2363636363636346</v>
      </c>
      <c r="C234" s="54">
        <f>'Расчет субсидий'!D236-1</f>
        <v>0.19472913616398246</v>
      </c>
      <c r="D234" s="54">
        <f>C234*'Расчет субсидий'!E236</f>
        <v>2.920937042459737</v>
      </c>
      <c r="E234" s="50">
        <f t="shared" si="27"/>
        <v>6.2363636363636346</v>
      </c>
      <c r="F234" s="54">
        <f>'Расчет субсидий'!F236-1</f>
        <v>0</v>
      </c>
      <c r="G234" s="54">
        <f>F234*'Расчет субсидий'!G236</f>
        <v>0</v>
      </c>
      <c r="H234" s="50">
        <f t="shared" si="22"/>
        <v>0</v>
      </c>
      <c r="I234" s="49">
        <f t="shared" si="23"/>
        <v>2.920937042459737</v>
      </c>
    </row>
    <row r="235" spans="1:9" ht="15" customHeight="1">
      <c r="A235" s="31" t="s">
        <v>218</v>
      </c>
      <c r="B235" s="47">
        <f>'Расчет субсидий'!L237</f>
        <v>-5.9909090909090921</v>
      </c>
      <c r="C235" s="54">
        <f>'Расчет субсидий'!D237-1</f>
        <v>-0.21272310003797446</v>
      </c>
      <c r="D235" s="54">
        <f>C235*'Расчет субсидий'!E237</f>
        <v>-3.1908465005696169</v>
      </c>
      <c r="E235" s="50">
        <f t="shared" si="27"/>
        <v>-5.9909090909090921</v>
      </c>
      <c r="F235" s="54">
        <f>'Расчет субсидий'!F237-1</f>
        <v>0</v>
      </c>
      <c r="G235" s="54">
        <f>F235*'Расчет субсидий'!G237</f>
        <v>0</v>
      </c>
      <c r="H235" s="50">
        <f t="shared" si="22"/>
        <v>0</v>
      </c>
      <c r="I235" s="49">
        <f t="shared" si="23"/>
        <v>-3.1908465005696169</v>
      </c>
    </row>
    <row r="236" spans="1:9" ht="15" customHeight="1">
      <c r="A236" s="31" t="s">
        <v>219</v>
      </c>
      <c r="B236" s="47">
        <f>'Расчет субсидий'!L238</f>
        <v>-13.463636363636368</v>
      </c>
      <c r="C236" s="54">
        <f>'Расчет субсидий'!D238-1</f>
        <v>-0.11813471502590678</v>
      </c>
      <c r="D236" s="54">
        <f>C236*'Расчет субсидий'!E238</f>
        <v>-1.7720207253886016</v>
      </c>
      <c r="E236" s="50">
        <f t="shared" si="27"/>
        <v>-13.463636363636368</v>
      </c>
      <c r="F236" s="54">
        <f>'Расчет субсидий'!F238-1</f>
        <v>0</v>
      </c>
      <c r="G236" s="54">
        <f>F236*'Расчет субсидий'!G238</f>
        <v>0</v>
      </c>
      <c r="H236" s="50">
        <f t="shared" si="22"/>
        <v>0</v>
      </c>
      <c r="I236" s="49">
        <f t="shared" si="23"/>
        <v>-1.7720207253886016</v>
      </c>
    </row>
    <row r="237" spans="1:9" ht="15" customHeight="1">
      <c r="A237" s="31" t="s">
        <v>220</v>
      </c>
      <c r="B237" s="47">
        <f>'Расчет субсидий'!L239</f>
        <v>-2.5727272727272918</v>
      </c>
      <c r="C237" s="54">
        <f>'Расчет субсидий'!D239-1</f>
        <v>-3.1601499732190841E-2</v>
      </c>
      <c r="D237" s="54">
        <f>C237*'Расчет субсидий'!E239</f>
        <v>-0.47402249598286261</v>
      </c>
      <c r="E237" s="50">
        <f t="shared" si="27"/>
        <v>-2.5727272727272918</v>
      </c>
      <c r="F237" s="54">
        <f>'Расчет субсидий'!F239-1</f>
        <v>0</v>
      </c>
      <c r="G237" s="54">
        <f>F237*'Расчет субсидий'!G239</f>
        <v>0</v>
      </c>
      <c r="H237" s="50">
        <f t="shared" si="22"/>
        <v>0</v>
      </c>
      <c r="I237" s="49">
        <f t="shared" si="23"/>
        <v>-0.47402249598286261</v>
      </c>
    </row>
    <row r="238" spans="1:9" ht="15" customHeight="1">
      <c r="A238" s="31" t="s">
        <v>221</v>
      </c>
      <c r="B238" s="47">
        <f>'Расчет субсидий'!L240</f>
        <v>-13.809090909090912</v>
      </c>
      <c r="C238" s="54">
        <f>'Расчет субсидий'!D240-1</f>
        <v>-0.13131645292118821</v>
      </c>
      <c r="D238" s="54">
        <f>C238*'Расчет субсидий'!E240</f>
        <v>-1.9697467938178232</v>
      </c>
      <c r="E238" s="50">
        <f t="shared" si="27"/>
        <v>-13.809090909090912</v>
      </c>
      <c r="F238" s="54">
        <f>'Расчет субсидий'!F240-1</f>
        <v>0</v>
      </c>
      <c r="G238" s="54">
        <f>F238*'Расчет субсидий'!G240</f>
        <v>0</v>
      </c>
      <c r="H238" s="50">
        <f t="shared" si="22"/>
        <v>0</v>
      </c>
      <c r="I238" s="49">
        <f t="shared" si="23"/>
        <v>-1.9697467938178232</v>
      </c>
    </row>
    <row r="239" spans="1:9" ht="15" customHeight="1">
      <c r="A239" s="30" t="s">
        <v>222</v>
      </c>
      <c r="B239" s="51"/>
      <c r="C239" s="52"/>
      <c r="D239" s="52"/>
      <c r="E239" s="53"/>
      <c r="F239" s="53"/>
      <c r="G239" s="53"/>
      <c r="H239" s="53"/>
      <c r="I239" s="53"/>
    </row>
    <row r="240" spans="1:9" ht="15" customHeight="1">
      <c r="A240" s="31" t="s">
        <v>223</v>
      </c>
      <c r="B240" s="47">
        <f>'Расчет субсидий'!L242</f>
        <v>24.172727272727286</v>
      </c>
      <c r="C240" s="54">
        <f>'Расчет субсидий'!D242-1</f>
        <v>0.20185954500494563</v>
      </c>
      <c r="D240" s="54">
        <f>C240*'Расчет субсидий'!E242</f>
        <v>3.0278931750741842</v>
      </c>
      <c r="E240" s="50">
        <f t="shared" ref="E240:E247" si="28">$B240*D240/$I240</f>
        <v>24.172727272727286</v>
      </c>
      <c r="F240" s="54">
        <f>'Расчет субсидий'!F242-1</f>
        <v>0</v>
      </c>
      <c r="G240" s="54">
        <f>F240*'Расчет субсидий'!G242</f>
        <v>0</v>
      </c>
      <c r="H240" s="50">
        <f t="shared" si="22"/>
        <v>0</v>
      </c>
      <c r="I240" s="49">
        <f t="shared" si="23"/>
        <v>3.0278931750741842</v>
      </c>
    </row>
    <row r="241" spans="1:9" ht="15" customHeight="1">
      <c r="A241" s="31" t="s">
        <v>224</v>
      </c>
      <c r="B241" s="47">
        <f>'Расчет субсидий'!L243</f>
        <v>23.599999999999994</v>
      </c>
      <c r="C241" s="54">
        <f>'Расчет субсидий'!D243-1</f>
        <v>0.30000000000000004</v>
      </c>
      <c r="D241" s="54">
        <f>C241*'Расчет субсидий'!E243</f>
        <v>4.5000000000000009</v>
      </c>
      <c r="E241" s="50">
        <f t="shared" si="28"/>
        <v>23.599999999999994</v>
      </c>
      <c r="F241" s="54">
        <f>'Расчет субсидий'!F243-1</f>
        <v>0</v>
      </c>
      <c r="G241" s="54">
        <f>F241*'Расчет субсидий'!G243</f>
        <v>0</v>
      </c>
      <c r="H241" s="50">
        <f t="shared" si="22"/>
        <v>0</v>
      </c>
      <c r="I241" s="49">
        <f t="shared" si="23"/>
        <v>4.5000000000000009</v>
      </c>
    </row>
    <row r="242" spans="1:9" ht="15" customHeight="1">
      <c r="A242" s="31" t="s">
        <v>225</v>
      </c>
      <c r="B242" s="47">
        <f>'Расчет субсидий'!L244</f>
        <v>42.790909090909082</v>
      </c>
      <c r="C242" s="54">
        <f>'Расчет субсидий'!D244-1</f>
        <v>0.30000000000000004</v>
      </c>
      <c r="D242" s="54">
        <f>C242*'Расчет субсидий'!E244</f>
        <v>4.5000000000000009</v>
      </c>
      <c r="E242" s="50">
        <f t="shared" si="28"/>
        <v>42.790909090909082</v>
      </c>
      <c r="F242" s="54">
        <f>'Расчет субсидий'!F244-1</f>
        <v>0</v>
      </c>
      <c r="G242" s="54">
        <f>F242*'Расчет субсидий'!G244</f>
        <v>0</v>
      </c>
      <c r="H242" s="50">
        <f t="shared" si="22"/>
        <v>0</v>
      </c>
      <c r="I242" s="49">
        <f t="shared" si="23"/>
        <v>4.5000000000000009</v>
      </c>
    </row>
    <row r="243" spans="1:9" ht="15" customHeight="1">
      <c r="A243" s="31" t="s">
        <v>226</v>
      </c>
      <c r="B243" s="47">
        <f>'Расчет субсидий'!L245</f>
        <v>15.745454545454535</v>
      </c>
      <c r="C243" s="54">
        <f>'Расчет субсидий'!D245-1</f>
        <v>0.21116841770136885</v>
      </c>
      <c r="D243" s="54">
        <f>C243*'Расчет субсидий'!E245</f>
        <v>3.1675262655205327</v>
      </c>
      <c r="E243" s="50">
        <f t="shared" si="28"/>
        <v>15.745454545454535</v>
      </c>
      <c r="F243" s="54">
        <f>'Расчет субсидий'!F245-1</f>
        <v>0</v>
      </c>
      <c r="G243" s="54">
        <f>F243*'Расчет субсидий'!G245</f>
        <v>0</v>
      </c>
      <c r="H243" s="50">
        <f t="shared" si="22"/>
        <v>0</v>
      </c>
      <c r="I243" s="49">
        <f t="shared" si="23"/>
        <v>3.1675262655205327</v>
      </c>
    </row>
    <row r="244" spans="1:9" ht="15" customHeight="1">
      <c r="A244" s="31" t="s">
        <v>227</v>
      </c>
      <c r="B244" s="47">
        <f>'Расчет субсидий'!L246</f>
        <v>-48.227272727272734</v>
      </c>
      <c r="C244" s="54">
        <f>'Расчет субсидий'!D246-1</f>
        <v>-0.66051136363636376</v>
      </c>
      <c r="D244" s="54">
        <f>C244*'Расчет субсидий'!E246</f>
        <v>-9.9076704545454568</v>
      </c>
      <c r="E244" s="50">
        <f t="shared" si="28"/>
        <v>-48.227272727272734</v>
      </c>
      <c r="F244" s="54">
        <f>'Расчет субсидий'!F246-1</f>
        <v>0</v>
      </c>
      <c r="G244" s="54">
        <f>F244*'Расчет субсидий'!G246</f>
        <v>0</v>
      </c>
      <c r="H244" s="50">
        <f t="shared" si="22"/>
        <v>0</v>
      </c>
      <c r="I244" s="49">
        <f t="shared" si="23"/>
        <v>-9.9076704545454568</v>
      </c>
    </row>
    <row r="245" spans="1:9" ht="15" customHeight="1">
      <c r="A245" s="31" t="s">
        <v>228</v>
      </c>
      <c r="B245" s="47">
        <f>'Расчет субсидий'!L247</f>
        <v>-64.5</v>
      </c>
      <c r="C245" s="54">
        <f>'Расчет субсидий'!D247-1</f>
        <v>-0.48390871854885897</v>
      </c>
      <c r="D245" s="54">
        <f>C245*'Расчет субсидий'!E247</f>
        <v>-7.2586307782328845</v>
      </c>
      <c r="E245" s="50">
        <f t="shared" si="28"/>
        <v>-64.5</v>
      </c>
      <c r="F245" s="54">
        <f>'Расчет субсидий'!F247-1</f>
        <v>0</v>
      </c>
      <c r="G245" s="54">
        <f>F245*'Расчет субсидий'!G247</f>
        <v>0</v>
      </c>
      <c r="H245" s="50">
        <f t="shared" si="22"/>
        <v>0</v>
      </c>
      <c r="I245" s="49">
        <f t="shared" si="23"/>
        <v>-7.2586307782328845</v>
      </c>
    </row>
    <row r="246" spans="1:9" ht="15" customHeight="1">
      <c r="A246" s="31" t="s">
        <v>229</v>
      </c>
      <c r="B246" s="47">
        <f>'Расчет субсидий'!L248</f>
        <v>-24.318181818181813</v>
      </c>
      <c r="C246" s="54">
        <f>'Расчет субсидий'!D248-1</f>
        <v>-9.7292724196277547E-2</v>
      </c>
      <c r="D246" s="54">
        <f>C246*'Расчет субсидий'!E248</f>
        <v>-1.4593908629441632</v>
      </c>
      <c r="E246" s="50">
        <f t="shared" si="28"/>
        <v>-24.318181818181813</v>
      </c>
      <c r="F246" s="54">
        <f>'Расчет субсидий'!F248-1</f>
        <v>0</v>
      </c>
      <c r="G246" s="54">
        <f>F246*'Расчет субсидий'!G248</f>
        <v>0</v>
      </c>
      <c r="H246" s="50">
        <f t="shared" si="22"/>
        <v>0</v>
      </c>
      <c r="I246" s="49">
        <f t="shared" si="23"/>
        <v>-1.4593908629441632</v>
      </c>
    </row>
    <row r="247" spans="1:9" ht="15" customHeight="1">
      <c r="A247" s="31" t="s">
        <v>230</v>
      </c>
      <c r="B247" s="47">
        <f>'Расчет субсидий'!L249</f>
        <v>-1.0272727272727309</v>
      </c>
      <c r="C247" s="54">
        <f>'Расчет субсидий'!D249-1</f>
        <v>-2.6084530617938251E-2</v>
      </c>
      <c r="D247" s="54">
        <f>C247*'Расчет субсидий'!E249</f>
        <v>-0.39126795926907376</v>
      </c>
      <c r="E247" s="50">
        <f t="shared" si="28"/>
        <v>-1.0272727272727309</v>
      </c>
      <c r="F247" s="54">
        <f>'Расчет субсидий'!F249-1</f>
        <v>0</v>
      </c>
      <c r="G247" s="54">
        <f>F247*'Расчет субсидий'!G249</f>
        <v>0</v>
      </c>
      <c r="H247" s="50">
        <f t="shared" si="22"/>
        <v>0</v>
      </c>
      <c r="I247" s="49">
        <f t="shared" si="23"/>
        <v>-0.39126795926907376</v>
      </c>
    </row>
    <row r="248" spans="1:9" ht="15" customHeight="1">
      <c r="A248" s="30" t="s">
        <v>231</v>
      </c>
      <c r="B248" s="51"/>
      <c r="C248" s="52"/>
      <c r="D248" s="52"/>
      <c r="E248" s="53"/>
      <c r="F248" s="53"/>
      <c r="G248" s="53"/>
      <c r="H248" s="53"/>
      <c r="I248" s="53"/>
    </row>
    <row r="249" spans="1:9" ht="15" customHeight="1">
      <c r="A249" s="31" t="s">
        <v>232</v>
      </c>
      <c r="B249" s="47">
        <f>'Расчет субсидий'!L251</f>
        <v>9.4909090909090992</v>
      </c>
      <c r="C249" s="54">
        <f>'Расчет субсидий'!D251-1</f>
        <v>7.3609596510359809E-2</v>
      </c>
      <c r="D249" s="54">
        <f>C249*'Расчет субсидий'!E251</f>
        <v>1.1041439476553971</v>
      </c>
      <c r="E249" s="50">
        <f t="shared" ref="E249:E263" si="29">$B249*D249/$I249</f>
        <v>9.4909090909090992</v>
      </c>
      <c r="F249" s="54">
        <f>'Расчет субсидий'!F251-1</f>
        <v>0</v>
      </c>
      <c r="G249" s="54">
        <f>F249*'Расчет субсидий'!G251</f>
        <v>0</v>
      </c>
      <c r="H249" s="50">
        <f t="shared" ref="H249:H312" si="30">$B249*G249/$I249</f>
        <v>0</v>
      </c>
      <c r="I249" s="49">
        <f t="shared" ref="I249:I312" si="31">D249+G249</f>
        <v>1.1041439476553971</v>
      </c>
    </row>
    <row r="250" spans="1:9" ht="15" customHeight="1">
      <c r="A250" s="31" t="s">
        <v>233</v>
      </c>
      <c r="B250" s="47">
        <f>'Расчет субсидий'!L252</f>
        <v>28.990909090909071</v>
      </c>
      <c r="C250" s="54">
        <f>'Расчет субсидий'!D252-1</f>
        <v>0.20511463844797184</v>
      </c>
      <c r="D250" s="54">
        <f>C250*'Расчет субсидий'!E252</f>
        <v>3.0767195767195776</v>
      </c>
      <c r="E250" s="50">
        <f t="shared" si="29"/>
        <v>28.990909090909074</v>
      </c>
      <c r="F250" s="54">
        <f>'Расчет субсидий'!F252-1</f>
        <v>0</v>
      </c>
      <c r="G250" s="54">
        <f>F250*'Расчет субсидий'!G252</f>
        <v>0</v>
      </c>
      <c r="H250" s="50">
        <f t="shared" si="30"/>
        <v>0</v>
      </c>
      <c r="I250" s="49">
        <f t="shared" si="31"/>
        <v>3.0767195767195776</v>
      </c>
    </row>
    <row r="251" spans="1:9" ht="15" customHeight="1">
      <c r="A251" s="31" t="s">
        <v>234</v>
      </c>
      <c r="B251" s="47">
        <f>'Расчет субсидий'!L253</f>
        <v>32.581818181818193</v>
      </c>
      <c r="C251" s="54">
        <f>'Расчет субсидий'!D253-1</f>
        <v>0.30000000000000004</v>
      </c>
      <c r="D251" s="54">
        <f>C251*'Расчет субсидий'!E253</f>
        <v>4.5000000000000009</v>
      </c>
      <c r="E251" s="50">
        <f t="shared" si="29"/>
        <v>32.581818181818193</v>
      </c>
      <c r="F251" s="54">
        <f>'Расчет субсидий'!F253-1</f>
        <v>0</v>
      </c>
      <c r="G251" s="54">
        <f>F251*'Расчет субсидий'!G253</f>
        <v>0</v>
      </c>
      <c r="H251" s="50">
        <f t="shared" si="30"/>
        <v>0</v>
      </c>
      <c r="I251" s="49">
        <f t="shared" si="31"/>
        <v>4.5000000000000009</v>
      </c>
    </row>
    <row r="252" spans="1:9" ht="15" customHeight="1">
      <c r="A252" s="31" t="s">
        <v>235</v>
      </c>
      <c r="B252" s="47">
        <f>'Расчет субсидий'!L254</f>
        <v>14.27272727272728</v>
      </c>
      <c r="C252" s="54">
        <f>'Расчет субсидий'!D254-1</f>
        <v>0.10144927536231885</v>
      </c>
      <c r="D252" s="54">
        <f>C252*'Расчет субсидий'!E254</f>
        <v>1.5217391304347827</v>
      </c>
      <c r="E252" s="50">
        <f t="shared" si="29"/>
        <v>14.27272727272728</v>
      </c>
      <c r="F252" s="54">
        <f>'Расчет субсидий'!F254-1</f>
        <v>0</v>
      </c>
      <c r="G252" s="54">
        <f>F252*'Расчет субсидий'!G254</f>
        <v>0</v>
      </c>
      <c r="H252" s="50">
        <f t="shared" si="30"/>
        <v>0</v>
      </c>
      <c r="I252" s="49">
        <f t="shared" si="31"/>
        <v>1.5217391304347827</v>
      </c>
    </row>
    <row r="253" spans="1:9" ht="15" customHeight="1">
      <c r="A253" s="31" t="s">
        <v>236</v>
      </c>
      <c r="B253" s="47">
        <f>'Расчет субсидий'!L255</f>
        <v>-56.045454545454533</v>
      </c>
      <c r="C253" s="54">
        <f>'Расчет субсидий'!D255-1</f>
        <v>-0.49532710280373837</v>
      </c>
      <c r="D253" s="54">
        <f>C253*'Расчет субсидий'!E255</f>
        <v>-7.4299065420560755</v>
      </c>
      <c r="E253" s="50">
        <f t="shared" si="29"/>
        <v>-56.045454545454533</v>
      </c>
      <c r="F253" s="54">
        <f>'Расчет субсидий'!F255-1</f>
        <v>0</v>
      </c>
      <c r="G253" s="54">
        <f>F253*'Расчет субсидий'!G255</f>
        <v>0</v>
      </c>
      <c r="H253" s="50">
        <f t="shared" si="30"/>
        <v>0</v>
      </c>
      <c r="I253" s="49">
        <f t="shared" si="31"/>
        <v>-7.4299065420560755</v>
      </c>
    </row>
    <row r="254" spans="1:9" ht="15" customHeight="1">
      <c r="A254" s="31" t="s">
        <v>237</v>
      </c>
      <c r="B254" s="47">
        <f>'Расчет субсидий'!L256</f>
        <v>5.1727272727272862</v>
      </c>
      <c r="C254" s="54">
        <f>'Расчет субсидий'!D256-1</f>
        <v>3.8398244651673075E-2</v>
      </c>
      <c r="D254" s="54">
        <f>C254*'Расчет субсидий'!E256</f>
        <v>0.57597366977509612</v>
      </c>
      <c r="E254" s="50">
        <f t="shared" si="29"/>
        <v>5.1727272727272862</v>
      </c>
      <c r="F254" s="54">
        <f>'Расчет субсидий'!F256-1</f>
        <v>0</v>
      </c>
      <c r="G254" s="54">
        <f>F254*'Расчет субсидий'!G256</f>
        <v>0</v>
      </c>
      <c r="H254" s="50">
        <f t="shared" si="30"/>
        <v>0</v>
      </c>
      <c r="I254" s="49">
        <f t="shared" si="31"/>
        <v>0.57597366977509612</v>
      </c>
    </row>
    <row r="255" spans="1:9" ht="15" customHeight="1">
      <c r="A255" s="31" t="s">
        <v>238</v>
      </c>
      <c r="B255" s="47">
        <f>'Расчет субсидий'!L257</f>
        <v>30.527272727272731</v>
      </c>
      <c r="C255" s="54">
        <f>'Расчет субсидий'!D257-1</f>
        <v>0.21366197183098579</v>
      </c>
      <c r="D255" s="54">
        <f>C255*'Расчет субсидий'!E257</f>
        <v>3.204929577464787</v>
      </c>
      <c r="E255" s="50">
        <f t="shared" si="29"/>
        <v>30.527272727272731</v>
      </c>
      <c r="F255" s="54">
        <f>'Расчет субсидий'!F257-1</f>
        <v>0</v>
      </c>
      <c r="G255" s="54">
        <f>F255*'Расчет субсидий'!G257</f>
        <v>0</v>
      </c>
      <c r="H255" s="50">
        <f t="shared" si="30"/>
        <v>0</v>
      </c>
      <c r="I255" s="49">
        <f t="shared" si="31"/>
        <v>3.204929577464787</v>
      </c>
    </row>
    <row r="256" spans="1:9" ht="15" customHeight="1">
      <c r="A256" s="31" t="s">
        <v>239</v>
      </c>
      <c r="B256" s="47">
        <f>'Расчет субсидий'!L258</f>
        <v>-27.181818181818187</v>
      </c>
      <c r="C256" s="54">
        <f>'Расчет субсидий'!D258-1</f>
        <v>-0.25679228746713412</v>
      </c>
      <c r="D256" s="54">
        <f>C256*'Расчет субсидий'!E258</f>
        <v>-3.8518843120070119</v>
      </c>
      <c r="E256" s="50">
        <f t="shared" si="29"/>
        <v>-27.181818181818187</v>
      </c>
      <c r="F256" s="54">
        <f>'Расчет субсидий'!F258-1</f>
        <v>0</v>
      </c>
      <c r="G256" s="54">
        <f>F256*'Расчет субсидий'!G258</f>
        <v>0</v>
      </c>
      <c r="H256" s="50">
        <f t="shared" si="30"/>
        <v>0</v>
      </c>
      <c r="I256" s="49">
        <f t="shared" si="31"/>
        <v>-3.8518843120070119</v>
      </c>
    </row>
    <row r="257" spans="1:9" ht="15" customHeight="1">
      <c r="A257" s="31" t="s">
        <v>240</v>
      </c>
      <c r="B257" s="47">
        <f>'Расчет субсидий'!L259</f>
        <v>11.372727272727275</v>
      </c>
      <c r="C257" s="54">
        <f>'Расчет субсидий'!D259-1</f>
        <v>8.7022900763358724E-2</v>
      </c>
      <c r="D257" s="54">
        <f>C257*'Расчет субсидий'!E259</f>
        <v>1.3053435114503809</v>
      </c>
      <c r="E257" s="50">
        <f t="shared" si="29"/>
        <v>11.372727272727275</v>
      </c>
      <c r="F257" s="54">
        <f>'Расчет субсидий'!F259-1</f>
        <v>0</v>
      </c>
      <c r="G257" s="54">
        <f>F257*'Расчет субсидий'!G259</f>
        <v>0</v>
      </c>
      <c r="H257" s="50">
        <f t="shared" si="30"/>
        <v>0</v>
      </c>
      <c r="I257" s="49">
        <f t="shared" si="31"/>
        <v>1.3053435114503809</v>
      </c>
    </row>
    <row r="258" spans="1:9" ht="15" customHeight="1">
      <c r="A258" s="31" t="s">
        <v>241</v>
      </c>
      <c r="B258" s="47">
        <f>'Расчет субсидий'!L260</f>
        <v>32.890909090909105</v>
      </c>
      <c r="C258" s="54">
        <f>'Расчет субсидий'!D260-1</f>
        <v>0.25779273216689091</v>
      </c>
      <c r="D258" s="54">
        <f>C258*'Расчет субсидий'!E260</f>
        <v>3.8668909825033637</v>
      </c>
      <c r="E258" s="50">
        <f t="shared" si="29"/>
        <v>32.890909090909105</v>
      </c>
      <c r="F258" s="54">
        <f>'Расчет субсидий'!F260-1</f>
        <v>0</v>
      </c>
      <c r="G258" s="54">
        <f>F258*'Расчет субсидий'!G260</f>
        <v>0</v>
      </c>
      <c r="H258" s="50">
        <f t="shared" si="30"/>
        <v>0</v>
      </c>
      <c r="I258" s="49">
        <f t="shared" si="31"/>
        <v>3.8668909825033637</v>
      </c>
    </row>
    <row r="259" spans="1:9" ht="15" customHeight="1">
      <c r="A259" s="31" t="s">
        <v>242</v>
      </c>
      <c r="B259" s="47">
        <f>'Расчет субсидий'!L261</f>
        <v>-43.027272727272731</v>
      </c>
      <c r="C259" s="54">
        <f>'Расчет субсидий'!D261-1</f>
        <v>-0.40373358645783897</v>
      </c>
      <c r="D259" s="54">
        <f>C259*'Расчет субсидий'!E261</f>
        <v>-6.0560037968675848</v>
      </c>
      <c r="E259" s="50">
        <f t="shared" si="29"/>
        <v>-43.027272727272731</v>
      </c>
      <c r="F259" s="54">
        <f>'Расчет субсидий'!F261-1</f>
        <v>0</v>
      </c>
      <c r="G259" s="54">
        <f>F259*'Расчет субсидий'!G261</f>
        <v>0</v>
      </c>
      <c r="H259" s="50">
        <f t="shared" si="30"/>
        <v>0</v>
      </c>
      <c r="I259" s="49">
        <f t="shared" si="31"/>
        <v>-6.0560037968675848</v>
      </c>
    </row>
    <row r="260" spans="1:9" ht="15" customHeight="1">
      <c r="A260" s="31" t="s">
        <v>243</v>
      </c>
      <c r="B260" s="47">
        <f>'Расчет субсидий'!L262</f>
        <v>4.4818181818181984</v>
      </c>
      <c r="C260" s="54">
        <f>'Расчет субсидий'!D262-1</f>
        <v>2.5641025641025772E-2</v>
      </c>
      <c r="D260" s="54">
        <f>C260*'Расчет субсидий'!E262</f>
        <v>0.38461538461538658</v>
      </c>
      <c r="E260" s="50">
        <f t="shared" si="29"/>
        <v>4.4818181818181984</v>
      </c>
      <c r="F260" s="54">
        <f>'Расчет субсидий'!F262-1</f>
        <v>0</v>
      </c>
      <c r="G260" s="54">
        <f>F260*'Расчет субсидий'!G262</f>
        <v>0</v>
      </c>
      <c r="H260" s="50">
        <f t="shared" si="30"/>
        <v>0</v>
      </c>
      <c r="I260" s="49">
        <f t="shared" si="31"/>
        <v>0.38461538461538658</v>
      </c>
    </row>
    <row r="261" spans="1:9" ht="15" customHeight="1">
      <c r="A261" s="31" t="s">
        <v>244</v>
      </c>
      <c r="B261" s="47">
        <f>'Расчет субсидий'!L263</f>
        <v>38.672727272727258</v>
      </c>
      <c r="C261" s="54">
        <f>'Расчет субсидий'!D263-1</f>
        <v>0.26746666666666652</v>
      </c>
      <c r="D261" s="54">
        <f>C261*'Расчет субсидий'!E263</f>
        <v>4.0119999999999978</v>
      </c>
      <c r="E261" s="50">
        <f t="shared" si="29"/>
        <v>38.672727272727258</v>
      </c>
      <c r="F261" s="54">
        <f>'Расчет субсидий'!F263-1</f>
        <v>0</v>
      </c>
      <c r="G261" s="54">
        <f>F261*'Расчет субсидий'!G263</f>
        <v>0</v>
      </c>
      <c r="H261" s="50">
        <f t="shared" si="30"/>
        <v>0</v>
      </c>
      <c r="I261" s="49">
        <f t="shared" si="31"/>
        <v>4.0119999999999978</v>
      </c>
    </row>
    <row r="262" spans="1:9" ht="15" customHeight="1">
      <c r="A262" s="31" t="s">
        <v>245</v>
      </c>
      <c r="B262" s="47">
        <f>'Расчет субсидий'!L264</f>
        <v>7.8090909090909122</v>
      </c>
      <c r="C262" s="54">
        <f>'Расчет субсидий'!D264-1</f>
        <v>0.10766182298546889</v>
      </c>
      <c r="D262" s="54">
        <f>C262*'Расчет субсидий'!E264</f>
        <v>1.6149273447820334</v>
      </c>
      <c r="E262" s="50">
        <f t="shared" si="29"/>
        <v>7.8090909090909122</v>
      </c>
      <c r="F262" s="54">
        <f>'Расчет субсидий'!F264-1</f>
        <v>0</v>
      </c>
      <c r="G262" s="54">
        <f>F262*'Расчет субсидий'!G264</f>
        <v>0</v>
      </c>
      <c r="H262" s="50">
        <f t="shared" si="30"/>
        <v>0</v>
      </c>
      <c r="I262" s="49">
        <f t="shared" si="31"/>
        <v>1.6149273447820334</v>
      </c>
    </row>
    <row r="263" spans="1:9" ht="15" customHeight="1">
      <c r="A263" s="31" t="s">
        <v>246</v>
      </c>
      <c r="B263" s="47">
        <f>'Расчет субсидий'!L265</f>
        <v>26.136363636363626</v>
      </c>
      <c r="C263" s="54">
        <f>'Расчет субсидий'!D265-1</f>
        <v>0.20152103559870538</v>
      </c>
      <c r="D263" s="54">
        <f>C263*'Расчет субсидий'!E265</f>
        <v>3.0228155339805807</v>
      </c>
      <c r="E263" s="50">
        <f t="shared" si="29"/>
        <v>26.13636363636363</v>
      </c>
      <c r="F263" s="54">
        <f>'Расчет субсидий'!F265-1</f>
        <v>0</v>
      </c>
      <c r="G263" s="54">
        <f>F263*'Расчет субсидий'!G265</f>
        <v>0</v>
      </c>
      <c r="H263" s="50">
        <f t="shared" si="30"/>
        <v>0</v>
      </c>
      <c r="I263" s="49">
        <f t="shared" si="31"/>
        <v>3.0228155339805807</v>
      </c>
    </row>
    <row r="264" spans="1:9" ht="15" customHeight="1">
      <c r="A264" s="30" t="s">
        <v>247</v>
      </c>
      <c r="B264" s="51"/>
      <c r="C264" s="52"/>
      <c r="D264" s="52"/>
      <c r="E264" s="53"/>
      <c r="F264" s="53"/>
      <c r="G264" s="53"/>
      <c r="H264" s="53"/>
      <c r="I264" s="53"/>
    </row>
    <row r="265" spans="1:9" ht="15" customHeight="1">
      <c r="A265" s="31" t="s">
        <v>248</v>
      </c>
      <c r="B265" s="47">
        <f>'Расчет субсидий'!L267</f>
        <v>-7.9636363636363683</v>
      </c>
      <c r="C265" s="54">
        <f>'Расчет субсидий'!D267-1</f>
        <v>-6.9029850746268662E-2</v>
      </c>
      <c r="D265" s="54">
        <f>C265*'Расчет субсидий'!E267</f>
        <v>-1.03544776119403</v>
      </c>
      <c r="E265" s="50">
        <f t="shared" ref="E265:E271" si="32">$B265*D265/$I265</f>
        <v>-7.9636363636363683</v>
      </c>
      <c r="F265" s="54">
        <f>'Расчет субсидий'!F267-1</f>
        <v>0</v>
      </c>
      <c r="G265" s="54">
        <f>F265*'Расчет субсидий'!G267</f>
        <v>0</v>
      </c>
      <c r="H265" s="50">
        <f t="shared" si="30"/>
        <v>0</v>
      </c>
      <c r="I265" s="49">
        <f t="shared" si="31"/>
        <v>-1.03544776119403</v>
      </c>
    </row>
    <row r="266" spans="1:9" ht="15" customHeight="1">
      <c r="A266" s="31" t="s">
        <v>249</v>
      </c>
      <c r="B266" s="47">
        <f>'Расчет субсидий'!L268</f>
        <v>-25.590909090909093</v>
      </c>
      <c r="C266" s="54">
        <f>'Расчет субсидий'!D268-1</f>
        <v>-0.39867457272410178</v>
      </c>
      <c r="D266" s="54">
        <f>C266*'Расчет субсидий'!E268</f>
        <v>-5.9801185908615269</v>
      </c>
      <c r="E266" s="50">
        <f t="shared" si="32"/>
        <v>-25.590909090909093</v>
      </c>
      <c r="F266" s="54">
        <f>'Расчет субсидий'!F268-1</f>
        <v>0</v>
      </c>
      <c r="G266" s="54">
        <f>F266*'Расчет субсидий'!G268</f>
        <v>0</v>
      </c>
      <c r="H266" s="50">
        <f t="shared" si="30"/>
        <v>0</v>
      </c>
      <c r="I266" s="49">
        <f t="shared" si="31"/>
        <v>-5.9801185908615269</v>
      </c>
    </row>
    <row r="267" spans="1:9" ht="15" customHeight="1">
      <c r="A267" s="31" t="s">
        <v>250</v>
      </c>
      <c r="B267" s="47">
        <f>'Расчет субсидий'!L269</f>
        <v>35.418181818181836</v>
      </c>
      <c r="C267" s="54">
        <f>'Расчет субсидий'!D269-1</f>
        <v>0.20674516400336418</v>
      </c>
      <c r="D267" s="54">
        <f>C267*'Расчет субсидий'!E269</f>
        <v>3.1011774600504625</v>
      </c>
      <c r="E267" s="50">
        <f t="shared" si="32"/>
        <v>35.418181818181836</v>
      </c>
      <c r="F267" s="54">
        <f>'Расчет субсидий'!F269-1</f>
        <v>0</v>
      </c>
      <c r="G267" s="54">
        <f>F267*'Расчет субсидий'!G269</f>
        <v>0</v>
      </c>
      <c r="H267" s="50">
        <f t="shared" si="30"/>
        <v>0</v>
      </c>
      <c r="I267" s="49">
        <f t="shared" si="31"/>
        <v>3.1011774600504625</v>
      </c>
    </row>
    <row r="268" spans="1:9" ht="15" customHeight="1">
      <c r="A268" s="31" t="s">
        <v>251</v>
      </c>
      <c r="B268" s="47">
        <f>'Расчет субсидий'!L270</f>
        <v>-25.627272727272739</v>
      </c>
      <c r="C268" s="54">
        <f>'Расчет субсидий'!D270-1</f>
        <v>-0.34016375304270852</v>
      </c>
      <c r="D268" s="54">
        <f>C268*'Расчет субсидий'!E270</f>
        <v>-5.1024562956406276</v>
      </c>
      <c r="E268" s="50">
        <f t="shared" si="32"/>
        <v>-25.627272727272739</v>
      </c>
      <c r="F268" s="54">
        <f>'Расчет субсидий'!F270-1</f>
        <v>0</v>
      </c>
      <c r="G268" s="54">
        <f>F268*'Расчет субсидий'!G270</f>
        <v>0</v>
      </c>
      <c r="H268" s="50">
        <f t="shared" si="30"/>
        <v>0</v>
      </c>
      <c r="I268" s="49">
        <f t="shared" si="31"/>
        <v>-5.1024562956406276</v>
      </c>
    </row>
    <row r="269" spans="1:9" ht="15" customHeight="1">
      <c r="A269" s="31" t="s">
        <v>252</v>
      </c>
      <c r="B269" s="47">
        <f>'Расчет субсидий'!L271</f>
        <v>-33.509090909090958</v>
      </c>
      <c r="C269" s="54">
        <f>'Расчет субсидий'!D271-1</f>
        <v>-0.18442321822189567</v>
      </c>
      <c r="D269" s="54">
        <f>C269*'Расчет субсидий'!E271</f>
        <v>-2.7663482733284352</v>
      </c>
      <c r="E269" s="50">
        <f t="shared" si="32"/>
        <v>-33.509090909090958</v>
      </c>
      <c r="F269" s="54">
        <f>'Расчет субсидий'!F271-1</f>
        <v>0</v>
      </c>
      <c r="G269" s="54">
        <f>F269*'Расчет субсидий'!G271</f>
        <v>0</v>
      </c>
      <c r="H269" s="50">
        <f t="shared" si="30"/>
        <v>0</v>
      </c>
      <c r="I269" s="49">
        <f t="shared" si="31"/>
        <v>-2.7663482733284352</v>
      </c>
    </row>
    <row r="270" spans="1:9" ht="15" customHeight="1">
      <c r="A270" s="31" t="s">
        <v>253</v>
      </c>
      <c r="B270" s="47">
        <f>'Расчет субсидий'!L272</f>
        <v>-8.181818181818187</v>
      </c>
      <c r="C270" s="54">
        <f>'Расчет субсидий'!D272-1</f>
        <v>-0.11654117757096771</v>
      </c>
      <c r="D270" s="54">
        <f>C270*'Расчет субсидий'!E272</f>
        <v>-1.7481176635645157</v>
      </c>
      <c r="E270" s="50">
        <f t="shared" si="32"/>
        <v>-8.181818181818187</v>
      </c>
      <c r="F270" s="54">
        <f>'Расчет субсидий'!F272-1</f>
        <v>0</v>
      </c>
      <c r="G270" s="54">
        <f>F270*'Расчет субсидий'!G272</f>
        <v>0</v>
      </c>
      <c r="H270" s="50">
        <f t="shared" si="30"/>
        <v>0</v>
      </c>
      <c r="I270" s="49">
        <f t="shared" si="31"/>
        <v>-1.7481176635645157</v>
      </c>
    </row>
    <row r="271" spans="1:9" ht="15" customHeight="1">
      <c r="A271" s="31" t="s">
        <v>254</v>
      </c>
      <c r="B271" s="47">
        <f>'Расчет субсидий'!L273</f>
        <v>0.25454545454545574</v>
      </c>
      <c r="C271" s="54">
        <f>'Расчет субсидий'!D273-1</f>
        <v>3.0342295648418061E-2</v>
      </c>
      <c r="D271" s="54">
        <f>C271*'Расчет субсидий'!E273</f>
        <v>0.45513443472627091</v>
      </c>
      <c r="E271" s="50">
        <f t="shared" si="32"/>
        <v>0.25454545454545574</v>
      </c>
      <c r="F271" s="54">
        <f>'Расчет субсидий'!F273-1</f>
        <v>0</v>
      </c>
      <c r="G271" s="54">
        <f>F271*'Расчет субсидий'!G273</f>
        <v>0</v>
      </c>
      <c r="H271" s="50">
        <f t="shared" si="30"/>
        <v>0</v>
      </c>
      <c r="I271" s="49">
        <f t="shared" si="31"/>
        <v>0.45513443472627091</v>
      </c>
    </row>
    <row r="272" spans="1:9" ht="15" customHeight="1">
      <c r="A272" s="30" t="s">
        <v>255</v>
      </c>
      <c r="B272" s="51"/>
      <c r="C272" s="52"/>
      <c r="D272" s="52"/>
      <c r="E272" s="53"/>
      <c r="F272" s="53"/>
      <c r="G272" s="53"/>
      <c r="H272" s="53"/>
      <c r="I272" s="53"/>
    </row>
    <row r="273" spans="1:9" ht="15" customHeight="1">
      <c r="A273" s="31" t="s">
        <v>256</v>
      </c>
      <c r="B273" s="47">
        <f>'Расчет субсидий'!L275</f>
        <v>-18.545454545454547</v>
      </c>
      <c r="C273" s="54">
        <f>'Расчет субсидий'!D275-1</f>
        <v>-0.8005071851225698</v>
      </c>
      <c r="D273" s="54">
        <f>C273*'Расчет субсидий'!E275</f>
        <v>-12.007607776838547</v>
      </c>
      <c r="E273" s="50">
        <f t="shared" ref="E273:E289" si="33">$B273*D273/$I273</f>
        <v>-18.545454545454547</v>
      </c>
      <c r="F273" s="54">
        <f>'Расчет субсидий'!F275-1</f>
        <v>0</v>
      </c>
      <c r="G273" s="54">
        <f>F273*'Расчет субсидий'!G275</f>
        <v>0</v>
      </c>
      <c r="H273" s="50">
        <f t="shared" si="30"/>
        <v>0</v>
      </c>
      <c r="I273" s="49">
        <f t="shared" si="31"/>
        <v>-12.007607776838547</v>
      </c>
    </row>
    <row r="274" spans="1:9" ht="15" customHeight="1">
      <c r="A274" s="31" t="s">
        <v>257</v>
      </c>
      <c r="B274" s="47">
        <f>'Расчет субсидий'!L276</f>
        <v>-9.5909090909090935</v>
      </c>
      <c r="C274" s="54">
        <f>'Расчет субсидий'!D276-1</f>
        <v>-0.26227069905800682</v>
      </c>
      <c r="D274" s="54">
        <f>C274*'Расчет субсидий'!E276</f>
        <v>-3.934060485870102</v>
      </c>
      <c r="E274" s="50">
        <f t="shared" si="33"/>
        <v>-9.5909090909090935</v>
      </c>
      <c r="F274" s="54">
        <f>'Расчет субсидий'!F276-1</f>
        <v>0</v>
      </c>
      <c r="G274" s="54">
        <f>F274*'Расчет субсидий'!G276</f>
        <v>0</v>
      </c>
      <c r="H274" s="50">
        <f t="shared" si="30"/>
        <v>0</v>
      </c>
      <c r="I274" s="49">
        <f t="shared" si="31"/>
        <v>-3.934060485870102</v>
      </c>
    </row>
    <row r="275" spans="1:9" ht="15" customHeight="1">
      <c r="A275" s="31" t="s">
        <v>258</v>
      </c>
      <c r="B275" s="47">
        <f>'Расчет субсидий'!L277</f>
        <v>-11.24545454545455</v>
      </c>
      <c r="C275" s="54">
        <f>'Расчет субсидий'!D277-1</f>
        <v>-0.23233636757693976</v>
      </c>
      <c r="D275" s="54">
        <f>C275*'Расчет субсидий'!E277</f>
        <v>-3.4850455136540965</v>
      </c>
      <c r="E275" s="50">
        <f t="shared" si="33"/>
        <v>-11.24545454545455</v>
      </c>
      <c r="F275" s="54">
        <f>'Расчет субсидий'!F277-1</f>
        <v>0</v>
      </c>
      <c r="G275" s="54">
        <f>F275*'Расчет субсидий'!G277</f>
        <v>0</v>
      </c>
      <c r="H275" s="50">
        <f t="shared" si="30"/>
        <v>0</v>
      </c>
      <c r="I275" s="49">
        <f t="shared" si="31"/>
        <v>-3.4850455136540965</v>
      </c>
    </row>
    <row r="276" spans="1:9" ht="15" customHeight="1">
      <c r="A276" s="31" t="s">
        <v>259</v>
      </c>
      <c r="B276" s="47">
        <f>'Расчет субсидий'!L278</f>
        <v>-11.872727272727275</v>
      </c>
      <c r="C276" s="54">
        <f>'Расчет субсидий'!D278-1</f>
        <v>-0.13718244803695145</v>
      </c>
      <c r="D276" s="54">
        <f>C276*'Расчет субсидий'!E278</f>
        <v>-2.0577367205542716</v>
      </c>
      <c r="E276" s="50">
        <f t="shared" si="33"/>
        <v>-11.872727272727275</v>
      </c>
      <c r="F276" s="54">
        <f>'Расчет субсидий'!F278-1</f>
        <v>0</v>
      </c>
      <c r="G276" s="54">
        <f>F276*'Расчет субсидий'!G278</f>
        <v>0</v>
      </c>
      <c r="H276" s="50">
        <f t="shared" si="30"/>
        <v>0</v>
      </c>
      <c r="I276" s="49">
        <f t="shared" si="31"/>
        <v>-2.0577367205542716</v>
      </c>
    </row>
    <row r="277" spans="1:9" ht="15" customHeight="1">
      <c r="A277" s="31" t="s">
        <v>260</v>
      </c>
      <c r="B277" s="47">
        <f>'Расчет субсидий'!L279</f>
        <v>9.0090909090909079</v>
      </c>
      <c r="C277" s="54">
        <f>'Расчет субсидий'!D279-1</f>
        <v>0.30000000000000004</v>
      </c>
      <c r="D277" s="54">
        <f>C277*'Расчет субсидий'!E279</f>
        <v>4.5000000000000009</v>
      </c>
      <c r="E277" s="50">
        <f t="shared" si="33"/>
        <v>9.0090909090909079</v>
      </c>
      <c r="F277" s="54">
        <f>'Расчет субсидий'!F279-1</f>
        <v>0</v>
      </c>
      <c r="G277" s="54">
        <f>F277*'Расчет субсидий'!G279</f>
        <v>0</v>
      </c>
      <c r="H277" s="50">
        <f t="shared" si="30"/>
        <v>0</v>
      </c>
      <c r="I277" s="49">
        <f t="shared" si="31"/>
        <v>4.5000000000000009</v>
      </c>
    </row>
    <row r="278" spans="1:9" ht="15" customHeight="1">
      <c r="A278" s="31" t="s">
        <v>261</v>
      </c>
      <c r="B278" s="47">
        <f>'Расчет субсидий'!L280</f>
        <v>-19.736363636363635</v>
      </c>
      <c r="C278" s="54">
        <f>'Расчет субсидий'!D280-1</f>
        <v>-0.31441663729291502</v>
      </c>
      <c r="D278" s="54">
        <f>C278*'Расчет субсидий'!E280</f>
        <v>-4.7162495593937255</v>
      </c>
      <c r="E278" s="50">
        <f t="shared" si="33"/>
        <v>-19.736363636363635</v>
      </c>
      <c r="F278" s="54">
        <f>'Расчет субсидий'!F280-1</f>
        <v>0</v>
      </c>
      <c r="G278" s="54">
        <f>F278*'Расчет субсидий'!G280</f>
        <v>0</v>
      </c>
      <c r="H278" s="50">
        <f t="shared" si="30"/>
        <v>0</v>
      </c>
      <c r="I278" s="49">
        <f t="shared" si="31"/>
        <v>-4.7162495593937255</v>
      </c>
    </row>
    <row r="279" spans="1:9" ht="15" customHeight="1">
      <c r="A279" s="31" t="s">
        <v>262</v>
      </c>
      <c r="B279" s="47">
        <f>'Расчет субсидий'!L281</f>
        <v>8.2272727272727337</v>
      </c>
      <c r="C279" s="54">
        <f>'Расчет субсидий'!D281-1</f>
        <v>0.15573770491803285</v>
      </c>
      <c r="D279" s="54">
        <f>C279*'Расчет субсидий'!E281</f>
        <v>2.336065573770493</v>
      </c>
      <c r="E279" s="50">
        <f t="shared" si="33"/>
        <v>8.2272727272727337</v>
      </c>
      <c r="F279" s="54">
        <f>'Расчет субсидий'!F281-1</f>
        <v>0</v>
      </c>
      <c r="G279" s="54">
        <f>F279*'Расчет субсидий'!G281</f>
        <v>0</v>
      </c>
      <c r="H279" s="50">
        <f t="shared" si="30"/>
        <v>0</v>
      </c>
      <c r="I279" s="49">
        <f t="shared" si="31"/>
        <v>2.336065573770493</v>
      </c>
    </row>
    <row r="280" spans="1:9" ht="15" customHeight="1">
      <c r="A280" s="31" t="s">
        <v>263</v>
      </c>
      <c r="B280" s="47">
        <f>'Расчет субсидий'!L282</f>
        <v>20.972727272727255</v>
      </c>
      <c r="C280" s="54">
        <f>'Расчет субсидий'!D282-1</f>
        <v>0.28455407969639457</v>
      </c>
      <c r="D280" s="54">
        <f>C280*'Расчет субсидий'!E282</f>
        <v>4.2683111954459187</v>
      </c>
      <c r="E280" s="50">
        <f t="shared" si="33"/>
        <v>20.972727272727255</v>
      </c>
      <c r="F280" s="54">
        <f>'Расчет субсидий'!F282-1</f>
        <v>0</v>
      </c>
      <c r="G280" s="54">
        <f>F280*'Расчет субсидий'!G282</f>
        <v>0</v>
      </c>
      <c r="H280" s="50">
        <f t="shared" si="30"/>
        <v>0</v>
      </c>
      <c r="I280" s="49">
        <f t="shared" si="31"/>
        <v>4.2683111954459187</v>
      </c>
    </row>
    <row r="281" spans="1:9" ht="15" customHeight="1">
      <c r="A281" s="31" t="s">
        <v>264</v>
      </c>
      <c r="B281" s="47">
        <f>'Расчет субсидий'!L283</f>
        <v>-11.036363636363646</v>
      </c>
      <c r="C281" s="54">
        <f>'Расчет субсидий'!D283-1</f>
        <v>-0.18627450980392157</v>
      </c>
      <c r="D281" s="54">
        <f>C281*'Расчет субсидий'!E283</f>
        <v>-2.7941176470588234</v>
      </c>
      <c r="E281" s="50">
        <f t="shared" si="33"/>
        <v>-11.036363636363646</v>
      </c>
      <c r="F281" s="54">
        <f>'Расчет субсидий'!F283-1</f>
        <v>0</v>
      </c>
      <c r="G281" s="54">
        <f>F281*'Расчет субсидий'!G283</f>
        <v>0</v>
      </c>
      <c r="H281" s="50">
        <f t="shared" si="30"/>
        <v>0</v>
      </c>
      <c r="I281" s="49">
        <f t="shared" si="31"/>
        <v>-2.7941176470588234</v>
      </c>
    </row>
    <row r="282" spans="1:9" ht="15" customHeight="1">
      <c r="A282" s="31" t="s">
        <v>265</v>
      </c>
      <c r="B282" s="47">
        <f>'Расчет субсидий'!L284</f>
        <v>4.0181818181818159</v>
      </c>
      <c r="C282" s="54">
        <f>'Расчет субсидий'!D284-1</f>
        <v>7.2640278381905121E-2</v>
      </c>
      <c r="D282" s="54">
        <f>C282*'Расчет субсидий'!E284</f>
        <v>1.0896041757285768</v>
      </c>
      <c r="E282" s="50">
        <f t="shared" si="33"/>
        <v>4.0181818181818159</v>
      </c>
      <c r="F282" s="54">
        <f>'Расчет субсидий'!F284-1</f>
        <v>0</v>
      </c>
      <c r="G282" s="54">
        <f>F282*'Расчет субсидий'!G284</f>
        <v>0</v>
      </c>
      <c r="H282" s="50">
        <f t="shared" si="30"/>
        <v>0</v>
      </c>
      <c r="I282" s="49">
        <f t="shared" si="31"/>
        <v>1.0896041757285768</v>
      </c>
    </row>
    <row r="283" spans="1:9" ht="15" customHeight="1">
      <c r="A283" s="31" t="s">
        <v>266</v>
      </c>
      <c r="B283" s="47">
        <f>'Расчет субсидий'!L285</f>
        <v>-16.409090909090907</v>
      </c>
      <c r="C283" s="54">
        <f>'Расчет субсидий'!D285-1</f>
        <v>-0.27414852037967619</v>
      </c>
      <c r="D283" s="54">
        <f>C283*'Расчет субсидий'!E285</f>
        <v>-4.1122278056951425</v>
      </c>
      <c r="E283" s="50">
        <f t="shared" si="33"/>
        <v>-16.409090909090907</v>
      </c>
      <c r="F283" s="54">
        <f>'Расчет субсидий'!F285-1</f>
        <v>0</v>
      </c>
      <c r="G283" s="54">
        <f>F283*'Расчет субсидий'!G285</f>
        <v>0</v>
      </c>
      <c r="H283" s="50">
        <f t="shared" si="30"/>
        <v>0</v>
      </c>
      <c r="I283" s="49">
        <f t="shared" si="31"/>
        <v>-4.1122278056951425</v>
      </c>
    </row>
    <row r="284" spans="1:9" ht="15" customHeight="1">
      <c r="A284" s="31" t="s">
        <v>267</v>
      </c>
      <c r="B284" s="47">
        <f>'Расчет субсидий'!L286</f>
        <v>-37.409090909090907</v>
      </c>
      <c r="C284" s="54">
        <f>'Расчет субсидий'!D286-1</f>
        <v>-0.67088235294117649</v>
      </c>
      <c r="D284" s="54">
        <f>C284*'Расчет субсидий'!E286</f>
        <v>-10.063235294117646</v>
      </c>
      <c r="E284" s="50">
        <f t="shared" si="33"/>
        <v>-37.409090909090907</v>
      </c>
      <c r="F284" s="54">
        <f>'Расчет субсидий'!F286-1</f>
        <v>0</v>
      </c>
      <c r="G284" s="54">
        <f>F284*'Расчет субсидий'!G286</f>
        <v>0</v>
      </c>
      <c r="H284" s="50">
        <f t="shared" si="30"/>
        <v>0</v>
      </c>
      <c r="I284" s="49">
        <f t="shared" si="31"/>
        <v>-10.063235294117646</v>
      </c>
    </row>
    <row r="285" spans="1:9" ht="15" customHeight="1">
      <c r="A285" s="31" t="s">
        <v>268</v>
      </c>
      <c r="B285" s="47">
        <f>'Расчет субсидий'!L287</f>
        <v>-2.3636363636363633</v>
      </c>
      <c r="C285" s="54">
        <f>'Расчет субсидий'!D287-1</f>
        <v>-0.32135544635544633</v>
      </c>
      <c r="D285" s="54">
        <f>C285*'Расчет субсидий'!E287</f>
        <v>-4.8203316953316948</v>
      </c>
      <c r="E285" s="50">
        <f t="shared" si="33"/>
        <v>-2.3636363636363633</v>
      </c>
      <c r="F285" s="54">
        <f>'Расчет субсидий'!F287-1</f>
        <v>0</v>
      </c>
      <c r="G285" s="54">
        <f>F285*'Расчет субсидий'!G287</f>
        <v>0</v>
      </c>
      <c r="H285" s="50">
        <f t="shared" si="30"/>
        <v>0</v>
      </c>
      <c r="I285" s="49">
        <f t="shared" si="31"/>
        <v>-4.8203316953316948</v>
      </c>
    </row>
    <row r="286" spans="1:9" ht="15" customHeight="1">
      <c r="A286" s="31" t="s">
        <v>269</v>
      </c>
      <c r="B286" s="47">
        <f>'Расчет субсидий'!L288</f>
        <v>-37.872727272727275</v>
      </c>
      <c r="C286" s="54">
        <f>'Расчет субсидий'!D288-1</f>
        <v>-0.48429898275099503</v>
      </c>
      <c r="D286" s="54">
        <f>C286*'Расчет субсидий'!E288</f>
        <v>-7.2644847412649254</v>
      </c>
      <c r="E286" s="50">
        <f t="shared" si="33"/>
        <v>-37.872727272727275</v>
      </c>
      <c r="F286" s="54">
        <f>'Расчет субсидий'!F288-1</f>
        <v>0</v>
      </c>
      <c r="G286" s="54">
        <f>F286*'Расчет субсидий'!G288</f>
        <v>0</v>
      </c>
      <c r="H286" s="50">
        <f t="shared" si="30"/>
        <v>0</v>
      </c>
      <c r="I286" s="49">
        <f t="shared" si="31"/>
        <v>-7.2644847412649254</v>
      </c>
    </row>
    <row r="287" spans="1:9" ht="15" customHeight="1">
      <c r="A287" s="31" t="s">
        <v>270</v>
      </c>
      <c r="B287" s="47">
        <f>'Расчет субсидий'!L289</f>
        <v>9.3454545454545439</v>
      </c>
      <c r="C287" s="54">
        <f>'Расчет субсидий'!D289-1</f>
        <v>0.15339126237026313</v>
      </c>
      <c r="D287" s="54">
        <f>C287*'Расчет субсидий'!E289</f>
        <v>2.3008689355539467</v>
      </c>
      <c r="E287" s="50">
        <f t="shared" si="33"/>
        <v>9.3454545454545439</v>
      </c>
      <c r="F287" s="54">
        <f>'Расчет субсидий'!F289-1</f>
        <v>0</v>
      </c>
      <c r="G287" s="54">
        <f>F287*'Расчет субсидий'!G289</f>
        <v>0</v>
      </c>
      <c r="H287" s="50">
        <f t="shared" si="30"/>
        <v>0</v>
      </c>
      <c r="I287" s="49">
        <f t="shared" si="31"/>
        <v>2.3008689355539467</v>
      </c>
    </row>
    <row r="288" spans="1:9" ht="15" customHeight="1">
      <c r="A288" s="31" t="s">
        <v>271</v>
      </c>
      <c r="B288" s="47">
        <f>'Расчет субсидий'!L290</f>
        <v>0.44545454545454533</v>
      </c>
      <c r="C288" s="54">
        <f>'Расчет субсидий'!D290-1</f>
        <v>0.21026183704199419</v>
      </c>
      <c r="D288" s="54">
        <f>C288*'Расчет субсидий'!E290</f>
        <v>3.1539275556299131</v>
      </c>
      <c r="E288" s="50">
        <f t="shared" si="33"/>
        <v>0.44545454545454533</v>
      </c>
      <c r="F288" s="54">
        <f>'Расчет субсидий'!F290-1</f>
        <v>0</v>
      </c>
      <c r="G288" s="54">
        <f>F288*'Расчет субсидий'!G290</f>
        <v>0</v>
      </c>
      <c r="H288" s="50">
        <f t="shared" si="30"/>
        <v>0</v>
      </c>
      <c r="I288" s="49">
        <f t="shared" si="31"/>
        <v>3.1539275556299131</v>
      </c>
    </row>
    <row r="289" spans="1:9" ht="15" customHeight="1">
      <c r="A289" s="31" t="s">
        <v>164</v>
      </c>
      <c r="B289" s="47">
        <f>'Расчет субсидий'!L291</f>
        <v>-16.3</v>
      </c>
      <c r="C289" s="54">
        <f>'Расчет субсидий'!D291-1</f>
        <v>-0.57720057720057716</v>
      </c>
      <c r="D289" s="54">
        <f>C289*'Расчет субсидий'!E291</f>
        <v>-8.6580086580086579</v>
      </c>
      <c r="E289" s="50">
        <f t="shared" si="33"/>
        <v>-16.3</v>
      </c>
      <c r="F289" s="54">
        <f>'Расчет субсидий'!F291-1</f>
        <v>0</v>
      </c>
      <c r="G289" s="54">
        <f>F289*'Расчет субсидий'!G291</f>
        <v>0</v>
      </c>
      <c r="H289" s="50">
        <f t="shared" si="30"/>
        <v>0</v>
      </c>
      <c r="I289" s="49">
        <f t="shared" si="31"/>
        <v>-8.6580086580086579</v>
      </c>
    </row>
    <row r="290" spans="1:9" ht="15" customHeight="1">
      <c r="A290" s="30" t="s">
        <v>272</v>
      </c>
      <c r="B290" s="51"/>
      <c r="C290" s="52"/>
      <c r="D290" s="52"/>
      <c r="E290" s="53"/>
      <c r="F290" s="53"/>
      <c r="G290" s="53"/>
      <c r="H290" s="53"/>
      <c r="I290" s="53"/>
    </row>
    <row r="291" spans="1:9" ht="15" customHeight="1">
      <c r="A291" s="31" t="s">
        <v>68</v>
      </c>
      <c r="B291" s="47">
        <f>'Расчет субсидий'!L293</f>
        <v>-7.3090909090909122</v>
      </c>
      <c r="C291" s="54">
        <f>'Расчет субсидий'!D293-1</f>
        <v>-0.15803303303303295</v>
      </c>
      <c r="D291" s="54">
        <f>C291*'Расчет субсидий'!E293</f>
        <v>-2.3704954954954944</v>
      </c>
      <c r="E291" s="50">
        <f t="shared" ref="E291:E314" si="34">$B291*D291/$I291</f>
        <v>-7.3090909090909113</v>
      </c>
      <c r="F291" s="54">
        <f>'Расчет субсидий'!F293-1</f>
        <v>0</v>
      </c>
      <c r="G291" s="54">
        <f>F291*'Расчет субсидий'!G293</f>
        <v>0</v>
      </c>
      <c r="H291" s="50">
        <f t="shared" si="30"/>
        <v>0</v>
      </c>
      <c r="I291" s="49">
        <f t="shared" si="31"/>
        <v>-2.3704954954954944</v>
      </c>
    </row>
    <row r="292" spans="1:9" ht="15" customHeight="1">
      <c r="A292" s="31" t="s">
        <v>273</v>
      </c>
      <c r="B292" s="47">
        <f>'Расчет субсидий'!L294</f>
        <v>-2.1454545454545459</v>
      </c>
      <c r="C292" s="54">
        <f>'Расчет субсидий'!D294-1</f>
        <v>-0.65625</v>
      </c>
      <c r="D292" s="54">
        <f>C292*'Расчет субсидий'!E294</f>
        <v>-9.84375</v>
      </c>
      <c r="E292" s="50">
        <f t="shared" si="34"/>
        <v>-2.1454545454545459</v>
      </c>
      <c r="F292" s="54">
        <f>'Расчет субсидий'!F294-1</f>
        <v>0</v>
      </c>
      <c r="G292" s="54">
        <f>F292*'Расчет субсидий'!G294</f>
        <v>0</v>
      </c>
      <c r="H292" s="50">
        <f t="shared" si="30"/>
        <v>0</v>
      </c>
      <c r="I292" s="49">
        <f t="shared" si="31"/>
        <v>-9.84375</v>
      </c>
    </row>
    <row r="293" spans="1:9" ht="15" customHeight="1">
      <c r="A293" s="31" t="s">
        <v>274</v>
      </c>
      <c r="B293" s="47">
        <f>'Расчет субсидий'!L295</f>
        <v>2.290909090909091</v>
      </c>
      <c r="C293" s="54">
        <f>'Расчет субсидий'!D295-1</f>
        <v>0.30000000000000004</v>
      </c>
      <c r="D293" s="54">
        <f>C293*'Расчет субсидий'!E295</f>
        <v>4.5000000000000009</v>
      </c>
      <c r="E293" s="50">
        <f t="shared" si="34"/>
        <v>2.290909090909091</v>
      </c>
      <c r="F293" s="54">
        <f>'Расчет субсидий'!F295-1</f>
        <v>0</v>
      </c>
      <c r="G293" s="54">
        <f>F293*'Расчет субсидий'!G295</f>
        <v>0</v>
      </c>
      <c r="H293" s="50">
        <f t="shared" si="30"/>
        <v>0</v>
      </c>
      <c r="I293" s="49">
        <f t="shared" si="31"/>
        <v>4.5000000000000009</v>
      </c>
    </row>
    <row r="294" spans="1:9" ht="15" customHeight="1">
      <c r="A294" s="31" t="s">
        <v>50</v>
      </c>
      <c r="B294" s="47">
        <f>'Расчет субсидий'!L296</f>
        <v>-0.13636363636363669</v>
      </c>
      <c r="C294" s="54">
        <f>'Расчет субсидий'!D296-1</f>
        <v>-2.9261808875751361E-2</v>
      </c>
      <c r="D294" s="54">
        <f>C294*'Расчет субсидий'!E296</f>
        <v>-0.43892713313627041</v>
      </c>
      <c r="E294" s="50">
        <f t="shared" si="34"/>
        <v>-0.13636363636363669</v>
      </c>
      <c r="F294" s="54">
        <f>'Расчет субсидий'!F296-1</f>
        <v>0</v>
      </c>
      <c r="G294" s="54">
        <f>F294*'Расчет субсидий'!G296</f>
        <v>0</v>
      </c>
      <c r="H294" s="50">
        <f t="shared" si="30"/>
        <v>0</v>
      </c>
      <c r="I294" s="49">
        <f t="shared" si="31"/>
        <v>-0.43892713313627041</v>
      </c>
    </row>
    <row r="295" spans="1:9" ht="15" customHeight="1">
      <c r="A295" s="31" t="s">
        <v>275</v>
      </c>
      <c r="B295" s="47">
        <f>'Расчет субсидий'!L297</f>
        <v>-8.9909090909090921</v>
      </c>
      <c r="C295" s="54">
        <f>'Расчет субсидий'!D297-1</f>
        <v>-0.21354992076069734</v>
      </c>
      <c r="D295" s="54">
        <f>C295*'Расчет субсидий'!E297</f>
        <v>-3.20324881141046</v>
      </c>
      <c r="E295" s="50">
        <f t="shared" si="34"/>
        <v>-8.9909090909090921</v>
      </c>
      <c r="F295" s="54">
        <f>'Расчет субсидий'!F297-1</f>
        <v>0</v>
      </c>
      <c r="G295" s="54">
        <f>F295*'Расчет субсидий'!G297</f>
        <v>0</v>
      </c>
      <c r="H295" s="50">
        <f t="shared" si="30"/>
        <v>0</v>
      </c>
      <c r="I295" s="49">
        <f t="shared" si="31"/>
        <v>-3.20324881141046</v>
      </c>
    </row>
    <row r="296" spans="1:9" ht="15" customHeight="1">
      <c r="A296" s="31" t="s">
        <v>276</v>
      </c>
      <c r="B296" s="47">
        <f>'Расчет субсидий'!L298</f>
        <v>-32.88181818181819</v>
      </c>
      <c r="C296" s="54">
        <f>'Расчет субсидий'!D298-1</f>
        <v>-0.54164289788933262</v>
      </c>
      <c r="D296" s="54">
        <f>C296*'Расчет субсидий'!E298</f>
        <v>-8.1246434683399897</v>
      </c>
      <c r="E296" s="50">
        <f t="shared" si="34"/>
        <v>-32.88181818181819</v>
      </c>
      <c r="F296" s="54">
        <f>'Расчет субсидий'!F298-1</f>
        <v>0</v>
      </c>
      <c r="G296" s="54">
        <f>F296*'Расчет субсидий'!G298</f>
        <v>0</v>
      </c>
      <c r="H296" s="50">
        <f t="shared" si="30"/>
        <v>0</v>
      </c>
      <c r="I296" s="49">
        <f t="shared" si="31"/>
        <v>-8.1246434683399897</v>
      </c>
    </row>
    <row r="297" spans="1:9" ht="15" customHeight="1">
      <c r="A297" s="31" t="s">
        <v>277</v>
      </c>
      <c r="B297" s="47">
        <f>'Расчет субсидий'!L299</f>
        <v>-1.454545454545455</v>
      </c>
      <c r="C297" s="54">
        <f>'Расчет субсидий'!D299-1</f>
        <v>-0.23943441918600106</v>
      </c>
      <c r="D297" s="54">
        <f>C297*'Расчет субсидий'!E299</f>
        <v>-3.5915162877900157</v>
      </c>
      <c r="E297" s="50">
        <f t="shared" si="34"/>
        <v>-1.454545454545455</v>
      </c>
      <c r="F297" s="54">
        <f>'Расчет субсидий'!F299-1</f>
        <v>0</v>
      </c>
      <c r="G297" s="54">
        <f>F297*'Расчет субсидий'!G299</f>
        <v>0</v>
      </c>
      <c r="H297" s="50">
        <f t="shared" si="30"/>
        <v>0</v>
      </c>
      <c r="I297" s="49">
        <f t="shared" si="31"/>
        <v>-3.5915162877900157</v>
      </c>
    </row>
    <row r="298" spans="1:9" ht="15" customHeight="1">
      <c r="A298" s="31" t="s">
        <v>278</v>
      </c>
      <c r="B298" s="47">
        <f>'Расчет субсидий'!L300</f>
        <v>-14.218181818181819</v>
      </c>
      <c r="C298" s="54">
        <f>'Расчет субсидий'!D300-1</f>
        <v>-0.23508946322067592</v>
      </c>
      <c r="D298" s="54">
        <f>C298*'Расчет субсидий'!E300</f>
        <v>-3.5263419483101388</v>
      </c>
      <c r="E298" s="50">
        <f t="shared" si="34"/>
        <v>-14.218181818181819</v>
      </c>
      <c r="F298" s="54">
        <f>'Расчет субсидий'!F300-1</f>
        <v>0</v>
      </c>
      <c r="G298" s="54">
        <f>F298*'Расчет субсидий'!G300</f>
        <v>0</v>
      </c>
      <c r="H298" s="50">
        <f t="shared" si="30"/>
        <v>0</v>
      </c>
      <c r="I298" s="49">
        <f t="shared" si="31"/>
        <v>-3.5263419483101388</v>
      </c>
    </row>
    <row r="299" spans="1:9" ht="15" customHeight="1">
      <c r="A299" s="31" t="s">
        <v>279</v>
      </c>
      <c r="B299" s="47">
        <f>'Расчет субсидий'!L301</f>
        <v>-27</v>
      </c>
      <c r="C299" s="54">
        <f>'Расчет субсидий'!D301-1</f>
        <v>-0.95743818402918524</v>
      </c>
      <c r="D299" s="54">
        <f>C299*'Расчет субсидий'!E301</f>
        <v>-14.361572760437779</v>
      </c>
      <c r="E299" s="50">
        <f t="shared" si="34"/>
        <v>-27</v>
      </c>
      <c r="F299" s="54">
        <f>'Расчет субсидий'!F301-1</f>
        <v>0</v>
      </c>
      <c r="G299" s="54">
        <f>F299*'Расчет субсидий'!G301</f>
        <v>0</v>
      </c>
      <c r="H299" s="50">
        <f t="shared" si="30"/>
        <v>0</v>
      </c>
      <c r="I299" s="49">
        <f t="shared" si="31"/>
        <v>-14.361572760437779</v>
      </c>
    </row>
    <row r="300" spans="1:9" ht="15" customHeight="1">
      <c r="A300" s="31" t="s">
        <v>280</v>
      </c>
      <c r="B300" s="47">
        <f>'Расчет субсидий'!L302</f>
        <v>0.15454545454545432</v>
      </c>
      <c r="C300" s="54">
        <f>'Расчет субсидий'!D302-1</f>
        <v>2.4289531212047688E-2</v>
      </c>
      <c r="D300" s="54">
        <f>C300*'Расчет субсидий'!E302</f>
        <v>0.36434296818071532</v>
      </c>
      <c r="E300" s="50">
        <f t="shared" si="34"/>
        <v>0.15454545454545432</v>
      </c>
      <c r="F300" s="54">
        <f>'Расчет субсидий'!F302-1</f>
        <v>0</v>
      </c>
      <c r="G300" s="54">
        <f>F300*'Расчет субсидий'!G302</f>
        <v>0</v>
      </c>
      <c r="H300" s="50">
        <f t="shared" si="30"/>
        <v>0</v>
      </c>
      <c r="I300" s="49">
        <f t="shared" si="31"/>
        <v>0.36434296818071532</v>
      </c>
    </row>
    <row r="301" spans="1:9" ht="15" customHeight="1">
      <c r="A301" s="31" t="s">
        <v>281</v>
      </c>
      <c r="B301" s="47">
        <f>'Расчет субсидий'!L303</f>
        <v>13.63636363636364</v>
      </c>
      <c r="C301" s="54">
        <f>'Расчет субсидий'!D303-1</f>
        <v>0.22476248477466498</v>
      </c>
      <c r="D301" s="54">
        <f>C301*'Расчет субсидий'!E303</f>
        <v>3.3714372716199748</v>
      </c>
      <c r="E301" s="50">
        <f t="shared" si="34"/>
        <v>13.63636363636364</v>
      </c>
      <c r="F301" s="54">
        <f>'Расчет субсидий'!F303-1</f>
        <v>0</v>
      </c>
      <c r="G301" s="54">
        <f>F301*'Расчет субсидий'!G303</f>
        <v>0</v>
      </c>
      <c r="H301" s="50">
        <f t="shared" si="30"/>
        <v>0</v>
      </c>
      <c r="I301" s="49">
        <f t="shared" si="31"/>
        <v>3.3714372716199748</v>
      </c>
    </row>
    <row r="302" spans="1:9" ht="15" customHeight="1">
      <c r="A302" s="31" t="s">
        <v>282</v>
      </c>
      <c r="B302" s="47">
        <f>'Расчет субсидий'!L304</f>
        <v>-0.38181818181818183</v>
      </c>
      <c r="C302" s="54">
        <f>'Расчет субсидий'!D304-1</f>
        <v>-0.12892055670240399</v>
      </c>
      <c r="D302" s="54">
        <f>C302*'Расчет субсидий'!E304</f>
        <v>-1.9338083505360597</v>
      </c>
      <c r="E302" s="50">
        <f t="shared" si="34"/>
        <v>-0.38181818181818183</v>
      </c>
      <c r="F302" s="54">
        <f>'Расчет субсидий'!F304-1</f>
        <v>0</v>
      </c>
      <c r="G302" s="54">
        <f>F302*'Расчет субсидий'!G304</f>
        <v>0</v>
      </c>
      <c r="H302" s="50">
        <f t="shared" si="30"/>
        <v>0</v>
      </c>
      <c r="I302" s="49">
        <f t="shared" si="31"/>
        <v>-1.9338083505360597</v>
      </c>
    </row>
    <row r="303" spans="1:9" ht="15" customHeight="1">
      <c r="A303" s="31" t="s">
        <v>283</v>
      </c>
      <c r="B303" s="47">
        <f>'Расчет субсидий'!L305</f>
        <v>12.145454545454541</v>
      </c>
      <c r="C303" s="54">
        <f>'Расчет субсидий'!D305-1</f>
        <v>0.23612403100775192</v>
      </c>
      <c r="D303" s="54">
        <f>C303*'Расчет субсидий'!E305</f>
        <v>3.5418604651162786</v>
      </c>
      <c r="E303" s="50">
        <f t="shared" si="34"/>
        <v>12.145454545454541</v>
      </c>
      <c r="F303" s="54">
        <f>'Расчет субсидий'!F305-1</f>
        <v>0</v>
      </c>
      <c r="G303" s="54">
        <f>F303*'Расчет субсидий'!G305</f>
        <v>0</v>
      </c>
      <c r="H303" s="50">
        <f t="shared" si="30"/>
        <v>0</v>
      </c>
      <c r="I303" s="49">
        <f t="shared" si="31"/>
        <v>3.5418604651162786</v>
      </c>
    </row>
    <row r="304" spans="1:9" ht="15" customHeight="1">
      <c r="A304" s="31" t="s">
        <v>284</v>
      </c>
      <c r="B304" s="47">
        <f>'Расчет субсидий'!L306</f>
        <v>0.50909090909090882</v>
      </c>
      <c r="C304" s="54">
        <f>'Расчет субсидий'!D306-1</f>
        <v>0.21432137285491404</v>
      </c>
      <c r="D304" s="54">
        <f>C304*'Расчет субсидий'!E306</f>
        <v>3.2148205928237106</v>
      </c>
      <c r="E304" s="50">
        <f t="shared" si="34"/>
        <v>0.50909090909090882</v>
      </c>
      <c r="F304" s="54">
        <f>'Расчет субсидий'!F306-1</f>
        <v>0</v>
      </c>
      <c r="G304" s="54">
        <f>F304*'Расчет субсидий'!G306</f>
        <v>0</v>
      </c>
      <c r="H304" s="50">
        <f t="shared" si="30"/>
        <v>0</v>
      </c>
      <c r="I304" s="49">
        <f t="shared" si="31"/>
        <v>3.2148205928237106</v>
      </c>
    </row>
    <row r="305" spans="1:9" ht="15" customHeight="1">
      <c r="A305" s="31" t="s">
        <v>285</v>
      </c>
      <c r="B305" s="47">
        <f>'Расчет субсидий'!L307</f>
        <v>1.2272727272727266</v>
      </c>
      <c r="C305" s="54">
        <f>'Расчет субсидий'!D307-1</f>
        <v>0.15787760416666674</v>
      </c>
      <c r="D305" s="54">
        <f>C305*'Расчет субсидий'!E307</f>
        <v>2.3681640625000009</v>
      </c>
      <c r="E305" s="50">
        <f t="shared" si="34"/>
        <v>1.2272727272727266</v>
      </c>
      <c r="F305" s="54">
        <f>'Расчет субсидий'!F307-1</f>
        <v>0</v>
      </c>
      <c r="G305" s="54">
        <f>F305*'Расчет субсидий'!G307</f>
        <v>0</v>
      </c>
      <c r="H305" s="50">
        <f t="shared" si="30"/>
        <v>0</v>
      </c>
      <c r="I305" s="49">
        <f t="shared" si="31"/>
        <v>2.3681640625000009</v>
      </c>
    </row>
    <row r="306" spans="1:9" ht="15" customHeight="1">
      <c r="A306" s="31" t="s">
        <v>286</v>
      </c>
      <c r="B306" s="47">
        <f>'Расчет субсидий'!L308</f>
        <v>-0.54545454545454541</v>
      </c>
      <c r="C306" s="54">
        <f>'Расчет субсидий'!D308-1</f>
        <v>-0.25261841922489237</v>
      </c>
      <c r="D306" s="54">
        <f>C306*'Расчет субсидий'!E308</f>
        <v>-3.7892762883733857</v>
      </c>
      <c r="E306" s="50">
        <f t="shared" si="34"/>
        <v>-0.54545454545454541</v>
      </c>
      <c r="F306" s="54">
        <f>'Расчет субсидий'!F308-1</f>
        <v>0</v>
      </c>
      <c r="G306" s="54">
        <f>F306*'Расчет субсидий'!G308</f>
        <v>0</v>
      </c>
      <c r="H306" s="50">
        <f t="shared" si="30"/>
        <v>0</v>
      </c>
      <c r="I306" s="49">
        <f t="shared" si="31"/>
        <v>-3.7892762883733857</v>
      </c>
    </row>
    <row r="307" spans="1:9" ht="15" customHeight="1">
      <c r="A307" s="31" t="s">
        <v>287</v>
      </c>
      <c r="B307" s="47">
        <f>'Расчет субсидий'!L309</f>
        <v>-2.7272727272727337E-2</v>
      </c>
      <c r="C307" s="54">
        <f>'Расчет субсидий'!D309-1</f>
        <v>1.6189258952960861E-2</v>
      </c>
      <c r="D307" s="54">
        <f>C307*'Расчет субсидий'!E309</f>
        <v>0.24283888429441292</v>
      </c>
      <c r="E307" s="50">
        <f t="shared" si="34"/>
        <v>-2.7272727272727337E-2</v>
      </c>
      <c r="F307" s="54">
        <f>'Расчет субсидий'!F309-1</f>
        <v>0</v>
      </c>
      <c r="G307" s="54">
        <f>F307*'Расчет субсидий'!G309</f>
        <v>0</v>
      </c>
      <c r="H307" s="50">
        <f t="shared" si="30"/>
        <v>0</v>
      </c>
      <c r="I307" s="49">
        <f t="shared" si="31"/>
        <v>0.24283888429441292</v>
      </c>
    </row>
    <row r="308" spans="1:9" ht="15" customHeight="1">
      <c r="A308" s="31" t="s">
        <v>288</v>
      </c>
      <c r="B308" s="47">
        <f>'Расчет субсидий'!L310</f>
        <v>8.8454545454545439</v>
      </c>
      <c r="C308" s="54">
        <f>'Расчет субсидий'!D310-1</f>
        <v>0.24796019900497512</v>
      </c>
      <c r="D308" s="54">
        <f>C308*'Расчет субсидий'!E310</f>
        <v>3.7194029850746269</v>
      </c>
      <c r="E308" s="50">
        <f t="shared" si="34"/>
        <v>8.8454545454545439</v>
      </c>
      <c r="F308" s="54">
        <f>'Расчет субсидий'!F310-1</f>
        <v>0</v>
      </c>
      <c r="G308" s="54">
        <f>F308*'Расчет субсидий'!G310</f>
        <v>0</v>
      </c>
      <c r="H308" s="50">
        <f t="shared" si="30"/>
        <v>0</v>
      </c>
      <c r="I308" s="49">
        <f t="shared" si="31"/>
        <v>3.7194029850746269</v>
      </c>
    </row>
    <row r="309" spans="1:9" ht="15" customHeight="1">
      <c r="A309" s="31" t="s">
        <v>289</v>
      </c>
      <c r="B309" s="47">
        <f>'Расчет субсидий'!L311</f>
        <v>-17.400000000000006</v>
      </c>
      <c r="C309" s="54">
        <f>'Расчет субсидий'!D311-1</f>
        <v>-0.27958283192940236</v>
      </c>
      <c r="D309" s="54">
        <f>C309*'Расчет субсидий'!E311</f>
        <v>-4.1937424789410356</v>
      </c>
      <c r="E309" s="50">
        <f t="shared" si="34"/>
        <v>-17.400000000000006</v>
      </c>
      <c r="F309" s="54">
        <f>'Расчет субсидий'!F311-1</f>
        <v>0</v>
      </c>
      <c r="G309" s="54">
        <f>F309*'Расчет субсидий'!G311</f>
        <v>0</v>
      </c>
      <c r="H309" s="50">
        <f t="shared" si="30"/>
        <v>0</v>
      </c>
      <c r="I309" s="49">
        <f t="shared" si="31"/>
        <v>-4.1937424789410356</v>
      </c>
    </row>
    <row r="310" spans="1:9" ht="15" customHeight="1">
      <c r="A310" s="31" t="s">
        <v>290</v>
      </c>
      <c r="B310" s="47">
        <f>'Расчет субсидий'!L312</f>
        <v>17.063636363636363</v>
      </c>
      <c r="C310" s="54">
        <f>'Расчет субсидий'!D312-1</f>
        <v>0.26681114551083596</v>
      </c>
      <c r="D310" s="54">
        <f>C310*'Расчет субсидий'!E312</f>
        <v>4.0021671826625393</v>
      </c>
      <c r="E310" s="50">
        <f t="shared" si="34"/>
        <v>17.063636363636363</v>
      </c>
      <c r="F310" s="54">
        <f>'Расчет субсидий'!F312-1</f>
        <v>0</v>
      </c>
      <c r="G310" s="54">
        <f>F310*'Расчет субсидий'!G312</f>
        <v>0</v>
      </c>
      <c r="H310" s="50">
        <f t="shared" si="30"/>
        <v>0</v>
      </c>
      <c r="I310" s="49">
        <f t="shared" si="31"/>
        <v>4.0021671826625393</v>
      </c>
    </row>
    <row r="311" spans="1:9" ht="15" customHeight="1">
      <c r="A311" s="31" t="s">
        <v>291</v>
      </c>
      <c r="B311" s="47">
        <f>'Расчет субсидий'!L313</f>
        <v>-0.83636363636363686</v>
      </c>
      <c r="C311" s="54">
        <f>'Расчет субсидий'!D313-1</f>
        <v>-0.23420638328324028</v>
      </c>
      <c r="D311" s="54">
        <f>C311*'Расчет субсидий'!E313</f>
        <v>-3.5130957492486043</v>
      </c>
      <c r="E311" s="50">
        <f t="shared" si="34"/>
        <v>-0.83636363636363686</v>
      </c>
      <c r="F311" s="54">
        <f>'Расчет субсидий'!F313-1</f>
        <v>0</v>
      </c>
      <c r="G311" s="54">
        <f>F311*'Расчет субсидий'!G313</f>
        <v>0</v>
      </c>
      <c r="H311" s="50">
        <f t="shared" si="30"/>
        <v>0</v>
      </c>
      <c r="I311" s="49">
        <f t="shared" si="31"/>
        <v>-3.5130957492486043</v>
      </c>
    </row>
    <row r="312" spans="1:9" ht="15" customHeight="1">
      <c r="A312" s="31" t="s">
        <v>292</v>
      </c>
      <c r="B312" s="47">
        <f>'Расчет субсидий'!L314</f>
        <v>-1.7272727272727266</v>
      </c>
      <c r="C312" s="54">
        <f>'Расчет субсидий'!D314-1</f>
        <v>-0.26425729442970813</v>
      </c>
      <c r="D312" s="54">
        <f>C312*'Расчет субсидий'!E314</f>
        <v>-3.9638594164456222</v>
      </c>
      <c r="E312" s="50">
        <f t="shared" si="34"/>
        <v>-1.7272727272727266</v>
      </c>
      <c r="F312" s="54">
        <f>'Расчет субсидий'!F314-1</f>
        <v>0</v>
      </c>
      <c r="G312" s="54">
        <f>F312*'Расчет субсидий'!G314</f>
        <v>0</v>
      </c>
      <c r="H312" s="50">
        <f t="shared" si="30"/>
        <v>0</v>
      </c>
      <c r="I312" s="49">
        <f t="shared" si="31"/>
        <v>-3.9638594164456222</v>
      </c>
    </row>
    <row r="313" spans="1:9" ht="15" customHeight="1">
      <c r="A313" s="31" t="s">
        <v>293</v>
      </c>
      <c r="B313" s="47">
        <f>'Расчет субсидий'!L315</f>
        <v>-7.7090909090909037</v>
      </c>
      <c r="C313" s="54">
        <f>'Расчет субсидий'!D315-1</f>
        <v>-0.30485085029272374</v>
      </c>
      <c r="D313" s="54">
        <f>C313*'Расчет субсидий'!E315</f>
        <v>-4.5727627543908564</v>
      </c>
      <c r="E313" s="50">
        <f t="shared" si="34"/>
        <v>-7.7090909090909037</v>
      </c>
      <c r="F313" s="54">
        <f>'Расчет субсидий'!F315-1</f>
        <v>0</v>
      </c>
      <c r="G313" s="54">
        <f>F313*'Расчет субсидий'!G315</f>
        <v>0</v>
      </c>
      <c r="H313" s="50">
        <f t="shared" ref="H313:H376" si="35">$B313*G313/$I313</f>
        <v>0</v>
      </c>
      <c r="I313" s="49">
        <f t="shared" ref="I313:I376" si="36">D313+G313</f>
        <v>-4.5727627543908564</v>
      </c>
    </row>
    <row r="314" spans="1:9" ht="15" customHeight="1">
      <c r="A314" s="31" t="s">
        <v>294</v>
      </c>
      <c r="B314" s="47">
        <f>'Расчет субсидий'!L316</f>
        <v>-0.18181818181818166</v>
      </c>
      <c r="C314" s="54">
        <f>'Расчет субсидий'!D316-1</f>
        <v>-6.2393647192285906E-2</v>
      </c>
      <c r="D314" s="54">
        <f>C314*'Расчет субсидий'!E316</f>
        <v>-0.93590470788428859</v>
      </c>
      <c r="E314" s="50">
        <f t="shared" si="34"/>
        <v>-0.18181818181818166</v>
      </c>
      <c r="F314" s="54">
        <f>'Расчет субсидий'!F316-1</f>
        <v>0</v>
      </c>
      <c r="G314" s="54">
        <f>F314*'Расчет субсидий'!G316</f>
        <v>0</v>
      </c>
      <c r="H314" s="50">
        <f t="shared" si="35"/>
        <v>0</v>
      </c>
      <c r="I314" s="49">
        <f t="shared" si="36"/>
        <v>-0.93590470788428859</v>
      </c>
    </row>
    <row r="315" spans="1:9" ht="15" customHeight="1">
      <c r="A315" s="30" t="s">
        <v>295</v>
      </c>
      <c r="B315" s="51"/>
      <c r="C315" s="52"/>
      <c r="D315" s="52"/>
      <c r="E315" s="53"/>
      <c r="F315" s="53"/>
      <c r="G315" s="53"/>
      <c r="H315" s="53"/>
      <c r="I315" s="53"/>
    </row>
    <row r="316" spans="1:9" ht="15" customHeight="1">
      <c r="A316" s="31" t="s">
        <v>296</v>
      </c>
      <c r="B316" s="47">
        <f>'Расчет субсидий'!L318</f>
        <v>9.0909090909092605E-3</v>
      </c>
      <c r="C316" s="54">
        <f>'Расчет субсидий'!D318-1</f>
        <v>-6.0508493394026974E-3</v>
      </c>
      <c r="D316" s="54">
        <f>C316*'Расчет субсидий'!E318</f>
        <v>-9.0762740091040461E-2</v>
      </c>
      <c r="E316" s="50">
        <f t="shared" ref="E316:E330" si="37">$B316*D316/$I316</f>
        <v>9.0909090909092605E-3</v>
      </c>
      <c r="F316" s="54">
        <f>'Расчет субсидий'!F318-1</f>
        <v>0</v>
      </c>
      <c r="G316" s="54">
        <f>F316*'Расчет субсидий'!G318</f>
        <v>0</v>
      </c>
      <c r="H316" s="50">
        <f t="shared" si="35"/>
        <v>0</v>
      </c>
      <c r="I316" s="49">
        <f t="shared" si="36"/>
        <v>-9.0762740091040461E-2</v>
      </c>
    </row>
    <row r="317" spans="1:9" ht="15" customHeight="1">
      <c r="A317" s="31" t="s">
        <v>297</v>
      </c>
      <c r="B317" s="47">
        <f>'Расчет субсидий'!L319</f>
        <v>0.66363636363636402</v>
      </c>
      <c r="C317" s="54">
        <f>'Расчет субсидий'!D319-1</f>
        <v>0.11296764745040599</v>
      </c>
      <c r="D317" s="54">
        <f>C317*'Расчет субсидий'!E319</f>
        <v>1.6945147117560899</v>
      </c>
      <c r="E317" s="50">
        <f t="shared" si="37"/>
        <v>0.66363636363636402</v>
      </c>
      <c r="F317" s="54">
        <f>'Расчет субсидий'!F319-1</f>
        <v>0</v>
      </c>
      <c r="G317" s="54">
        <f>F317*'Расчет субсидий'!G319</f>
        <v>0</v>
      </c>
      <c r="H317" s="50">
        <f t="shared" si="35"/>
        <v>0</v>
      </c>
      <c r="I317" s="49">
        <f t="shared" si="36"/>
        <v>1.6945147117560899</v>
      </c>
    </row>
    <row r="318" spans="1:9" ht="15" customHeight="1">
      <c r="A318" s="31" t="s">
        <v>298</v>
      </c>
      <c r="B318" s="47">
        <f>'Расчет субсидий'!L320</f>
        <v>-4.5545454545454529</v>
      </c>
      <c r="C318" s="54">
        <f>'Расчет субсидий'!D320-1</f>
        <v>-0.37357468643101488</v>
      </c>
      <c r="D318" s="54">
        <f>C318*'Расчет субсидий'!E320</f>
        <v>-5.6036202964652233</v>
      </c>
      <c r="E318" s="50">
        <f t="shared" si="37"/>
        <v>-4.5545454545454529</v>
      </c>
      <c r="F318" s="54">
        <f>'Расчет субсидий'!F320-1</f>
        <v>0</v>
      </c>
      <c r="G318" s="54">
        <f>F318*'Расчет субсидий'!G320</f>
        <v>0</v>
      </c>
      <c r="H318" s="50">
        <f t="shared" si="35"/>
        <v>0</v>
      </c>
      <c r="I318" s="49">
        <f t="shared" si="36"/>
        <v>-5.6036202964652233</v>
      </c>
    </row>
    <row r="319" spans="1:9" ht="15" customHeight="1">
      <c r="A319" s="31" t="s">
        <v>299</v>
      </c>
      <c r="B319" s="47">
        <f>'Расчет субсидий'!L321</f>
        <v>-23.027272727272731</v>
      </c>
      <c r="C319" s="54">
        <f>'Расчет субсидий'!D321-1</f>
        <v>-0.33215962441314562</v>
      </c>
      <c r="D319" s="54">
        <f>C319*'Расчет субсидий'!E321</f>
        <v>-4.9823943661971839</v>
      </c>
      <c r="E319" s="50">
        <f t="shared" si="37"/>
        <v>-23.027272727272731</v>
      </c>
      <c r="F319" s="54">
        <f>'Расчет субсидий'!F321-1</f>
        <v>0</v>
      </c>
      <c r="G319" s="54">
        <f>F319*'Расчет субсидий'!G321</f>
        <v>0</v>
      </c>
      <c r="H319" s="50">
        <f t="shared" si="35"/>
        <v>0</v>
      </c>
      <c r="I319" s="49">
        <f t="shared" si="36"/>
        <v>-4.9823943661971839</v>
      </c>
    </row>
    <row r="320" spans="1:9" ht="15" customHeight="1">
      <c r="A320" s="31" t="s">
        <v>300</v>
      </c>
      <c r="B320" s="47">
        <f>'Расчет субсидий'!L322</f>
        <v>-20.681818181818187</v>
      </c>
      <c r="C320" s="54">
        <f>'Расчет субсидий'!D322-1</f>
        <v>-0.30992098331870066</v>
      </c>
      <c r="D320" s="54">
        <f>C320*'Расчет субсидий'!E322</f>
        <v>-4.6488147497805095</v>
      </c>
      <c r="E320" s="50">
        <f t="shared" si="37"/>
        <v>-20.681818181818187</v>
      </c>
      <c r="F320" s="54">
        <f>'Расчет субсидий'!F322-1</f>
        <v>0</v>
      </c>
      <c r="G320" s="54">
        <f>F320*'Расчет субсидий'!G322</f>
        <v>0</v>
      </c>
      <c r="H320" s="50">
        <f t="shared" si="35"/>
        <v>0</v>
      </c>
      <c r="I320" s="49">
        <f t="shared" si="36"/>
        <v>-4.6488147497805095</v>
      </c>
    </row>
    <row r="321" spans="1:9" ht="15" customHeight="1">
      <c r="A321" s="31" t="s">
        <v>301</v>
      </c>
      <c r="B321" s="47">
        <f>'Расчет субсидий'!L323</f>
        <v>-1.2909090909090963</v>
      </c>
      <c r="C321" s="54">
        <f>'Расчет субсидий'!D323-1</f>
        <v>-4.2788717402873933E-2</v>
      </c>
      <c r="D321" s="54">
        <f>C321*'Расчет субсидий'!E323</f>
        <v>-0.64183076104310899</v>
      </c>
      <c r="E321" s="50">
        <f t="shared" si="37"/>
        <v>-1.2909090909090963</v>
      </c>
      <c r="F321" s="54">
        <f>'Расчет субсидий'!F323-1</f>
        <v>0</v>
      </c>
      <c r="G321" s="54">
        <f>F321*'Расчет субсидий'!G323</f>
        <v>0</v>
      </c>
      <c r="H321" s="50">
        <f t="shared" si="35"/>
        <v>0</v>
      </c>
      <c r="I321" s="49">
        <f t="shared" si="36"/>
        <v>-0.64183076104310899</v>
      </c>
    </row>
    <row r="322" spans="1:9" ht="15" customHeight="1">
      <c r="A322" s="31" t="s">
        <v>302</v>
      </c>
      <c r="B322" s="47">
        <f>'Расчет субсидий'!L324</f>
        <v>8.181818181818179E-2</v>
      </c>
      <c r="C322" s="54">
        <f>'Расчет субсидий'!D324-1</f>
        <v>0.25823221226973114</v>
      </c>
      <c r="D322" s="54">
        <f>C322*'Расчет субсидий'!E324</f>
        <v>3.8734831840459671</v>
      </c>
      <c r="E322" s="50">
        <f t="shared" si="37"/>
        <v>8.181818181818179E-2</v>
      </c>
      <c r="F322" s="54">
        <f>'Расчет субсидий'!F324-1</f>
        <v>0</v>
      </c>
      <c r="G322" s="54">
        <f>F322*'Расчет субсидий'!G324</f>
        <v>0</v>
      </c>
      <c r="H322" s="50">
        <f t="shared" si="35"/>
        <v>0</v>
      </c>
      <c r="I322" s="49">
        <f t="shared" si="36"/>
        <v>3.8734831840459671</v>
      </c>
    </row>
    <row r="323" spans="1:9" ht="15" customHeight="1">
      <c r="A323" s="31" t="s">
        <v>303</v>
      </c>
      <c r="B323" s="47">
        <f>'Расчет субсидий'!L325</f>
        <v>8.6000000000000014</v>
      </c>
      <c r="C323" s="54">
        <f>'Расчет субсидий'!D325-1</f>
        <v>0.30000000000000004</v>
      </c>
      <c r="D323" s="54">
        <f>C323*'Расчет субсидий'!E325</f>
        <v>4.5000000000000009</v>
      </c>
      <c r="E323" s="50">
        <f t="shared" si="37"/>
        <v>8.6000000000000014</v>
      </c>
      <c r="F323" s="54">
        <f>'Расчет субсидий'!F325-1</f>
        <v>0</v>
      </c>
      <c r="G323" s="54">
        <f>F323*'Расчет субсидий'!G325</f>
        <v>0</v>
      </c>
      <c r="H323" s="50">
        <f t="shared" si="35"/>
        <v>0</v>
      </c>
      <c r="I323" s="49">
        <f t="shared" si="36"/>
        <v>4.5000000000000009</v>
      </c>
    </row>
    <row r="324" spans="1:9" ht="15" customHeight="1">
      <c r="A324" s="31" t="s">
        <v>304</v>
      </c>
      <c r="B324" s="47">
        <f>'Расчет субсидий'!L326</f>
        <v>13.736363636363635</v>
      </c>
      <c r="C324" s="54">
        <f>'Расчет субсидий'!D326-1</f>
        <v>0.22320987654320978</v>
      </c>
      <c r="D324" s="54">
        <f>C324*'Расчет субсидий'!E326</f>
        <v>3.3481481481481468</v>
      </c>
      <c r="E324" s="50">
        <f t="shared" si="37"/>
        <v>13.736363636363635</v>
      </c>
      <c r="F324" s="54">
        <f>'Расчет субсидий'!F326-1</f>
        <v>0</v>
      </c>
      <c r="G324" s="54">
        <f>F324*'Расчет субсидий'!G326</f>
        <v>0</v>
      </c>
      <c r="H324" s="50">
        <f t="shared" si="35"/>
        <v>0</v>
      </c>
      <c r="I324" s="49">
        <f t="shared" si="36"/>
        <v>3.3481481481481468</v>
      </c>
    </row>
    <row r="325" spans="1:9" ht="15" customHeight="1">
      <c r="A325" s="31" t="s">
        <v>305</v>
      </c>
      <c r="B325" s="47">
        <f>'Расчет субсидий'!L327</f>
        <v>-8.8090909090909104</v>
      </c>
      <c r="C325" s="54">
        <f>'Расчет субсидий'!D327-1</f>
        <v>-0.69860973187686204</v>
      </c>
      <c r="D325" s="54">
        <f>C325*'Расчет субсидий'!E327</f>
        <v>-10.47914597815293</v>
      </c>
      <c r="E325" s="50">
        <f t="shared" si="37"/>
        <v>-8.8090909090909104</v>
      </c>
      <c r="F325" s="54">
        <f>'Расчет субсидий'!F327-1</f>
        <v>0</v>
      </c>
      <c r="G325" s="54">
        <f>F325*'Расчет субсидий'!G327</f>
        <v>0</v>
      </c>
      <c r="H325" s="50">
        <f t="shared" si="35"/>
        <v>0</v>
      </c>
      <c r="I325" s="49">
        <f t="shared" si="36"/>
        <v>-10.47914597815293</v>
      </c>
    </row>
    <row r="326" spans="1:9" ht="15" customHeight="1">
      <c r="A326" s="31" t="s">
        <v>306</v>
      </c>
      <c r="B326" s="47">
        <f>'Расчет субсидий'!L328</f>
        <v>-24.081818181818193</v>
      </c>
      <c r="C326" s="54">
        <f>'Расчет субсидий'!D328-1</f>
        <v>-0.33671742808798644</v>
      </c>
      <c r="D326" s="54">
        <f>C326*'Расчет субсидий'!E328</f>
        <v>-5.0507614213197964</v>
      </c>
      <c r="E326" s="50">
        <f t="shared" si="37"/>
        <v>-24.081818181818193</v>
      </c>
      <c r="F326" s="54">
        <f>'Расчет субсидий'!F328-1</f>
        <v>0</v>
      </c>
      <c r="G326" s="54">
        <f>F326*'Расчет субсидий'!G328</f>
        <v>0</v>
      </c>
      <c r="H326" s="50">
        <f t="shared" si="35"/>
        <v>0</v>
      </c>
      <c r="I326" s="49">
        <f t="shared" si="36"/>
        <v>-5.0507614213197964</v>
      </c>
    </row>
    <row r="327" spans="1:9" ht="15" customHeight="1">
      <c r="A327" s="31" t="s">
        <v>307</v>
      </c>
      <c r="B327" s="47">
        <f>'Расчет субсидий'!L329</f>
        <v>-56.054545454545462</v>
      </c>
      <c r="C327" s="54">
        <f>'Расчет субсидий'!D329-1</f>
        <v>-0.69457221711131556</v>
      </c>
      <c r="D327" s="54">
        <f>C327*'Расчет субсидий'!E329</f>
        <v>-10.418583256669734</v>
      </c>
      <c r="E327" s="50">
        <f t="shared" si="37"/>
        <v>-56.054545454545462</v>
      </c>
      <c r="F327" s="54">
        <f>'Расчет субсидий'!F329-1</f>
        <v>0</v>
      </c>
      <c r="G327" s="54">
        <f>F327*'Расчет субсидий'!G329</f>
        <v>0</v>
      </c>
      <c r="H327" s="50">
        <f t="shared" si="35"/>
        <v>0</v>
      </c>
      <c r="I327" s="49">
        <f t="shared" si="36"/>
        <v>-10.418583256669734</v>
      </c>
    </row>
    <row r="328" spans="1:9" ht="15" customHeight="1">
      <c r="A328" s="31" t="s">
        <v>308</v>
      </c>
      <c r="B328" s="47">
        <f>'Расчет субсидий'!L330</f>
        <v>-40.627272727272739</v>
      </c>
      <c r="C328" s="54">
        <f>'Расчет субсидий'!D330-1</f>
        <v>-0.62819383259911898</v>
      </c>
      <c r="D328" s="54">
        <f>C328*'Расчет субсидий'!E330</f>
        <v>-9.4229074889867839</v>
      </c>
      <c r="E328" s="50">
        <f t="shared" si="37"/>
        <v>-40.627272727272739</v>
      </c>
      <c r="F328" s="54">
        <f>'Расчет субсидий'!F330-1</f>
        <v>0</v>
      </c>
      <c r="G328" s="54">
        <f>F328*'Расчет субсидий'!G330</f>
        <v>0</v>
      </c>
      <c r="H328" s="50">
        <f t="shared" si="35"/>
        <v>0</v>
      </c>
      <c r="I328" s="49">
        <f t="shared" si="36"/>
        <v>-9.4229074889867839</v>
      </c>
    </row>
    <row r="329" spans="1:9" ht="15" customHeight="1">
      <c r="A329" s="31" t="s">
        <v>309</v>
      </c>
      <c r="B329" s="47">
        <f>'Расчет субсидий'!L331</f>
        <v>-52.645454545454541</v>
      </c>
      <c r="C329" s="54">
        <f>'Расчет субсидий'!D331-1</f>
        <v>-0.6872919818456884</v>
      </c>
      <c r="D329" s="54">
        <f>C329*'Расчет субсидий'!E331</f>
        <v>-10.309379727685325</v>
      </c>
      <c r="E329" s="50">
        <f t="shared" si="37"/>
        <v>-52.645454545454541</v>
      </c>
      <c r="F329" s="54">
        <f>'Расчет субсидий'!F331-1</f>
        <v>0</v>
      </c>
      <c r="G329" s="54">
        <f>F329*'Расчет субсидий'!G331</f>
        <v>0</v>
      </c>
      <c r="H329" s="50">
        <f t="shared" si="35"/>
        <v>0</v>
      </c>
      <c r="I329" s="49">
        <f t="shared" si="36"/>
        <v>-10.309379727685325</v>
      </c>
    </row>
    <row r="330" spans="1:9" ht="15" customHeight="1">
      <c r="A330" s="31" t="s">
        <v>310</v>
      </c>
      <c r="B330" s="47">
        <f>'Расчет субсидий'!L332</f>
        <v>-9.1090909090909093</v>
      </c>
      <c r="C330" s="54">
        <f>'Расчет субсидий'!D332-1</f>
        <v>-0.19484882418812977</v>
      </c>
      <c r="D330" s="54">
        <f>C330*'Расчет субсидий'!E332</f>
        <v>-2.9227323628219466</v>
      </c>
      <c r="E330" s="50">
        <f t="shared" si="37"/>
        <v>-9.1090909090909093</v>
      </c>
      <c r="F330" s="54">
        <f>'Расчет субсидий'!F332-1</f>
        <v>0</v>
      </c>
      <c r="G330" s="54">
        <f>F330*'Расчет субсидий'!G332</f>
        <v>0</v>
      </c>
      <c r="H330" s="50">
        <f t="shared" si="35"/>
        <v>0</v>
      </c>
      <c r="I330" s="49">
        <f t="shared" si="36"/>
        <v>-2.9227323628219466</v>
      </c>
    </row>
    <row r="331" spans="1:9" ht="15" customHeight="1">
      <c r="A331" s="30" t="s">
        <v>311</v>
      </c>
      <c r="B331" s="51"/>
      <c r="C331" s="52"/>
      <c r="D331" s="52"/>
      <c r="E331" s="53"/>
      <c r="F331" s="53"/>
      <c r="G331" s="53"/>
      <c r="H331" s="53"/>
      <c r="I331" s="53"/>
    </row>
    <row r="332" spans="1:9" ht="15" customHeight="1">
      <c r="A332" s="31" t="s">
        <v>312</v>
      </c>
      <c r="B332" s="47">
        <f>'Расчет субсидий'!L334</f>
        <v>25.5</v>
      </c>
      <c r="C332" s="54">
        <f>'Расчет субсидий'!D334-1</f>
        <v>0.21615384615384614</v>
      </c>
      <c r="D332" s="54">
        <f>C332*'Расчет субсидий'!E334</f>
        <v>3.2423076923076923</v>
      </c>
      <c r="E332" s="50">
        <f t="shared" ref="E332:E342" si="38">$B332*D332/$I332</f>
        <v>25.5</v>
      </c>
      <c r="F332" s="54">
        <f>'Расчет субсидий'!F334-1</f>
        <v>0</v>
      </c>
      <c r="G332" s="54">
        <f>F332*'Расчет субсидий'!G334</f>
        <v>0</v>
      </c>
      <c r="H332" s="50">
        <f t="shared" si="35"/>
        <v>0</v>
      </c>
      <c r="I332" s="49">
        <f t="shared" si="36"/>
        <v>3.2423076923076923</v>
      </c>
    </row>
    <row r="333" spans="1:9" ht="15" customHeight="1">
      <c r="A333" s="31" t="s">
        <v>313</v>
      </c>
      <c r="B333" s="47">
        <f>'Расчет субсидий'!L335</f>
        <v>-1.8454545454545439</v>
      </c>
      <c r="C333" s="54">
        <f>'Расчет субсидий'!D335-1</f>
        <v>-1.7796610169491522E-2</v>
      </c>
      <c r="D333" s="54">
        <f>C333*'Расчет субсидий'!E335</f>
        <v>-0.26694915254237284</v>
      </c>
      <c r="E333" s="50">
        <f t="shared" si="38"/>
        <v>-1.8454545454545439</v>
      </c>
      <c r="F333" s="54">
        <f>'Расчет субсидий'!F335-1</f>
        <v>0</v>
      </c>
      <c r="G333" s="54">
        <f>F333*'Расчет субсидий'!G335</f>
        <v>0</v>
      </c>
      <c r="H333" s="50">
        <f t="shared" si="35"/>
        <v>0</v>
      </c>
      <c r="I333" s="49">
        <f t="shared" si="36"/>
        <v>-0.26694915254237284</v>
      </c>
    </row>
    <row r="334" spans="1:9" ht="15" customHeight="1">
      <c r="A334" s="31" t="s">
        <v>266</v>
      </c>
      <c r="B334" s="47">
        <f>'Расчет субсидий'!L336</f>
        <v>-64.636363636363626</v>
      </c>
      <c r="C334" s="54">
        <f>'Расчет субсидий'!D336-1</f>
        <v>-0.72448410485220305</v>
      </c>
      <c r="D334" s="54">
        <f>C334*'Расчет субсидий'!E336</f>
        <v>-10.867261572783045</v>
      </c>
      <c r="E334" s="50">
        <f t="shared" si="38"/>
        <v>-64.636363636363626</v>
      </c>
      <c r="F334" s="54">
        <f>'Расчет субсидий'!F336-1</f>
        <v>0</v>
      </c>
      <c r="G334" s="54">
        <f>F334*'Расчет субсидий'!G336</f>
        <v>0</v>
      </c>
      <c r="H334" s="50">
        <f t="shared" si="35"/>
        <v>0</v>
      </c>
      <c r="I334" s="49">
        <f t="shared" si="36"/>
        <v>-10.867261572783045</v>
      </c>
    </row>
    <row r="335" spans="1:9" ht="15" customHeight="1">
      <c r="A335" s="31" t="s">
        <v>314</v>
      </c>
      <c r="B335" s="47">
        <f>'Расчет субсидий'!L337</f>
        <v>46.290909090909054</v>
      </c>
      <c r="C335" s="54">
        <f>'Расчет субсидий'!D337-1</f>
        <v>0.30000000000000004</v>
      </c>
      <c r="D335" s="54">
        <f>C335*'Расчет субсидий'!E337</f>
        <v>4.5000000000000009</v>
      </c>
      <c r="E335" s="50">
        <f t="shared" si="38"/>
        <v>46.290909090909054</v>
      </c>
      <c r="F335" s="54">
        <f>'Расчет субсидий'!F337-1</f>
        <v>0</v>
      </c>
      <c r="G335" s="54">
        <f>F335*'Расчет субсидий'!G337</f>
        <v>0</v>
      </c>
      <c r="H335" s="50">
        <f t="shared" si="35"/>
        <v>0</v>
      </c>
      <c r="I335" s="49">
        <f t="shared" si="36"/>
        <v>4.5000000000000009</v>
      </c>
    </row>
    <row r="336" spans="1:9" ht="15" customHeight="1">
      <c r="A336" s="31" t="s">
        <v>315</v>
      </c>
      <c r="B336" s="47">
        <f>'Расчет субсидий'!L338</f>
        <v>-110.06363636363636</v>
      </c>
      <c r="C336" s="54">
        <f>'Расчет субсидий'!D338-1</f>
        <v>-0.72121020117218437</v>
      </c>
      <c r="D336" s="54">
        <f>C336*'Расчет субсидий'!E338</f>
        <v>-10.818153017582766</v>
      </c>
      <c r="E336" s="50">
        <f t="shared" si="38"/>
        <v>-110.06363636363635</v>
      </c>
      <c r="F336" s="54">
        <f>'Расчет субсидий'!F338-1</f>
        <v>0</v>
      </c>
      <c r="G336" s="54">
        <f>F336*'Расчет субсидий'!G338</f>
        <v>0</v>
      </c>
      <c r="H336" s="50">
        <f t="shared" si="35"/>
        <v>0</v>
      </c>
      <c r="I336" s="49">
        <f t="shared" si="36"/>
        <v>-10.818153017582766</v>
      </c>
    </row>
    <row r="337" spans="1:9" ht="15" customHeight="1">
      <c r="A337" s="31" t="s">
        <v>316</v>
      </c>
      <c r="B337" s="47">
        <f>'Расчет субсидий'!L339</f>
        <v>31.590909090909093</v>
      </c>
      <c r="C337" s="54">
        <f>'Расчет субсидий'!D339-1</f>
        <v>0.20891660171473103</v>
      </c>
      <c r="D337" s="54">
        <f>C337*'Расчет субсидий'!E339</f>
        <v>3.1337490257209657</v>
      </c>
      <c r="E337" s="50">
        <f t="shared" si="38"/>
        <v>31.590909090909093</v>
      </c>
      <c r="F337" s="54">
        <f>'Расчет субсидий'!F339-1</f>
        <v>0</v>
      </c>
      <c r="G337" s="54">
        <f>F337*'Расчет субсидий'!G339</f>
        <v>0</v>
      </c>
      <c r="H337" s="50">
        <f t="shared" si="35"/>
        <v>0</v>
      </c>
      <c r="I337" s="49">
        <f t="shared" si="36"/>
        <v>3.1337490257209657</v>
      </c>
    </row>
    <row r="338" spans="1:9" ht="15" customHeight="1">
      <c r="A338" s="31" t="s">
        <v>317</v>
      </c>
      <c r="B338" s="47">
        <f>'Расчет субсидий'!L340</f>
        <v>25.563636363636363</v>
      </c>
      <c r="C338" s="54">
        <f>'Расчет субсидий'!D340-1</f>
        <v>0.22922319060250085</v>
      </c>
      <c r="D338" s="54">
        <f>C338*'Расчет субсидий'!E340</f>
        <v>3.4383478590375125</v>
      </c>
      <c r="E338" s="50">
        <f t="shared" si="38"/>
        <v>25.563636363636363</v>
      </c>
      <c r="F338" s="54">
        <f>'Расчет субсидий'!F340-1</f>
        <v>0</v>
      </c>
      <c r="G338" s="54">
        <f>F338*'Расчет субсидий'!G340</f>
        <v>0</v>
      </c>
      <c r="H338" s="50">
        <f t="shared" si="35"/>
        <v>0</v>
      </c>
      <c r="I338" s="49">
        <f t="shared" si="36"/>
        <v>3.4383478590375125</v>
      </c>
    </row>
    <row r="339" spans="1:9" ht="15" customHeight="1">
      <c r="A339" s="31" t="s">
        <v>318</v>
      </c>
      <c r="B339" s="47">
        <f>'Расчет субсидий'!L341</f>
        <v>-54.23636363636362</v>
      </c>
      <c r="C339" s="54">
        <f>'Расчет субсидий'!D341-1</f>
        <v>-0.53008595988538687</v>
      </c>
      <c r="D339" s="54">
        <f>C339*'Расчет субсидий'!E341</f>
        <v>-7.9512893982808031</v>
      </c>
      <c r="E339" s="50">
        <f t="shared" si="38"/>
        <v>-54.23636363636362</v>
      </c>
      <c r="F339" s="54">
        <f>'Расчет субсидий'!F341-1</f>
        <v>0</v>
      </c>
      <c r="G339" s="54">
        <f>F339*'Расчет субсидий'!G341</f>
        <v>0</v>
      </c>
      <c r="H339" s="50">
        <f t="shared" si="35"/>
        <v>0</v>
      </c>
      <c r="I339" s="49">
        <f t="shared" si="36"/>
        <v>-7.9512893982808031</v>
      </c>
    </row>
    <row r="340" spans="1:9" ht="15" customHeight="1">
      <c r="A340" s="31" t="s">
        <v>319</v>
      </c>
      <c r="B340" s="47">
        <f>'Расчет субсидий'!L342</f>
        <v>-82.172727272727286</v>
      </c>
      <c r="C340" s="54">
        <f>'Расчет субсидий'!D342-1</f>
        <v>-0.90519877675840976</v>
      </c>
      <c r="D340" s="54">
        <f>C340*'Расчет субсидий'!E342</f>
        <v>-13.577981651376147</v>
      </c>
      <c r="E340" s="50">
        <f t="shared" si="38"/>
        <v>-82.172727272727272</v>
      </c>
      <c r="F340" s="54">
        <f>'Расчет субсидий'!F342-1</f>
        <v>0</v>
      </c>
      <c r="G340" s="54">
        <f>F340*'Расчет субсидий'!G342</f>
        <v>0</v>
      </c>
      <c r="H340" s="50">
        <f t="shared" si="35"/>
        <v>0</v>
      </c>
      <c r="I340" s="49">
        <f t="shared" si="36"/>
        <v>-13.577981651376147</v>
      </c>
    </row>
    <row r="341" spans="1:9" ht="15" customHeight="1">
      <c r="A341" s="31" t="s">
        <v>320</v>
      </c>
      <c r="B341" s="47">
        <f>'Расчет субсидий'!L343</f>
        <v>-54.199999999999989</v>
      </c>
      <c r="C341" s="54">
        <f>'Расчет субсидий'!D343-1</f>
        <v>-0.47780005729017472</v>
      </c>
      <c r="D341" s="54">
        <f>C341*'Расчет субсидий'!E343</f>
        <v>-7.1670008593526209</v>
      </c>
      <c r="E341" s="50">
        <f t="shared" si="38"/>
        <v>-54.199999999999989</v>
      </c>
      <c r="F341" s="54">
        <f>'Расчет субсидий'!F343-1</f>
        <v>0</v>
      </c>
      <c r="G341" s="54">
        <f>F341*'Расчет субсидий'!G343</f>
        <v>0</v>
      </c>
      <c r="H341" s="50">
        <f t="shared" si="35"/>
        <v>0</v>
      </c>
      <c r="I341" s="49">
        <f t="shared" si="36"/>
        <v>-7.1670008593526209</v>
      </c>
    </row>
    <row r="342" spans="1:9" ht="15" customHeight="1">
      <c r="A342" s="31" t="s">
        <v>321</v>
      </c>
      <c r="B342" s="47">
        <f>'Расчет субсидий'!L344</f>
        <v>-95.909090909090935</v>
      </c>
      <c r="C342" s="54">
        <f>'Расчет субсидий'!D344-1</f>
        <v>-0.40086367359094621</v>
      </c>
      <c r="D342" s="54">
        <f>C342*'Расчет субсидий'!E344</f>
        <v>-6.0129551038641935</v>
      </c>
      <c r="E342" s="50">
        <f t="shared" si="38"/>
        <v>-95.909090909090935</v>
      </c>
      <c r="F342" s="54">
        <f>'Расчет субсидий'!F344-1</f>
        <v>0</v>
      </c>
      <c r="G342" s="54">
        <f>F342*'Расчет субсидий'!G344</f>
        <v>0</v>
      </c>
      <c r="H342" s="50">
        <f t="shared" si="35"/>
        <v>0</v>
      </c>
      <c r="I342" s="49">
        <f t="shared" si="36"/>
        <v>-6.0129551038641935</v>
      </c>
    </row>
    <row r="343" spans="1:9" ht="15" customHeight="1">
      <c r="A343" s="30" t="s">
        <v>322</v>
      </c>
      <c r="B343" s="51"/>
      <c r="C343" s="52"/>
      <c r="D343" s="52"/>
      <c r="E343" s="53"/>
      <c r="F343" s="53"/>
      <c r="G343" s="53"/>
      <c r="H343" s="53"/>
      <c r="I343" s="53"/>
    </row>
    <row r="344" spans="1:9" ht="15" customHeight="1">
      <c r="A344" s="31" t="s">
        <v>323</v>
      </c>
      <c r="B344" s="47">
        <f>'Расчет субсидий'!L346</f>
        <v>-29.609090909090909</v>
      </c>
      <c r="C344" s="54">
        <f>'Расчет субсидий'!D346-1</f>
        <v>-0.37128252788104077</v>
      </c>
      <c r="D344" s="54">
        <f>C344*'Расчет субсидий'!E346</f>
        <v>-5.5692379182156113</v>
      </c>
      <c r="E344" s="50">
        <f t="shared" ref="E344:E354" si="39">$B344*D344/$I344</f>
        <v>-29.609090909090909</v>
      </c>
      <c r="F344" s="54">
        <f>'Расчет субсидий'!F346-1</f>
        <v>0</v>
      </c>
      <c r="G344" s="54">
        <f>F344*'Расчет субсидий'!G346</f>
        <v>0</v>
      </c>
      <c r="H344" s="50">
        <f t="shared" si="35"/>
        <v>0</v>
      </c>
      <c r="I344" s="49">
        <f t="shared" si="36"/>
        <v>-5.5692379182156113</v>
      </c>
    </row>
    <row r="345" spans="1:9" ht="15" customHeight="1">
      <c r="A345" s="31" t="s">
        <v>324</v>
      </c>
      <c r="B345" s="47">
        <f>'Расчет субсидий'!L347</f>
        <v>-50.3</v>
      </c>
      <c r="C345" s="54">
        <f>'Расчет субсидий'!D347-1</f>
        <v>-0.57451923076923084</v>
      </c>
      <c r="D345" s="54">
        <f>C345*'Расчет субсидий'!E347</f>
        <v>-8.6177884615384635</v>
      </c>
      <c r="E345" s="50">
        <f t="shared" si="39"/>
        <v>-50.3</v>
      </c>
      <c r="F345" s="54">
        <f>'Расчет субсидий'!F347-1</f>
        <v>0</v>
      </c>
      <c r="G345" s="54">
        <f>F345*'Расчет субсидий'!G347</f>
        <v>0</v>
      </c>
      <c r="H345" s="50">
        <f t="shared" si="35"/>
        <v>0</v>
      </c>
      <c r="I345" s="49">
        <f t="shared" si="36"/>
        <v>-8.6177884615384635</v>
      </c>
    </row>
    <row r="346" spans="1:9" ht="15" customHeight="1">
      <c r="A346" s="31" t="s">
        <v>325</v>
      </c>
      <c r="B346" s="47">
        <f>'Расчет субсидий'!L348</f>
        <v>-46.72727272727272</v>
      </c>
      <c r="C346" s="54">
        <f>'Расчет субсидий'!D348-1</f>
        <v>-0.41006523765144454</v>
      </c>
      <c r="D346" s="54">
        <f>C346*'Расчет субсидий'!E348</f>
        <v>-6.1509785647716679</v>
      </c>
      <c r="E346" s="50">
        <f t="shared" si="39"/>
        <v>-46.72727272727272</v>
      </c>
      <c r="F346" s="54">
        <f>'Расчет субсидий'!F348-1</f>
        <v>0</v>
      </c>
      <c r="G346" s="54">
        <f>F346*'Расчет субсидий'!G348</f>
        <v>0</v>
      </c>
      <c r="H346" s="50">
        <f t="shared" si="35"/>
        <v>0</v>
      </c>
      <c r="I346" s="49">
        <f t="shared" si="36"/>
        <v>-6.1509785647716679</v>
      </c>
    </row>
    <row r="347" spans="1:9" ht="15" customHeight="1">
      <c r="A347" s="31" t="s">
        <v>326</v>
      </c>
      <c r="B347" s="47">
        <f>'Расчет субсидий'!L349</f>
        <v>-42.127272727272725</v>
      </c>
      <c r="C347" s="54">
        <f>'Расчет субсидий'!D349-1</f>
        <v>-0.38653366583541149</v>
      </c>
      <c r="D347" s="54">
        <f>C347*'Расчет субсидий'!E349</f>
        <v>-5.7980049875311721</v>
      </c>
      <c r="E347" s="50">
        <f t="shared" si="39"/>
        <v>-42.127272727272725</v>
      </c>
      <c r="F347" s="54">
        <f>'Расчет субсидий'!F349-1</f>
        <v>0</v>
      </c>
      <c r="G347" s="54">
        <f>F347*'Расчет субсидий'!G349</f>
        <v>0</v>
      </c>
      <c r="H347" s="50">
        <f t="shared" si="35"/>
        <v>0</v>
      </c>
      <c r="I347" s="49">
        <f t="shared" si="36"/>
        <v>-5.7980049875311721</v>
      </c>
    </row>
    <row r="348" spans="1:9" ht="15" customHeight="1">
      <c r="A348" s="31" t="s">
        <v>327</v>
      </c>
      <c r="B348" s="47">
        <f>'Расчет субсидий'!L350</f>
        <v>-3.7090909090909037</v>
      </c>
      <c r="C348" s="54">
        <f>'Расчет субсидий'!D350-1</f>
        <v>-5.8539944903581276E-2</v>
      </c>
      <c r="D348" s="54">
        <f>C348*'Расчет субсидий'!E350</f>
        <v>-0.87809917355371914</v>
      </c>
      <c r="E348" s="50">
        <f t="shared" si="39"/>
        <v>-3.7090909090909037</v>
      </c>
      <c r="F348" s="54">
        <f>'Расчет субсидий'!F350-1</f>
        <v>0</v>
      </c>
      <c r="G348" s="54">
        <f>F348*'Расчет субсидий'!G350</f>
        <v>0</v>
      </c>
      <c r="H348" s="50">
        <f t="shared" si="35"/>
        <v>0</v>
      </c>
      <c r="I348" s="49">
        <f t="shared" si="36"/>
        <v>-0.87809917355371914</v>
      </c>
    </row>
    <row r="349" spans="1:9" ht="15" customHeight="1">
      <c r="A349" s="31" t="s">
        <v>328</v>
      </c>
      <c r="B349" s="47">
        <f>'Расчет субсидий'!L351</f>
        <v>-24.754545454545465</v>
      </c>
      <c r="C349" s="54">
        <f>'Расчет субсидий'!D351-1</f>
        <v>-0.29594477998274382</v>
      </c>
      <c r="D349" s="54">
        <f>C349*'Расчет субсидий'!E351</f>
        <v>-4.4391716997411574</v>
      </c>
      <c r="E349" s="50">
        <f t="shared" si="39"/>
        <v>-24.754545454545465</v>
      </c>
      <c r="F349" s="54">
        <f>'Расчет субсидий'!F351-1</f>
        <v>0</v>
      </c>
      <c r="G349" s="54">
        <f>F349*'Расчет субсидий'!G351</f>
        <v>0</v>
      </c>
      <c r="H349" s="50">
        <f t="shared" si="35"/>
        <v>0</v>
      </c>
      <c r="I349" s="49">
        <f t="shared" si="36"/>
        <v>-4.4391716997411574</v>
      </c>
    </row>
    <row r="350" spans="1:9" ht="15" customHeight="1">
      <c r="A350" s="31" t="s">
        <v>329</v>
      </c>
      <c r="B350" s="47">
        <f>'Расчет субсидий'!L352</f>
        <v>-50.209090909090904</v>
      </c>
      <c r="C350" s="54">
        <f>'Расчет субсидий'!D352-1</f>
        <v>-0.54410256410256408</v>
      </c>
      <c r="D350" s="54">
        <f>C350*'Расчет субсидий'!E352</f>
        <v>-8.161538461538461</v>
      </c>
      <c r="E350" s="50">
        <f t="shared" si="39"/>
        <v>-50.209090909090904</v>
      </c>
      <c r="F350" s="54">
        <f>'Расчет субсидий'!F352-1</f>
        <v>0</v>
      </c>
      <c r="G350" s="54">
        <f>F350*'Расчет субсидий'!G352</f>
        <v>0</v>
      </c>
      <c r="H350" s="50">
        <f t="shared" si="35"/>
        <v>0</v>
      </c>
      <c r="I350" s="49">
        <f t="shared" si="36"/>
        <v>-8.161538461538461</v>
      </c>
    </row>
    <row r="351" spans="1:9" ht="15" customHeight="1">
      <c r="A351" s="31" t="s">
        <v>330</v>
      </c>
      <c r="B351" s="47">
        <f>'Расчет субсидий'!L353</f>
        <v>-33.418181818181807</v>
      </c>
      <c r="C351" s="54">
        <f>'Расчет субсидий'!D353-1</f>
        <v>-0.51647058823529413</v>
      </c>
      <c r="D351" s="54">
        <f>C351*'Расчет субсидий'!E353</f>
        <v>-7.7470588235294118</v>
      </c>
      <c r="E351" s="50">
        <f t="shared" si="39"/>
        <v>-33.418181818181807</v>
      </c>
      <c r="F351" s="54">
        <f>'Расчет субсидий'!F353-1</f>
        <v>0</v>
      </c>
      <c r="G351" s="54">
        <f>F351*'Расчет субсидий'!G353</f>
        <v>0</v>
      </c>
      <c r="H351" s="50">
        <f t="shared" si="35"/>
        <v>0</v>
      </c>
      <c r="I351" s="49">
        <f t="shared" si="36"/>
        <v>-7.7470588235294118</v>
      </c>
    </row>
    <row r="352" spans="1:9" ht="15" customHeight="1">
      <c r="A352" s="31" t="s">
        <v>331</v>
      </c>
      <c r="B352" s="47">
        <f>'Расчет субсидий'!L354</f>
        <v>-11.73636363636362</v>
      </c>
      <c r="C352" s="54">
        <f>'Расчет субсидий'!D354-1</f>
        <v>-0.11670606776989745</v>
      </c>
      <c r="D352" s="54">
        <f>C352*'Расчет субсидий'!E354</f>
        <v>-1.7505910165484617</v>
      </c>
      <c r="E352" s="50">
        <f t="shared" si="39"/>
        <v>-11.73636363636362</v>
      </c>
      <c r="F352" s="54">
        <f>'Расчет субсидий'!F354-1</f>
        <v>0</v>
      </c>
      <c r="G352" s="54">
        <f>F352*'Расчет субсидий'!G354</f>
        <v>0</v>
      </c>
      <c r="H352" s="50">
        <f t="shared" si="35"/>
        <v>0</v>
      </c>
      <c r="I352" s="49">
        <f t="shared" si="36"/>
        <v>-1.7505910165484617</v>
      </c>
    </row>
    <row r="353" spans="1:9" ht="15" customHeight="1">
      <c r="A353" s="31" t="s">
        <v>332</v>
      </c>
      <c r="B353" s="47">
        <f>'Расчет субсидий'!L355</f>
        <v>-36.127272727272732</v>
      </c>
      <c r="C353" s="54">
        <f>'Расчет субсидий'!D355-1</f>
        <v>-0.60950764006791169</v>
      </c>
      <c r="D353" s="54">
        <f>C353*'Расчет субсидий'!E355</f>
        <v>-9.1426146010186748</v>
      </c>
      <c r="E353" s="50">
        <f t="shared" si="39"/>
        <v>-36.127272727272732</v>
      </c>
      <c r="F353" s="54">
        <f>'Расчет субсидий'!F355-1</f>
        <v>0</v>
      </c>
      <c r="G353" s="54">
        <f>F353*'Расчет субсидий'!G355</f>
        <v>0</v>
      </c>
      <c r="H353" s="50">
        <f t="shared" si="35"/>
        <v>0</v>
      </c>
      <c r="I353" s="49">
        <f t="shared" si="36"/>
        <v>-9.1426146010186748</v>
      </c>
    </row>
    <row r="354" spans="1:9" ht="15" customHeight="1">
      <c r="A354" s="31" t="s">
        <v>333</v>
      </c>
      <c r="B354" s="47">
        <f>'Расчет субсидий'!L356</f>
        <v>-53.61818181818181</v>
      </c>
      <c r="C354" s="54">
        <f>'Расчет субсидий'!D356-1</f>
        <v>-0.63970196913251731</v>
      </c>
      <c r="D354" s="54">
        <f>C354*'Расчет субсидий'!E356</f>
        <v>-9.59552953698776</v>
      </c>
      <c r="E354" s="50">
        <f t="shared" si="39"/>
        <v>-53.61818181818181</v>
      </c>
      <c r="F354" s="54">
        <f>'Расчет субсидий'!F356-1</f>
        <v>0</v>
      </c>
      <c r="G354" s="54">
        <f>F354*'Расчет субсидий'!G356</f>
        <v>0</v>
      </c>
      <c r="H354" s="50">
        <f t="shared" si="35"/>
        <v>0</v>
      </c>
      <c r="I354" s="49">
        <f t="shared" si="36"/>
        <v>-9.59552953698776</v>
      </c>
    </row>
    <row r="355" spans="1:9" ht="15" customHeight="1">
      <c r="A355" s="30" t="s">
        <v>334</v>
      </c>
      <c r="B355" s="51"/>
      <c r="C355" s="52"/>
      <c r="D355" s="52"/>
      <c r="E355" s="53"/>
      <c r="F355" s="53"/>
      <c r="G355" s="53"/>
      <c r="H355" s="53"/>
      <c r="I355" s="53"/>
    </row>
    <row r="356" spans="1:9" ht="15" customHeight="1">
      <c r="A356" s="31" t="s">
        <v>335</v>
      </c>
      <c r="B356" s="47">
        <f>'Расчет субсидий'!L358</f>
        <v>-49.563636363636363</v>
      </c>
      <c r="C356" s="54">
        <f>'Расчет субсидий'!D358-1</f>
        <v>-0.77611940298507465</v>
      </c>
      <c r="D356" s="54">
        <f>C356*'Расчет субсидий'!E358</f>
        <v>-11.64179104477612</v>
      </c>
      <c r="E356" s="50">
        <f t="shared" ref="E356:E365" si="40">$B356*D356/$I356</f>
        <v>-49.563636363636363</v>
      </c>
      <c r="F356" s="54">
        <f>'Расчет субсидий'!F358-1</f>
        <v>0</v>
      </c>
      <c r="G356" s="54">
        <f>F356*'Расчет субсидий'!G358</f>
        <v>0</v>
      </c>
      <c r="H356" s="50">
        <f t="shared" si="35"/>
        <v>0</v>
      </c>
      <c r="I356" s="49">
        <f t="shared" si="36"/>
        <v>-11.64179104477612</v>
      </c>
    </row>
    <row r="357" spans="1:9" ht="15" customHeight="1">
      <c r="A357" s="31" t="s">
        <v>50</v>
      </c>
      <c r="B357" s="47">
        <f>'Расчет субсидий'!L359</f>
        <v>-77.409090909090907</v>
      </c>
      <c r="C357" s="54">
        <f>'Расчет субсидий'!D359-1</f>
        <v>-0.53092105263157896</v>
      </c>
      <c r="D357" s="54">
        <f>C357*'Расчет субсидий'!E359</f>
        <v>-7.9638157894736841</v>
      </c>
      <c r="E357" s="50">
        <f t="shared" si="40"/>
        <v>-77.409090909090907</v>
      </c>
      <c r="F357" s="54">
        <f>'Расчет субсидий'!F359-1</f>
        <v>0</v>
      </c>
      <c r="G357" s="54">
        <f>F357*'Расчет субсидий'!G359</f>
        <v>0</v>
      </c>
      <c r="H357" s="50">
        <f t="shared" si="35"/>
        <v>0</v>
      </c>
      <c r="I357" s="49">
        <f t="shared" si="36"/>
        <v>-7.9638157894736841</v>
      </c>
    </row>
    <row r="358" spans="1:9" ht="15" customHeight="1">
      <c r="A358" s="31" t="s">
        <v>336</v>
      </c>
      <c r="B358" s="47">
        <f>'Расчет субсидий'!L360</f>
        <v>12.627272727272739</v>
      </c>
      <c r="C358" s="54">
        <f>'Расчет субсидий'!D360-1</f>
        <v>0.16756756756756763</v>
      </c>
      <c r="D358" s="54">
        <f>C358*'Расчет субсидий'!E360</f>
        <v>2.5135135135135145</v>
      </c>
      <c r="E358" s="50">
        <f t="shared" si="40"/>
        <v>12.627272727272739</v>
      </c>
      <c r="F358" s="54">
        <f>'Расчет субсидий'!F360-1</f>
        <v>0</v>
      </c>
      <c r="G358" s="54">
        <f>F358*'Расчет субсидий'!G360</f>
        <v>0</v>
      </c>
      <c r="H358" s="50">
        <f t="shared" si="35"/>
        <v>0</v>
      </c>
      <c r="I358" s="49">
        <f t="shared" si="36"/>
        <v>2.5135135135135145</v>
      </c>
    </row>
    <row r="359" spans="1:9" ht="15" customHeight="1">
      <c r="A359" s="31" t="s">
        <v>337</v>
      </c>
      <c r="B359" s="47">
        <f>'Расчет субсидий'!L361</f>
        <v>-25.981818181818184</v>
      </c>
      <c r="C359" s="54">
        <f>'Расчет субсидий'!D361-1</f>
        <v>-0.4158681487159831</v>
      </c>
      <c r="D359" s="54">
        <f>C359*'Расчет субсидий'!E361</f>
        <v>-6.2380222307397464</v>
      </c>
      <c r="E359" s="50">
        <f t="shared" si="40"/>
        <v>-25.981818181818184</v>
      </c>
      <c r="F359" s="54">
        <f>'Расчет субсидий'!F361-1</f>
        <v>0</v>
      </c>
      <c r="G359" s="54">
        <f>F359*'Расчет субсидий'!G361</f>
        <v>0</v>
      </c>
      <c r="H359" s="50">
        <f t="shared" si="35"/>
        <v>0</v>
      </c>
      <c r="I359" s="49">
        <f t="shared" si="36"/>
        <v>-6.2380222307397464</v>
      </c>
    </row>
    <row r="360" spans="1:9" ht="15" customHeight="1">
      <c r="A360" s="31" t="s">
        <v>338</v>
      </c>
      <c r="B360" s="47">
        <f>'Расчет субсидий'!L362</f>
        <v>19.463636363636354</v>
      </c>
      <c r="C360" s="54">
        <f>'Расчет субсидий'!D362-1</f>
        <v>0.27866844207723029</v>
      </c>
      <c r="D360" s="54">
        <f>C360*'Расчет субсидий'!E362</f>
        <v>4.1800266311584542</v>
      </c>
      <c r="E360" s="50">
        <f t="shared" si="40"/>
        <v>19.463636363636354</v>
      </c>
      <c r="F360" s="54">
        <f>'Расчет субсидий'!F362-1</f>
        <v>0</v>
      </c>
      <c r="G360" s="54">
        <f>F360*'Расчет субсидий'!G362</f>
        <v>0</v>
      </c>
      <c r="H360" s="50">
        <f t="shared" si="35"/>
        <v>0</v>
      </c>
      <c r="I360" s="49">
        <f t="shared" si="36"/>
        <v>4.1800266311584542</v>
      </c>
    </row>
    <row r="361" spans="1:9" ht="15" customHeight="1">
      <c r="A361" s="31" t="s">
        <v>339</v>
      </c>
      <c r="B361" s="47">
        <f>'Расчет субсидий'!L363</f>
        <v>-2.8</v>
      </c>
      <c r="C361" s="54">
        <f>'Расчет субсидий'!D363-1</f>
        <v>-0.67570801755085763</v>
      </c>
      <c r="D361" s="54">
        <f>C361*'Расчет субсидий'!E363</f>
        <v>-10.135620263262865</v>
      </c>
      <c r="E361" s="50">
        <f t="shared" si="40"/>
        <v>-2.8</v>
      </c>
      <c r="F361" s="54">
        <f>'Расчет субсидий'!F363-1</f>
        <v>0</v>
      </c>
      <c r="G361" s="54">
        <f>F361*'Расчет субсидий'!G363</f>
        <v>0</v>
      </c>
      <c r="H361" s="50">
        <f t="shared" si="35"/>
        <v>0</v>
      </c>
      <c r="I361" s="49">
        <f t="shared" si="36"/>
        <v>-10.135620263262865</v>
      </c>
    </row>
    <row r="362" spans="1:9" ht="15" customHeight="1">
      <c r="A362" s="31" t="s">
        <v>340</v>
      </c>
      <c r="B362" s="47">
        <f>'Расчет субсидий'!L364</f>
        <v>-29.872727272727261</v>
      </c>
      <c r="C362" s="54">
        <f>'Расчет субсидий'!D364-1</f>
        <v>-0.39809193408499555</v>
      </c>
      <c r="D362" s="54">
        <f>C362*'Расчет субсидий'!E364</f>
        <v>-5.9713790112749336</v>
      </c>
      <c r="E362" s="50">
        <f t="shared" si="40"/>
        <v>-29.872727272727261</v>
      </c>
      <c r="F362" s="54">
        <f>'Расчет субсидий'!F364-1</f>
        <v>0</v>
      </c>
      <c r="G362" s="54">
        <f>F362*'Расчет субсидий'!G364</f>
        <v>0</v>
      </c>
      <c r="H362" s="50">
        <f t="shared" si="35"/>
        <v>0</v>
      </c>
      <c r="I362" s="49">
        <f t="shared" si="36"/>
        <v>-5.9713790112749336</v>
      </c>
    </row>
    <row r="363" spans="1:9" ht="15" customHeight="1">
      <c r="A363" s="31" t="s">
        <v>341</v>
      </c>
      <c r="B363" s="47">
        <f>'Расчет субсидий'!L365</f>
        <v>-61.981818181818184</v>
      </c>
      <c r="C363" s="54">
        <f>'Расчет субсидий'!D365-1</f>
        <v>-0.6529492455418382</v>
      </c>
      <c r="D363" s="54">
        <f>C363*'Расчет субсидий'!E365</f>
        <v>-9.7942386831275723</v>
      </c>
      <c r="E363" s="50">
        <f t="shared" si="40"/>
        <v>-61.981818181818177</v>
      </c>
      <c r="F363" s="54">
        <f>'Расчет субсидий'!F365-1</f>
        <v>0</v>
      </c>
      <c r="G363" s="54">
        <f>F363*'Расчет субсидий'!G365</f>
        <v>0</v>
      </c>
      <c r="H363" s="50">
        <f t="shared" si="35"/>
        <v>0</v>
      </c>
      <c r="I363" s="49">
        <f t="shared" si="36"/>
        <v>-9.7942386831275723</v>
      </c>
    </row>
    <row r="364" spans="1:9" ht="15" customHeight="1">
      <c r="A364" s="31" t="s">
        <v>342</v>
      </c>
      <c r="B364" s="47">
        <f>'Расчет субсидий'!L366</f>
        <v>-29.400000000000006</v>
      </c>
      <c r="C364" s="54">
        <f>'Расчет субсидий'!D366-1</f>
        <v>-0.43310657596371882</v>
      </c>
      <c r="D364" s="54">
        <f>C364*'Расчет субсидий'!E366</f>
        <v>-6.4965986394557822</v>
      </c>
      <c r="E364" s="50">
        <f t="shared" si="40"/>
        <v>-29.400000000000006</v>
      </c>
      <c r="F364" s="54">
        <f>'Расчет субсидий'!F366-1</f>
        <v>0</v>
      </c>
      <c r="G364" s="54">
        <f>F364*'Расчет субсидий'!G366</f>
        <v>0</v>
      </c>
      <c r="H364" s="50">
        <f t="shared" si="35"/>
        <v>0</v>
      </c>
      <c r="I364" s="49">
        <f t="shared" si="36"/>
        <v>-6.4965986394557822</v>
      </c>
    </row>
    <row r="365" spans="1:9" ht="15" customHeight="1">
      <c r="A365" s="31" t="s">
        <v>343</v>
      </c>
      <c r="B365" s="47">
        <f>'Расчет субсидий'!L367</f>
        <v>22.290909090909082</v>
      </c>
      <c r="C365" s="54">
        <f>'Расчет субсидий'!D367-1</f>
        <v>0.2114918270225532</v>
      </c>
      <c r="D365" s="54">
        <f>C365*'Расчет субсидий'!E367</f>
        <v>3.172377405338298</v>
      </c>
      <c r="E365" s="50">
        <f t="shared" si="40"/>
        <v>22.290909090909082</v>
      </c>
      <c r="F365" s="54">
        <f>'Расчет субсидий'!F367-1</f>
        <v>0</v>
      </c>
      <c r="G365" s="54">
        <f>F365*'Расчет субсидий'!G367</f>
        <v>0</v>
      </c>
      <c r="H365" s="50">
        <f t="shared" si="35"/>
        <v>0</v>
      </c>
      <c r="I365" s="49">
        <f t="shared" si="36"/>
        <v>3.172377405338298</v>
      </c>
    </row>
    <row r="366" spans="1:9" ht="15" customHeight="1">
      <c r="A366" s="30" t="s">
        <v>344</v>
      </c>
      <c r="B366" s="51"/>
      <c r="C366" s="52"/>
      <c r="D366" s="52"/>
      <c r="E366" s="53"/>
      <c r="F366" s="53"/>
      <c r="G366" s="53"/>
      <c r="H366" s="53"/>
      <c r="I366" s="53"/>
    </row>
    <row r="367" spans="1:9" ht="15" customHeight="1">
      <c r="A367" s="31" t="s">
        <v>345</v>
      </c>
      <c r="B367" s="47">
        <f>'Расчет субсидий'!L369</f>
        <v>-47.909090909090907</v>
      </c>
      <c r="C367" s="54">
        <f>'Расчет субсидий'!D369-1</f>
        <v>-0.43850611719253063</v>
      </c>
      <c r="D367" s="54">
        <f>C367*'Расчет субсидий'!E369</f>
        <v>-6.5775917578879595</v>
      </c>
      <c r="E367" s="50">
        <f t="shared" ref="E367:E378" si="41">$B367*D367/$I367</f>
        <v>-47.909090909090907</v>
      </c>
      <c r="F367" s="54">
        <f>'Расчет субсидий'!F369-1</f>
        <v>0</v>
      </c>
      <c r="G367" s="54">
        <f>F367*'Расчет субсидий'!G369</f>
        <v>0</v>
      </c>
      <c r="H367" s="50">
        <f t="shared" si="35"/>
        <v>0</v>
      </c>
      <c r="I367" s="49">
        <f t="shared" si="36"/>
        <v>-6.5775917578879595</v>
      </c>
    </row>
    <row r="368" spans="1:9" ht="15" customHeight="1">
      <c r="A368" s="31" t="s">
        <v>346</v>
      </c>
      <c r="B368" s="47">
        <f>'Расчет субсидий'!L370</f>
        <v>30.636363636363626</v>
      </c>
      <c r="C368" s="54">
        <f>'Расчет субсидий'!D370-1</f>
        <v>0.30000000000000004</v>
      </c>
      <c r="D368" s="54">
        <f>C368*'Расчет субсидий'!E370</f>
        <v>4.5000000000000009</v>
      </c>
      <c r="E368" s="50">
        <f t="shared" si="41"/>
        <v>30.636363636363626</v>
      </c>
      <c r="F368" s="54">
        <f>'Расчет субсидий'!F370-1</f>
        <v>0</v>
      </c>
      <c r="G368" s="54">
        <f>F368*'Расчет субсидий'!G370</f>
        <v>0</v>
      </c>
      <c r="H368" s="50">
        <f t="shared" si="35"/>
        <v>0</v>
      </c>
      <c r="I368" s="49">
        <f t="shared" si="36"/>
        <v>4.5000000000000009</v>
      </c>
    </row>
    <row r="369" spans="1:10" ht="15" customHeight="1">
      <c r="A369" s="31" t="s">
        <v>347</v>
      </c>
      <c r="B369" s="47">
        <f>'Расчет субсидий'!L371</f>
        <v>0.27272727272727271</v>
      </c>
      <c r="C369" s="54">
        <f>'Расчет субсидий'!D371-1</f>
        <v>0.30000000000000004</v>
      </c>
      <c r="D369" s="54">
        <f>C369*'Расчет субсидий'!E371</f>
        <v>4.5000000000000009</v>
      </c>
      <c r="E369" s="50">
        <f t="shared" si="41"/>
        <v>0.27272727272727271</v>
      </c>
      <c r="F369" s="54">
        <f>'Расчет субсидий'!F371-1</f>
        <v>0</v>
      </c>
      <c r="G369" s="54">
        <f>F369*'Расчет субсидий'!G371</f>
        <v>0</v>
      </c>
      <c r="H369" s="50">
        <f t="shared" si="35"/>
        <v>0</v>
      </c>
      <c r="I369" s="49">
        <f t="shared" si="36"/>
        <v>4.5000000000000009</v>
      </c>
    </row>
    <row r="370" spans="1:10" ht="15" customHeight="1">
      <c r="A370" s="31" t="s">
        <v>348</v>
      </c>
      <c r="B370" s="47">
        <f>'Расчет субсидий'!L372</f>
        <v>49.109090909090924</v>
      </c>
      <c r="C370" s="54">
        <f>'Расчет субсидий'!D372-1</f>
        <v>0.2869212410501194</v>
      </c>
      <c r="D370" s="54">
        <f>C370*'Расчет субсидий'!E372</f>
        <v>4.3038186157517906</v>
      </c>
      <c r="E370" s="50">
        <f t="shared" si="41"/>
        <v>49.109090909090924</v>
      </c>
      <c r="F370" s="54">
        <f>'Расчет субсидий'!F372-1</f>
        <v>0</v>
      </c>
      <c r="G370" s="54">
        <f>F370*'Расчет субсидий'!G372</f>
        <v>0</v>
      </c>
      <c r="H370" s="50">
        <f t="shared" si="35"/>
        <v>0</v>
      </c>
      <c r="I370" s="49">
        <f t="shared" si="36"/>
        <v>4.3038186157517906</v>
      </c>
    </row>
    <row r="371" spans="1:10" ht="15" customHeight="1">
      <c r="A371" s="31" t="s">
        <v>349</v>
      </c>
      <c r="B371" s="47">
        <f>'Расчет субсидий'!L373</f>
        <v>-19.163636363636385</v>
      </c>
      <c r="C371" s="54">
        <f>'Расчет субсидий'!D373-1</f>
        <v>-0.14934456928838957</v>
      </c>
      <c r="D371" s="54">
        <f>C371*'Расчет субсидий'!E373</f>
        <v>-2.2401685393258437</v>
      </c>
      <c r="E371" s="50">
        <f t="shared" si="41"/>
        <v>-19.163636363636385</v>
      </c>
      <c r="F371" s="54">
        <f>'Расчет субсидий'!F373-1</f>
        <v>0</v>
      </c>
      <c r="G371" s="54">
        <f>F371*'Расчет субсидий'!G373</f>
        <v>0</v>
      </c>
      <c r="H371" s="50">
        <f t="shared" si="35"/>
        <v>0</v>
      </c>
      <c r="I371" s="49">
        <f t="shared" si="36"/>
        <v>-2.2401685393258437</v>
      </c>
    </row>
    <row r="372" spans="1:10" ht="15" customHeight="1">
      <c r="A372" s="31" t="s">
        <v>350</v>
      </c>
      <c r="B372" s="47">
        <f>'Расчет субсидий'!L374</f>
        <v>-23.599999999999994</v>
      </c>
      <c r="C372" s="54">
        <f>'Расчет субсидий'!D374-1</f>
        <v>-0.15652173913043477</v>
      </c>
      <c r="D372" s="54">
        <f>C372*'Расчет субсидий'!E374</f>
        <v>-2.3478260869565215</v>
      </c>
      <c r="E372" s="50">
        <f t="shared" si="41"/>
        <v>-23.599999999999994</v>
      </c>
      <c r="F372" s="54">
        <f>'Расчет субсидий'!F374-1</f>
        <v>0</v>
      </c>
      <c r="G372" s="54">
        <f>F372*'Расчет субсидий'!G374</f>
        <v>0</v>
      </c>
      <c r="H372" s="50">
        <f t="shared" si="35"/>
        <v>0</v>
      </c>
      <c r="I372" s="49">
        <f t="shared" si="36"/>
        <v>-2.3478260869565215</v>
      </c>
    </row>
    <row r="373" spans="1:10" ht="15" customHeight="1">
      <c r="A373" s="31" t="s">
        <v>351</v>
      </c>
      <c r="B373" s="47">
        <f>'Расчет субсидий'!L375</f>
        <v>-1.2727272727272805</v>
      </c>
      <c r="C373" s="54">
        <f>'Расчет субсидий'!D375-1</f>
        <v>-1.2012012012011963E-2</v>
      </c>
      <c r="D373" s="54">
        <f>C373*'Расчет субсидий'!E375</f>
        <v>-0.18018018018017945</v>
      </c>
      <c r="E373" s="50">
        <f t="shared" si="41"/>
        <v>-1.2727272727272805</v>
      </c>
      <c r="F373" s="54">
        <f>'Расчет субсидий'!F375-1</f>
        <v>0</v>
      </c>
      <c r="G373" s="54">
        <f>F373*'Расчет субсидий'!G375</f>
        <v>0</v>
      </c>
      <c r="H373" s="50">
        <f t="shared" si="35"/>
        <v>0</v>
      </c>
      <c r="I373" s="49">
        <f t="shared" si="36"/>
        <v>-0.18018018018017945</v>
      </c>
    </row>
    <row r="374" spans="1:10" ht="15" customHeight="1">
      <c r="A374" s="31" t="s">
        <v>352</v>
      </c>
      <c r="B374" s="47">
        <f>'Расчет субсидий'!L376</f>
        <v>-20.745454545454535</v>
      </c>
      <c r="C374" s="54">
        <f>'Расчет субсидий'!D376-1</f>
        <v>-0.23867809057527534</v>
      </c>
      <c r="D374" s="54">
        <f>C374*'Расчет субсидий'!E376</f>
        <v>-3.5801713586291299</v>
      </c>
      <c r="E374" s="50">
        <f t="shared" si="41"/>
        <v>-20.745454545454535</v>
      </c>
      <c r="F374" s="54">
        <f>'Расчет субсидий'!F376-1</f>
        <v>0</v>
      </c>
      <c r="G374" s="54">
        <f>F374*'Расчет субсидий'!G376</f>
        <v>0</v>
      </c>
      <c r="H374" s="50">
        <f t="shared" si="35"/>
        <v>0</v>
      </c>
      <c r="I374" s="49">
        <f t="shared" si="36"/>
        <v>-3.5801713586291299</v>
      </c>
    </row>
    <row r="375" spans="1:10" ht="15" customHeight="1">
      <c r="A375" s="31" t="s">
        <v>353</v>
      </c>
      <c r="B375" s="47">
        <f>'Расчет субсидий'!L377</f>
        <v>18.618181818181824</v>
      </c>
      <c r="C375" s="54">
        <f>'Расчет субсидий'!D377-1</f>
        <v>0.14171122994652419</v>
      </c>
      <c r="D375" s="54">
        <f>C375*'Расчет субсидий'!E377</f>
        <v>2.125668449197863</v>
      </c>
      <c r="E375" s="50">
        <f t="shared" si="41"/>
        <v>18.618181818181824</v>
      </c>
      <c r="F375" s="54">
        <f>'Расчет субсидий'!F377-1</f>
        <v>0</v>
      </c>
      <c r="G375" s="54">
        <f>F375*'Расчет субсидий'!G377</f>
        <v>0</v>
      </c>
      <c r="H375" s="50">
        <f t="shared" si="35"/>
        <v>0</v>
      </c>
      <c r="I375" s="49">
        <f t="shared" si="36"/>
        <v>2.125668449197863</v>
      </c>
    </row>
    <row r="376" spans="1:10" ht="15" customHeight="1">
      <c r="A376" s="31" t="s">
        <v>354</v>
      </c>
      <c r="B376" s="47">
        <f>'Расчет субсидий'!L378</f>
        <v>-3.6999999999999886</v>
      </c>
      <c r="C376" s="54">
        <f>'Расчет субсидий'!D378-1</f>
        <v>-3.7383177570093573E-2</v>
      </c>
      <c r="D376" s="54">
        <f>C376*'Расчет субсидий'!E378</f>
        <v>-0.5607476635514036</v>
      </c>
      <c r="E376" s="50">
        <f t="shared" si="41"/>
        <v>-3.6999999999999886</v>
      </c>
      <c r="F376" s="54">
        <f>'Расчет субсидий'!F378-1</f>
        <v>0</v>
      </c>
      <c r="G376" s="54">
        <f>F376*'Расчет субсидий'!G378</f>
        <v>0</v>
      </c>
      <c r="H376" s="50">
        <f t="shared" si="35"/>
        <v>0</v>
      </c>
      <c r="I376" s="49">
        <f t="shared" si="36"/>
        <v>-0.5607476635514036</v>
      </c>
    </row>
    <row r="377" spans="1:10" ht="15" customHeight="1">
      <c r="A377" s="31" t="s">
        <v>355</v>
      </c>
      <c r="B377" s="47">
        <f>'Расчет субсидий'!L379</f>
        <v>-15.900000000000006</v>
      </c>
      <c r="C377" s="54">
        <f>'Расчет субсидий'!D379-1</f>
        <v>-0.16509199403281949</v>
      </c>
      <c r="D377" s="54">
        <f>C377*'Расчет субсидий'!E379</f>
        <v>-2.4763799104922923</v>
      </c>
      <c r="E377" s="50">
        <f t="shared" si="41"/>
        <v>-15.900000000000006</v>
      </c>
      <c r="F377" s="54">
        <f>'Расчет субсидий'!F379-1</f>
        <v>0</v>
      </c>
      <c r="G377" s="54">
        <f>F377*'Расчет субсидий'!G379</f>
        <v>0</v>
      </c>
      <c r="H377" s="50">
        <f t="shared" ref="H377:H378" si="42">$B377*G377/$I377</f>
        <v>0</v>
      </c>
      <c r="I377" s="49">
        <f t="shared" ref="I377:I378" si="43">D377+G377</f>
        <v>-2.4763799104922923</v>
      </c>
    </row>
    <row r="378" spans="1:10" ht="15" customHeight="1">
      <c r="A378" s="31" t="s">
        <v>356</v>
      </c>
      <c r="B378" s="47">
        <f>'Расчет субсидий'!L380</f>
        <v>12.799999999999997</v>
      </c>
      <c r="C378" s="54">
        <f>'Расчет субсидий'!D380-1</f>
        <v>0.2047432816255188</v>
      </c>
      <c r="D378" s="54">
        <f>C378*'Расчет субсидий'!E380</f>
        <v>3.0711492243827818</v>
      </c>
      <c r="E378" s="50">
        <f t="shared" si="41"/>
        <v>12.799999999999997</v>
      </c>
      <c r="F378" s="54">
        <f>'Расчет субсидий'!F380-1</f>
        <v>0</v>
      </c>
      <c r="G378" s="54">
        <f>F378*'Расчет субсидий'!G380</f>
        <v>0</v>
      </c>
      <c r="H378" s="50">
        <f t="shared" si="42"/>
        <v>0</v>
      </c>
      <c r="I378" s="49">
        <f t="shared" si="43"/>
        <v>3.0711492243827818</v>
      </c>
    </row>
    <row r="379" spans="1:10" s="45" customFormat="1" ht="15" customHeight="1">
      <c r="A379" s="44" t="s">
        <v>364</v>
      </c>
      <c r="B379" s="48">
        <f>SUM(B6:B378)-B6-B17-B27-B55</f>
        <v>-6924.4545454545432</v>
      </c>
      <c r="C379" s="48"/>
      <c r="D379" s="48"/>
      <c r="E379" s="48">
        <f>E6+E17+E27+E55</f>
        <v>-6924.4545454545405</v>
      </c>
      <c r="F379" s="48"/>
      <c r="G379" s="48"/>
      <c r="H379" s="48">
        <f>H6+H17+H27+H55</f>
        <v>0</v>
      </c>
      <c r="I379" s="48"/>
      <c r="J379" s="22"/>
    </row>
  </sheetData>
  <mergeCells count="6">
    <mergeCell ref="A1:I1"/>
    <mergeCell ref="A3:A4"/>
    <mergeCell ref="B3:B4"/>
    <mergeCell ref="I3:I4"/>
    <mergeCell ref="C3:E3"/>
    <mergeCell ref="F3:H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2019-05-17T10:48:45Z</cp:lastPrinted>
  <dcterms:created xsi:type="dcterms:W3CDTF">2010-02-05T14:48:49Z</dcterms:created>
  <dcterms:modified xsi:type="dcterms:W3CDTF">2019-05-20T12:03:28Z</dcterms:modified>
</cp:coreProperties>
</file>