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субсидий'!$A$1:$BF$380</definedName>
  </definedNames>
  <calcPr calcId="125725"/>
</workbook>
</file>

<file path=xl/calcChain.xml><?xml version="1.0" encoding="utf-8"?>
<calcChain xmlns="http://schemas.openxmlformats.org/spreadsheetml/2006/main">
  <c r="AP378" i="7"/>
  <c r="AP57"/>
  <c r="AP54"/>
  <c r="AP28"/>
  <c r="AP18"/>
  <c r="AP16"/>
  <c r="W378" i="8"/>
  <c r="W377"/>
  <c r="W376"/>
  <c r="W375"/>
  <c r="W374"/>
  <c r="W373"/>
  <c r="W372"/>
  <c r="W371"/>
  <c r="W370"/>
  <c r="W369"/>
  <c r="W368"/>
  <c r="W367"/>
  <c r="W365"/>
  <c r="W364"/>
  <c r="W363"/>
  <c r="W362"/>
  <c r="W361"/>
  <c r="W360"/>
  <c r="W359"/>
  <c r="W358"/>
  <c r="W357"/>
  <c r="W356"/>
  <c r="W354"/>
  <c r="W353"/>
  <c r="W352"/>
  <c r="W351"/>
  <c r="W350"/>
  <c r="W349"/>
  <c r="W348"/>
  <c r="W347"/>
  <c r="W346"/>
  <c r="W345"/>
  <c r="W344"/>
  <c r="W342"/>
  <c r="W341"/>
  <c r="W340"/>
  <c r="W339"/>
  <c r="W338"/>
  <c r="W337"/>
  <c r="W336"/>
  <c r="W335"/>
  <c r="W334"/>
  <c r="W333"/>
  <c r="W332"/>
  <c r="W330"/>
  <c r="W329"/>
  <c r="W328"/>
  <c r="W327"/>
  <c r="W326"/>
  <c r="W325"/>
  <c r="W324"/>
  <c r="W323"/>
  <c r="W322"/>
  <c r="W321"/>
  <c r="W320"/>
  <c r="W319"/>
  <c r="W318"/>
  <c r="W317"/>
  <c r="W316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1"/>
  <c r="W270"/>
  <c r="W269"/>
  <c r="W268"/>
  <c r="W267"/>
  <c r="W266"/>
  <c r="W265"/>
  <c r="W263"/>
  <c r="W262"/>
  <c r="W261"/>
  <c r="W260"/>
  <c r="W259"/>
  <c r="W258"/>
  <c r="W257"/>
  <c r="W256"/>
  <c r="W255"/>
  <c r="W254"/>
  <c r="W253"/>
  <c r="W252"/>
  <c r="W251"/>
  <c r="W250"/>
  <c r="W249"/>
  <c r="W247"/>
  <c r="W246"/>
  <c r="W245"/>
  <c r="W244"/>
  <c r="W243"/>
  <c r="W242"/>
  <c r="W241"/>
  <c r="W240"/>
  <c r="W238"/>
  <c r="W237"/>
  <c r="W236"/>
  <c r="W235"/>
  <c r="W234"/>
  <c r="W233"/>
  <c r="W232"/>
  <c r="W231"/>
  <c r="W230"/>
  <c r="W228"/>
  <c r="W227"/>
  <c r="W226"/>
  <c r="W225"/>
  <c r="W224"/>
  <c r="W223"/>
  <c r="W222"/>
  <c r="W221"/>
  <c r="W220"/>
  <c r="W219"/>
  <c r="W218"/>
  <c r="W217"/>
  <c r="W216"/>
  <c r="W214"/>
  <c r="W213"/>
  <c r="W212"/>
  <c r="W211"/>
  <c r="W210"/>
  <c r="W209"/>
  <c r="W208"/>
  <c r="W207"/>
  <c r="W206"/>
  <c r="W205"/>
  <c r="W204"/>
  <c r="W203"/>
  <c r="W201"/>
  <c r="W200"/>
  <c r="W199"/>
  <c r="W198"/>
  <c r="W197"/>
  <c r="W196"/>
  <c r="W195"/>
  <c r="W194"/>
  <c r="W193"/>
  <c r="W192"/>
  <c r="W191"/>
  <c r="W190"/>
  <c r="W189"/>
  <c r="W187"/>
  <c r="W186"/>
  <c r="W185"/>
  <c r="W184"/>
  <c r="W183"/>
  <c r="W182"/>
  <c r="W180"/>
  <c r="W179"/>
  <c r="W178"/>
  <c r="W177"/>
  <c r="W176"/>
  <c r="W175"/>
  <c r="W174"/>
  <c r="W173"/>
  <c r="W172"/>
  <c r="W171"/>
  <c r="W170"/>
  <c r="W169"/>
  <c r="W168"/>
  <c r="W166"/>
  <c r="W165"/>
  <c r="W164"/>
  <c r="W163"/>
  <c r="W162"/>
  <c r="W161"/>
  <c r="W160"/>
  <c r="W159"/>
  <c r="W158"/>
  <c r="W157"/>
  <c r="W156"/>
  <c r="W155"/>
  <c r="W153"/>
  <c r="W152"/>
  <c r="W151"/>
  <c r="W150"/>
  <c r="W149"/>
  <c r="W148"/>
  <c r="W146"/>
  <c r="W145"/>
  <c r="W144"/>
  <c r="W143"/>
  <c r="W142"/>
  <c r="W141"/>
  <c r="W140"/>
  <c r="W139"/>
  <c r="W137"/>
  <c r="W136"/>
  <c r="W135"/>
  <c r="W134"/>
  <c r="W133"/>
  <c r="W132"/>
  <c r="W131"/>
  <c r="W129"/>
  <c r="W128"/>
  <c r="W127"/>
  <c r="W126"/>
  <c r="W125"/>
  <c r="W124"/>
  <c r="W123"/>
  <c r="W122"/>
  <c r="W121"/>
  <c r="W120"/>
  <c r="W119"/>
  <c r="W118"/>
  <c r="W117"/>
  <c r="W116"/>
  <c r="W115"/>
  <c r="W113"/>
  <c r="W112"/>
  <c r="W111"/>
  <c r="W110"/>
  <c r="W109"/>
  <c r="W108"/>
  <c r="W107"/>
  <c r="W106"/>
  <c r="W105"/>
  <c r="W104"/>
  <c r="W103"/>
  <c r="W102"/>
  <c r="W101"/>
  <c r="W99"/>
  <c r="W98"/>
  <c r="W97"/>
  <c r="W96"/>
  <c r="W95"/>
  <c r="W94"/>
  <c r="W93"/>
  <c r="W92"/>
  <c r="W91"/>
  <c r="W89"/>
  <c r="W88"/>
  <c r="W87"/>
  <c r="W86"/>
  <c r="W85"/>
  <c r="W84"/>
  <c r="W83"/>
  <c r="W82"/>
  <c r="W80"/>
  <c r="W79"/>
  <c r="W78"/>
  <c r="W77"/>
  <c r="W76"/>
  <c r="W74"/>
  <c r="W73"/>
  <c r="W72"/>
  <c r="W71"/>
  <c r="W70"/>
  <c r="W69"/>
  <c r="W68"/>
  <c r="W67"/>
  <c r="W66"/>
  <c r="W65"/>
  <c r="W64"/>
  <c r="W63"/>
  <c r="W61"/>
  <c r="W60"/>
  <c r="W59"/>
  <c r="W58"/>
  <c r="W57"/>
  <c r="T378"/>
  <c r="T377"/>
  <c r="T376"/>
  <c r="T375"/>
  <c r="T374"/>
  <c r="T373"/>
  <c r="T372"/>
  <c r="T371"/>
  <c r="T370"/>
  <c r="T369"/>
  <c r="T368"/>
  <c r="T367"/>
  <c r="T365"/>
  <c r="T364"/>
  <c r="T363"/>
  <c r="T362"/>
  <c r="T361"/>
  <c r="T360"/>
  <c r="T359"/>
  <c r="T358"/>
  <c r="T357"/>
  <c r="T356"/>
  <c r="T354"/>
  <c r="T353"/>
  <c r="T352"/>
  <c r="T351"/>
  <c r="T350"/>
  <c r="T349"/>
  <c r="T348"/>
  <c r="T347"/>
  <c r="T346"/>
  <c r="T345"/>
  <c r="T344"/>
  <c r="T342"/>
  <c r="T341"/>
  <c r="T340"/>
  <c r="T339"/>
  <c r="T338"/>
  <c r="T337"/>
  <c r="T336"/>
  <c r="T335"/>
  <c r="T334"/>
  <c r="T333"/>
  <c r="T332"/>
  <c r="T330"/>
  <c r="T329"/>
  <c r="T328"/>
  <c r="T327"/>
  <c r="T326"/>
  <c r="T325"/>
  <c r="T324"/>
  <c r="T323"/>
  <c r="T322"/>
  <c r="T321"/>
  <c r="T320"/>
  <c r="T319"/>
  <c r="T318"/>
  <c r="T317"/>
  <c r="T316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1"/>
  <c r="T270"/>
  <c r="T269"/>
  <c r="T268"/>
  <c r="T267"/>
  <c r="T266"/>
  <c r="T265"/>
  <c r="T263"/>
  <c r="T262"/>
  <c r="T261"/>
  <c r="T260"/>
  <c r="T259"/>
  <c r="T258"/>
  <c r="T257"/>
  <c r="T256"/>
  <c r="T255"/>
  <c r="T254"/>
  <c r="T253"/>
  <c r="T252"/>
  <c r="T251"/>
  <c r="T250"/>
  <c r="T249"/>
  <c r="T247"/>
  <c r="T246"/>
  <c r="T245"/>
  <c r="T244"/>
  <c r="T243"/>
  <c r="T242"/>
  <c r="T241"/>
  <c r="T240"/>
  <c r="T238"/>
  <c r="T237"/>
  <c r="T236"/>
  <c r="T235"/>
  <c r="T234"/>
  <c r="T233"/>
  <c r="T232"/>
  <c r="T231"/>
  <c r="T230"/>
  <c r="T228"/>
  <c r="T227"/>
  <c r="T226"/>
  <c r="T225"/>
  <c r="T224"/>
  <c r="T223"/>
  <c r="T222"/>
  <c r="T221"/>
  <c r="T220"/>
  <c r="T219"/>
  <c r="T218"/>
  <c r="T217"/>
  <c r="T216"/>
  <c r="T214"/>
  <c r="T213"/>
  <c r="T212"/>
  <c r="T211"/>
  <c r="T210"/>
  <c r="T209"/>
  <c r="T208"/>
  <c r="T207"/>
  <c r="T206"/>
  <c r="T205"/>
  <c r="T204"/>
  <c r="T203"/>
  <c r="T201"/>
  <c r="T200"/>
  <c r="T199"/>
  <c r="T198"/>
  <c r="T197"/>
  <c r="T196"/>
  <c r="T195"/>
  <c r="T194"/>
  <c r="T193"/>
  <c r="T192"/>
  <c r="T191"/>
  <c r="T190"/>
  <c r="T189"/>
  <c r="T187"/>
  <c r="T186"/>
  <c r="T185"/>
  <c r="T184"/>
  <c r="T183"/>
  <c r="T182"/>
  <c r="T180"/>
  <c r="T179"/>
  <c r="T178"/>
  <c r="T177"/>
  <c r="T176"/>
  <c r="T175"/>
  <c r="T174"/>
  <c r="T173"/>
  <c r="T172"/>
  <c r="T171"/>
  <c r="T170"/>
  <c r="T169"/>
  <c r="T168"/>
  <c r="T166"/>
  <c r="T165"/>
  <c r="T164"/>
  <c r="T163"/>
  <c r="T162"/>
  <c r="T161"/>
  <c r="T160"/>
  <c r="T159"/>
  <c r="T158"/>
  <c r="T157"/>
  <c r="T156"/>
  <c r="T155"/>
  <c r="T153"/>
  <c r="T152"/>
  <c r="T151"/>
  <c r="T150"/>
  <c r="T149"/>
  <c r="T148"/>
  <c r="T146"/>
  <c r="T145"/>
  <c r="T144"/>
  <c r="T143"/>
  <c r="T142"/>
  <c r="T141"/>
  <c r="T140"/>
  <c r="T139"/>
  <c r="T137"/>
  <c r="T136"/>
  <c r="T135"/>
  <c r="T134"/>
  <c r="T133"/>
  <c r="T132"/>
  <c r="T131"/>
  <c r="T129"/>
  <c r="T128"/>
  <c r="T127"/>
  <c r="T126"/>
  <c r="T125"/>
  <c r="T124"/>
  <c r="T123"/>
  <c r="T122"/>
  <c r="T121"/>
  <c r="T120"/>
  <c r="T119"/>
  <c r="T118"/>
  <c r="T117"/>
  <c r="T116"/>
  <c r="T115"/>
  <c r="T113"/>
  <c r="T112"/>
  <c r="T111"/>
  <c r="T110"/>
  <c r="T109"/>
  <c r="T108"/>
  <c r="T107"/>
  <c r="T106"/>
  <c r="T105"/>
  <c r="T104"/>
  <c r="T103"/>
  <c r="T102"/>
  <c r="T101"/>
  <c r="T99"/>
  <c r="T98"/>
  <c r="T97"/>
  <c r="T96"/>
  <c r="T95"/>
  <c r="T94"/>
  <c r="T93"/>
  <c r="T92"/>
  <c r="T91"/>
  <c r="T89"/>
  <c r="T88"/>
  <c r="T87"/>
  <c r="T86"/>
  <c r="T85"/>
  <c r="T84"/>
  <c r="T83"/>
  <c r="T82"/>
  <c r="T80"/>
  <c r="T79"/>
  <c r="T78"/>
  <c r="T77"/>
  <c r="T76"/>
  <c r="T74"/>
  <c r="T73"/>
  <c r="T72"/>
  <c r="T71"/>
  <c r="T70"/>
  <c r="T69"/>
  <c r="T68"/>
  <c r="T67"/>
  <c r="T66"/>
  <c r="T65"/>
  <c r="T64"/>
  <c r="T63"/>
  <c r="T61"/>
  <c r="T60"/>
  <c r="T59"/>
  <c r="T58"/>
  <c r="T57"/>
  <c r="N378"/>
  <c r="N377"/>
  <c r="N376"/>
  <c r="N375"/>
  <c r="N374"/>
  <c r="N373"/>
  <c r="N372"/>
  <c r="N371"/>
  <c r="N370"/>
  <c r="N369"/>
  <c r="N368"/>
  <c r="N367"/>
  <c r="N365"/>
  <c r="N364"/>
  <c r="N363"/>
  <c r="N362"/>
  <c r="N361"/>
  <c r="N360"/>
  <c r="N359"/>
  <c r="N358"/>
  <c r="N357"/>
  <c r="N356"/>
  <c r="N354"/>
  <c r="N353"/>
  <c r="N352"/>
  <c r="N351"/>
  <c r="N350"/>
  <c r="N349"/>
  <c r="N348"/>
  <c r="N347"/>
  <c r="N346"/>
  <c r="N345"/>
  <c r="N344"/>
  <c r="N342"/>
  <c r="N341"/>
  <c r="N340"/>
  <c r="N339"/>
  <c r="N338"/>
  <c r="N337"/>
  <c r="N336"/>
  <c r="N335"/>
  <c r="N334"/>
  <c r="N333"/>
  <c r="N332"/>
  <c r="N330"/>
  <c r="N329"/>
  <c r="N328"/>
  <c r="N327"/>
  <c r="N326"/>
  <c r="N325"/>
  <c r="N324"/>
  <c r="N323"/>
  <c r="N322"/>
  <c r="N321"/>
  <c r="N320"/>
  <c r="N319"/>
  <c r="N318"/>
  <c r="N317"/>
  <c r="N316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1"/>
  <c r="N270"/>
  <c r="N269"/>
  <c r="N268"/>
  <c r="N267"/>
  <c r="N266"/>
  <c r="N265"/>
  <c r="N263"/>
  <c r="N262"/>
  <c r="N261"/>
  <c r="N260"/>
  <c r="N259"/>
  <c r="N258"/>
  <c r="N257"/>
  <c r="N256"/>
  <c r="N255"/>
  <c r="N254"/>
  <c r="N253"/>
  <c r="N252"/>
  <c r="N251"/>
  <c r="N250"/>
  <c r="N249"/>
  <c r="N247"/>
  <c r="N246"/>
  <c r="N245"/>
  <c r="N244"/>
  <c r="N243"/>
  <c r="N242"/>
  <c r="N241"/>
  <c r="N240"/>
  <c r="N238"/>
  <c r="N237"/>
  <c r="N236"/>
  <c r="N235"/>
  <c r="N234"/>
  <c r="N233"/>
  <c r="N232"/>
  <c r="N231"/>
  <c r="N230"/>
  <c r="N228"/>
  <c r="N227"/>
  <c r="N226"/>
  <c r="N225"/>
  <c r="N224"/>
  <c r="N223"/>
  <c r="N222"/>
  <c r="N221"/>
  <c r="N220"/>
  <c r="N219"/>
  <c r="N218"/>
  <c r="N217"/>
  <c r="N216"/>
  <c r="N214"/>
  <c r="N213"/>
  <c r="N212"/>
  <c r="N211"/>
  <c r="N210"/>
  <c r="N209"/>
  <c r="N208"/>
  <c r="N207"/>
  <c r="N206"/>
  <c r="N205"/>
  <c r="N204"/>
  <c r="N203"/>
  <c r="N201"/>
  <c r="N200"/>
  <c r="N199"/>
  <c r="N198"/>
  <c r="N197"/>
  <c r="N196"/>
  <c r="N195"/>
  <c r="N194"/>
  <c r="N193"/>
  <c r="N192"/>
  <c r="N191"/>
  <c r="N190"/>
  <c r="N189"/>
  <c r="N187"/>
  <c r="N186"/>
  <c r="N185"/>
  <c r="N184"/>
  <c r="N183"/>
  <c r="N182"/>
  <c r="N180"/>
  <c r="N179"/>
  <c r="N178"/>
  <c r="N177"/>
  <c r="N176"/>
  <c r="N175"/>
  <c r="N174"/>
  <c r="N173"/>
  <c r="N172"/>
  <c r="N171"/>
  <c r="N170"/>
  <c r="N169"/>
  <c r="N168"/>
  <c r="N166"/>
  <c r="N165"/>
  <c r="N164"/>
  <c r="N163"/>
  <c r="N162"/>
  <c r="N161"/>
  <c r="N160"/>
  <c r="N159"/>
  <c r="N158"/>
  <c r="N157"/>
  <c r="N156"/>
  <c r="N155"/>
  <c r="N153"/>
  <c r="N152"/>
  <c r="N151"/>
  <c r="N150"/>
  <c r="N149"/>
  <c r="N148"/>
  <c r="N146"/>
  <c r="N145"/>
  <c r="N144"/>
  <c r="N143"/>
  <c r="N142"/>
  <c r="N141"/>
  <c r="N140"/>
  <c r="N139"/>
  <c r="N137"/>
  <c r="N136"/>
  <c r="N135"/>
  <c r="N134"/>
  <c r="N133"/>
  <c r="N132"/>
  <c r="N131"/>
  <c r="N129"/>
  <c r="N128"/>
  <c r="N127"/>
  <c r="N126"/>
  <c r="N125"/>
  <c r="N124"/>
  <c r="N123"/>
  <c r="N122"/>
  <c r="N121"/>
  <c r="N120"/>
  <c r="N119"/>
  <c r="N118"/>
  <c r="N117"/>
  <c r="N116"/>
  <c r="N115"/>
  <c r="N113"/>
  <c r="N112"/>
  <c r="N111"/>
  <c r="N110"/>
  <c r="N109"/>
  <c r="N108"/>
  <c r="N107"/>
  <c r="N106"/>
  <c r="N105"/>
  <c r="N104"/>
  <c r="N103"/>
  <c r="N102"/>
  <c r="N101"/>
  <c r="N99"/>
  <c r="N98"/>
  <c r="N97"/>
  <c r="N96"/>
  <c r="N95"/>
  <c r="N94"/>
  <c r="N93"/>
  <c r="N92"/>
  <c r="N91"/>
  <c r="N89"/>
  <c r="N88"/>
  <c r="N87"/>
  <c r="N86"/>
  <c r="N85"/>
  <c r="N84"/>
  <c r="N83"/>
  <c r="N82"/>
  <c r="N80"/>
  <c r="N79"/>
  <c r="N78"/>
  <c r="N77"/>
  <c r="N76"/>
  <c r="N74"/>
  <c r="N73"/>
  <c r="N72"/>
  <c r="N71"/>
  <c r="N70"/>
  <c r="N69"/>
  <c r="N68"/>
  <c r="N67"/>
  <c r="N66"/>
  <c r="N65"/>
  <c r="N64"/>
  <c r="N63"/>
  <c r="N61"/>
  <c r="N60"/>
  <c r="N59"/>
  <c r="N58"/>
  <c r="N57"/>
  <c r="E378"/>
  <c r="E377"/>
  <c r="E376"/>
  <c r="E375"/>
  <c r="E374"/>
  <c r="E373"/>
  <c r="E372"/>
  <c r="E371"/>
  <c r="E370"/>
  <c r="E369"/>
  <c r="E368"/>
  <c r="E367"/>
  <c r="E365"/>
  <c r="E364"/>
  <c r="E363"/>
  <c r="E362"/>
  <c r="E361"/>
  <c r="E360"/>
  <c r="E359"/>
  <c r="E358"/>
  <c r="E357"/>
  <c r="E356"/>
  <c r="E354"/>
  <c r="E353"/>
  <c r="E352"/>
  <c r="E351"/>
  <c r="E350"/>
  <c r="E349"/>
  <c r="E348"/>
  <c r="E347"/>
  <c r="E346"/>
  <c r="E345"/>
  <c r="E344"/>
  <c r="E342"/>
  <c r="E341"/>
  <c r="E340"/>
  <c r="E339"/>
  <c r="E338"/>
  <c r="E337"/>
  <c r="E336"/>
  <c r="E335"/>
  <c r="E334"/>
  <c r="E333"/>
  <c r="E332"/>
  <c r="E330"/>
  <c r="E329"/>
  <c r="E328"/>
  <c r="E327"/>
  <c r="E326"/>
  <c r="E325"/>
  <c r="E324"/>
  <c r="E323"/>
  <c r="E322"/>
  <c r="E321"/>
  <c r="E320"/>
  <c r="E319"/>
  <c r="E318"/>
  <c r="E317"/>
  <c r="E316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1"/>
  <c r="E270"/>
  <c r="E269"/>
  <c r="E268"/>
  <c r="E267"/>
  <c r="E266"/>
  <c r="E265"/>
  <c r="E263"/>
  <c r="E262"/>
  <c r="E261"/>
  <c r="E260"/>
  <c r="E259"/>
  <c r="E258"/>
  <c r="E257"/>
  <c r="E256"/>
  <c r="E255"/>
  <c r="E254"/>
  <c r="E253"/>
  <c r="E252"/>
  <c r="E251"/>
  <c r="E250"/>
  <c r="E249"/>
  <c r="E247"/>
  <c r="E246"/>
  <c r="E245"/>
  <c r="E244"/>
  <c r="E243"/>
  <c r="E242"/>
  <c r="E241"/>
  <c r="E240"/>
  <c r="E238"/>
  <c r="E237"/>
  <c r="E236"/>
  <c r="E235"/>
  <c r="E234"/>
  <c r="E233"/>
  <c r="E232"/>
  <c r="E231"/>
  <c r="E230"/>
  <c r="E228"/>
  <c r="E227"/>
  <c r="E226"/>
  <c r="E225"/>
  <c r="E224"/>
  <c r="E223"/>
  <c r="E222"/>
  <c r="E221"/>
  <c r="E220"/>
  <c r="E219"/>
  <c r="E218"/>
  <c r="E217"/>
  <c r="E216"/>
  <c r="E214"/>
  <c r="E213"/>
  <c r="E212"/>
  <c r="E211"/>
  <c r="E210"/>
  <c r="E209"/>
  <c r="E208"/>
  <c r="E207"/>
  <c r="E206"/>
  <c r="E205"/>
  <c r="E204"/>
  <c r="E203"/>
  <c r="E201"/>
  <c r="E200"/>
  <c r="E199"/>
  <c r="E198"/>
  <c r="E197"/>
  <c r="E196"/>
  <c r="E195"/>
  <c r="E194"/>
  <c r="E193"/>
  <c r="E192"/>
  <c r="E191"/>
  <c r="E190"/>
  <c r="E189"/>
  <c r="E187"/>
  <c r="E186"/>
  <c r="E185"/>
  <c r="E184"/>
  <c r="E183"/>
  <c r="E182"/>
  <c r="E180"/>
  <c r="E179"/>
  <c r="E178"/>
  <c r="E177"/>
  <c r="E176"/>
  <c r="E175"/>
  <c r="E174"/>
  <c r="E173"/>
  <c r="E172"/>
  <c r="E171"/>
  <c r="E170"/>
  <c r="E169"/>
  <c r="E168"/>
  <c r="E166"/>
  <c r="E165"/>
  <c r="E164"/>
  <c r="E163"/>
  <c r="E162"/>
  <c r="E161"/>
  <c r="E160"/>
  <c r="E159"/>
  <c r="E158"/>
  <c r="E157"/>
  <c r="E156"/>
  <c r="E155"/>
  <c r="E153"/>
  <c r="E152"/>
  <c r="E151"/>
  <c r="E150"/>
  <c r="E149"/>
  <c r="E148"/>
  <c r="E146"/>
  <c r="E145"/>
  <c r="E144"/>
  <c r="E143"/>
  <c r="E142"/>
  <c r="E141"/>
  <c r="E140"/>
  <c r="E139"/>
  <c r="E137"/>
  <c r="E136"/>
  <c r="E135"/>
  <c r="E134"/>
  <c r="E133"/>
  <c r="E132"/>
  <c r="E131"/>
  <c r="E129"/>
  <c r="E128"/>
  <c r="E127"/>
  <c r="E126"/>
  <c r="E125"/>
  <c r="E124"/>
  <c r="E123"/>
  <c r="E122"/>
  <c r="E121"/>
  <c r="E120"/>
  <c r="E119"/>
  <c r="E118"/>
  <c r="E117"/>
  <c r="E116"/>
  <c r="E115"/>
  <c r="E113"/>
  <c r="E112"/>
  <c r="E111"/>
  <c r="E110"/>
  <c r="E109"/>
  <c r="E108"/>
  <c r="E107"/>
  <c r="E106"/>
  <c r="E105"/>
  <c r="E104"/>
  <c r="E103"/>
  <c r="E102"/>
  <c r="E101"/>
  <c r="E99"/>
  <c r="E98"/>
  <c r="E97"/>
  <c r="E96"/>
  <c r="E95"/>
  <c r="E94"/>
  <c r="E93"/>
  <c r="E92"/>
  <c r="E91"/>
  <c r="E89"/>
  <c r="E88"/>
  <c r="E87"/>
  <c r="E86"/>
  <c r="E85"/>
  <c r="E84"/>
  <c r="E83"/>
  <c r="E82"/>
  <c r="E80"/>
  <c r="E79"/>
  <c r="E78"/>
  <c r="E77"/>
  <c r="E76"/>
  <c r="E74"/>
  <c r="E73"/>
  <c r="E72"/>
  <c r="E71"/>
  <c r="E70"/>
  <c r="E69"/>
  <c r="E68"/>
  <c r="E67"/>
  <c r="E66"/>
  <c r="E65"/>
  <c r="E64"/>
  <c r="E63"/>
  <c r="E61"/>
  <c r="E60"/>
  <c r="E59"/>
  <c r="E58"/>
  <c r="E5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6"/>
  <c r="AF25"/>
  <c r="AF24"/>
  <c r="AF23"/>
  <c r="AF22"/>
  <c r="AF21"/>
  <c r="AF20"/>
  <c r="AF19"/>
  <c r="AF18"/>
  <c r="AF16"/>
  <c r="AF14"/>
  <c r="AF13"/>
  <c r="AF12"/>
  <c r="AF11"/>
  <c r="AF10"/>
  <c r="AF9"/>
  <c r="AF7"/>
  <c r="Q26"/>
  <c r="Q25"/>
  <c r="Q24"/>
  <c r="Q23"/>
  <c r="Q22"/>
  <c r="Q21"/>
  <c r="Q20"/>
  <c r="Q19"/>
  <c r="Q18"/>
  <c r="T16"/>
  <c r="T14"/>
  <c r="T13"/>
  <c r="T12"/>
  <c r="T11"/>
  <c r="T10"/>
  <c r="T9"/>
  <c r="T7"/>
  <c r="N16"/>
  <c r="N14"/>
  <c r="N13"/>
  <c r="N12"/>
  <c r="N11"/>
  <c r="N10"/>
  <c r="N9"/>
  <c r="N7"/>
  <c r="K16"/>
  <c r="K14"/>
  <c r="K13"/>
  <c r="K12"/>
  <c r="K11"/>
  <c r="K10"/>
  <c r="K9"/>
  <c r="K7"/>
  <c r="H16"/>
  <c r="H14"/>
  <c r="H13"/>
  <c r="H12"/>
  <c r="H11"/>
  <c r="H10"/>
  <c r="H9"/>
  <c r="H7"/>
  <c r="E16"/>
  <c r="E14"/>
  <c r="E13"/>
  <c r="E12"/>
  <c r="E11"/>
  <c r="E10"/>
  <c r="E9"/>
  <c r="BF7" i="7"/>
  <c r="AP58"/>
  <c r="AP59"/>
  <c r="AP60"/>
  <c r="AP61"/>
  <c r="AP63"/>
  <c r="AP64"/>
  <c r="AP65"/>
  <c r="AP66"/>
  <c r="AP67"/>
  <c r="AP68"/>
  <c r="AP69"/>
  <c r="AP70"/>
  <c r="AP71"/>
  <c r="AP72"/>
  <c r="AP73"/>
  <c r="AP74"/>
  <c r="AP76"/>
  <c r="AP77"/>
  <c r="AP78"/>
  <c r="AP79"/>
  <c r="AP80"/>
  <c r="AP82"/>
  <c r="AP83"/>
  <c r="AP84"/>
  <c r="AP85"/>
  <c r="AP86"/>
  <c r="AP87"/>
  <c r="AP88"/>
  <c r="AP89"/>
  <c r="AP91"/>
  <c r="AP92"/>
  <c r="AP93"/>
  <c r="AP94"/>
  <c r="AP95"/>
  <c r="AP96"/>
  <c r="AP97"/>
  <c r="AP98"/>
  <c r="AP99"/>
  <c r="AP101"/>
  <c r="AP102"/>
  <c r="AP103"/>
  <c r="AP104"/>
  <c r="AP105"/>
  <c r="AP106"/>
  <c r="AP107"/>
  <c r="AP108"/>
  <c r="AP109"/>
  <c r="AP110"/>
  <c r="AP111"/>
  <c r="AP112"/>
  <c r="AP113"/>
  <c r="AP115"/>
  <c r="AP116"/>
  <c r="AP117"/>
  <c r="AP118"/>
  <c r="AP119"/>
  <c r="AP120"/>
  <c r="AP121"/>
  <c r="AP122"/>
  <c r="AP123"/>
  <c r="AP124"/>
  <c r="AP125"/>
  <c r="AP126"/>
  <c r="AP127"/>
  <c r="AP128"/>
  <c r="AP129"/>
  <c r="AP131"/>
  <c r="AP132"/>
  <c r="AP133"/>
  <c r="AP134"/>
  <c r="AP135"/>
  <c r="AP136"/>
  <c r="AP137"/>
  <c r="AP139"/>
  <c r="AP140"/>
  <c r="AP141"/>
  <c r="AP142"/>
  <c r="AP143"/>
  <c r="AP144"/>
  <c r="AP145"/>
  <c r="AP146"/>
  <c r="AP148"/>
  <c r="AP149"/>
  <c r="AP150"/>
  <c r="AP151"/>
  <c r="AP152"/>
  <c r="AP153"/>
  <c r="AP155"/>
  <c r="AP156"/>
  <c r="AP157"/>
  <c r="AP158"/>
  <c r="AP159"/>
  <c r="AP160"/>
  <c r="AP161"/>
  <c r="AP162"/>
  <c r="AP163"/>
  <c r="AP164"/>
  <c r="AP165"/>
  <c r="AP166"/>
  <c r="AP168"/>
  <c r="AP169"/>
  <c r="AP170"/>
  <c r="AP171"/>
  <c r="AP172"/>
  <c r="AP173"/>
  <c r="AP174"/>
  <c r="AP175"/>
  <c r="AP176"/>
  <c r="AP177"/>
  <c r="AP178"/>
  <c r="AP179"/>
  <c r="AP180"/>
  <c r="AP182"/>
  <c r="AP183"/>
  <c r="AP184"/>
  <c r="AP185"/>
  <c r="AP186"/>
  <c r="AP187"/>
  <c r="AP189"/>
  <c r="AP190"/>
  <c r="AP191"/>
  <c r="AP192"/>
  <c r="AP193"/>
  <c r="AP194"/>
  <c r="AP195"/>
  <c r="AP196"/>
  <c r="AP197"/>
  <c r="AP198"/>
  <c r="AP199"/>
  <c r="AP200"/>
  <c r="AP201"/>
  <c r="AP203"/>
  <c r="AP204"/>
  <c r="AP205"/>
  <c r="AP206"/>
  <c r="AP207"/>
  <c r="AP208"/>
  <c r="AP209"/>
  <c r="AP210"/>
  <c r="AP211"/>
  <c r="AP212"/>
  <c r="AP213"/>
  <c r="AP214"/>
  <c r="AP216"/>
  <c r="AP217"/>
  <c r="AP218"/>
  <c r="AP219"/>
  <c r="AP220"/>
  <c r="AP221"/>
  <c r="AP222"/>
  <c r="AP223"/>
  <c r="AP224"/>
  <c r="AP225"/>
  <c r="AP226"/>
  <c r="AP227"/>
  <c r="AP228"/>
  <c r="AP230"/>
  <c r="AP231"/>
  <c r="AP232"/>
  <c r="AP233"/>
  <c r="AP234"/>
  <c r="AP235"/>
  <c r="AP236"/>
  <c r="AP237"/>
  <c r="AP238"/>
  <c r="AP240"/>
  <c r="AP241"/>
  <c r="AP242"/>
  <c r="AP243"/>
  <c r="AP244"/>
  <c r="AP245"/>
  <c r="AP246"/>
  <c r="AP247"/>
  <c r="AP249"/>
  <c r="AP250"/>
  <c r="AP251"/>
  <c r="AP252"/>
  <c r="AP253"/>
  <c r="AP254"/>
  <c r="AP255"/>
  <c r="AP256"/>
  <c r="AP257"/>
  <c r="AP258"/>
  <c r="AP259"/>
  <c r="AP260"/>
  <c r="AP261"/>
  <c r="AP262"/>
  <c r="AP263"/>
  <c r="AP265"/>
  <c r="AP266"/>
  <c r="AP267"/>
  <c r="AP268"/>
  <c r="AP269"/>
  <c r="AP270"/>
  <c r="AP271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6"/>
  <c r="AP317"/>
  <c r="AP318"/>
  <c r="AP319"/>
  <c r="AP320"/>
  <c r="AP321"/>
  <c r="AP322"/>
  <c r="AP323"/>
  <c r="AP324"/>
  <c r="AP325"/>
  <c r="AP326"/>
  <c r="AP327"/>
  <c r="AP328"/>
  <c r="AP329"/>
  <c r="AP330"/>
  <c r="AP332"/>
  <c r="AP333"/>
  <c r="AP334"/>
  <c r="AP335"/>
  <c r="AP336"/>
  <c r="AP337"/>
  <c r="AP338"/>
  <c r="AP339"/>
  <c r="AP340"/>
  <c r="AP341"/>
  <c r="AP342"/>
  <c r="AP344"/>
  <c r="AP345"/>
  <c r="AP346"/>
  <c r="AP347"/>
  <c r="AP348"/>
  <c r="AP349"/>
  <c r="AP350"/>
  <c r="AP351"/>
  <c r="AP352"/>
  <c r="AP353"/>
  <c r="AP354"/>
  <c r="AP356"/>
  <c r="AP357"/>
  <c r="AP358"/>
  <c r="AP359"/>
  <c r="AP360"/>
  <c r="AP361"/>
  <c r="AP362"/>
  <c r="AP363"/>
  <c r="AP364"/>
  <c r="AP365"/>
  <c r="AP367"/>
  <c r="AP368"/>
  <c r="AP369"/>
  <c r="AP370"/>
  <c r="AP371"/>
  <c r="AP372"/>
  <c r="AP373"/>
  <c r="AP374"/>
  <c r="AP375"/>
  <c r="AP376"/>
  <c r="AP377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26"/>
  <c r="AP19"/>
  <c r="AP20"/>
  <c r="AP21"/>
  <c r="AP22"/>
  <c r="AP23"/>
  <c r="AP24"/>
  <c r="AP25"/>
  <c r="AP8"/>
  <c r="AP9"/>
  <c r="AP10"/>
  <c r="AP11"/>
  <c r="AP12"/>
  <c r="AP13"/>
  <c r="AP14"/>
  <c r="AP15"/>
  <c r="AP7"/>
  <c r="AG58" i="8" l="1"/>
  <c r="AG59"/>
  <c r="AG60"/>
  <c r="AG61"/>
  <c r="AG63"/>
  <c r="AG64"/>
  <c r="AG65"/>
  <c r="AG66"/>
  <c r="AG67"/>
  <c r="AG68"/>
  <c r="AG69"/>
  <c r="AG70"/>
  <c r="AG71"/>
  <c r="AG72"/>
  <c r="AG73"/>
  <c r="AG74"/>
  <c r="AG76"/>
  <c r="AG77"/>
  <c r="AG78"/>
  <c r="AG79"/>
  <c r="AG80"/>
  <c r="AG82"/>
  <c r="AG83"/>
  <c r="AG84"/>
  <c r="AG85"/>
  <c r="AG86"/>
  <c r="AG87"/>
  <c r="AG88"/>
  <c r="AG89"/>
  <c r="AG91"/>
  <c r="AG92"/>
  <c r="AG93"/>
  <c r="AG94"/>
  <c r="AG95"/>
  <c r="AG96"/>
  <c r="AG97"/>
  <c r="AG98"/>
  <c r="AG99"/>
  <c r="AG105"/>
  <c r="AG107"/>
  <c r="AG111"/>
  <c r="AG113"/>
  <c r="AG115"/>
  <c r="AG116"/>
  <c r="AG117"/>
  <c r="AG118"/>
  <c r="AG119"/>
  <c r="AG120"/>
  <c r="AG121"/>
  <c r="AG122"/>
  <c r="AG123"/>
  <c r="AG124"/>
  <c r="AG125"/>
  <c r="AG126"/>
  <c r="AG127"/>
  <c r="AG128"/>
  <c r="AG129"/>
  <c r="AG131"/>
  <c r="AG132"/>
  <c r="AG133"/>
  <c r="AG134"/>
  <c r="AG135"/>
  <c r="AG136"/>
  <c r="AG137"/>
  <c r="AG148"/>
  <c r="AG151"/>
  <c r="AG153"/>
  <c r="AG155"/>
  <c r="AG156"/>
  <c r="AG157"/>
  <c r="AG158"/>
  <c r="AG159"/>
  <c r="AG160"/>
  <c r="AG161"/>
  <c r="AG162"/>
  <c r="AG163"/>
  <c r="AG164"/>
  <c r="AG165"/>
  <c r="AG166"/>
  <c r="AG168"/>
  <c r="AG169"/>
  <c r="AG170"/>
  <c r="AG171"/>
  <c r="AG172"/>
  <c r="AG173"/>
  <c r="AG174"/>
  <c r="AG175"/>
  <c r="AG176"/>
  <c r="AG177"/>
  <c r="AG178"/>
  <c r="AG179"/>
  <c r="AG180"/>
  <c r="AG182"/>
  <c r="AG183"/>
  <c r="AG184"/>
  <c r="AG185"/>
  <c r="AG186"/>
  <c r="AG187"/>
  <c r="AG189"/>
  <c r="AG190"/>
  <c r="AG191"/>
  <c r="AG192"/>
  <c r="AG193"/>
  <c r="AG194"/>
  <c r="AG195"/>
  <c r="AG196"/>
  <c r="AG197"/>
  <c r="AG198"/>
  <c r="AG199"/>
  <c r="AG200"/>
  <c r="AG201"/>
  <c r="AG204"/>
  <c r="AG205"/>
  <c r="AG212"/>
  <c r="AG216"/>
  <c r="AG217"/>
  <c r="AG218"/>
  <c r="AG219"/>
  <c r="AG220"/>
  <c r="AG221"/>
  <c r="AG222"/>
  <c r="AG223"/>
  <c r="AG224"/>
  <c r="AG225"/>
  <c r="AG226"/>
  <c r="AG227"/>
  <c r="AG228"/>
  <c r="AG230"/>
  <c r="AG231"/>
  <c r="AG232"/>
  <c r="AG233"/>
  <c r="AG234"/>
  <c r="AG235"/>
  <c r="AG236"/>
  <c r="AG237"/>
  <c r="AG238"/>
  <c r="AG240"/>
  <c r="AG241"/>
  <c r="AG242"/>
  <c r="AG243"/>
  <c r="AG244"/>
  <c r="AG245"/>
  <c r="AG246"/>
  <c r="AG247"/>
  <c r="AG249"/>
  <c r="AG250"/>
  <c r="AG251"/>
  <c r="AG252"/>
  <c r="AG253"/>
  <c r="AG254"/>
  <c r="AG255"/>
  <c r="AG256"/>
  <c r="AG257"/>
  <c r="AG258"/>
  <c r="AG259"/>
  <c r="AG260"/>
  <c r="AG261"/>
  <c r="AG262"/>
  <c r="AG263"/>
  <c r="AG265"/>
  <c r="AG266"/>
  <c r="AG267"/>
  <c r="AG268"/>
  <c r="AG269"/>
  <c r="AG270"/>
  <c r="AG271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2"/>
  <c r="AG313"/>
  <c r="AG314"/>
  <c r="AG316"/>
  <c r="AG317"/>
  <c r="AG318"/>
  <c r="AG319"/>
  <c r="AG320"/>
  <c r="AG321"/>
  <c r="AG322"/>
  <c r="AG323"/>
  <c r="AG324"/>
  <c r="AG325"/>
  <c r="AG326"/>
  <c r="AG327"/>
  <c r="AG328"/>
  <c r="AG329"/>
  <c r="AG330"/>
  <c r="AG332"/>
  <c r="AG333"/>
  <c r="AG334"/>
  <c r="AG335"/>
  <c r="AG336"/>
  <c r="AG337"/>
  <c r="AG338"/>
  <c r="AG339"/>
  <c r="AG340"/>
  <c r="AG341"/>
  <c r="AG342"/>
  <c r="AG344"/>
  <c r="AG345"/>
  <c r="AG346"/>
  <c r="AG347"/>
  <c r="AG348"/>
  <c r="AG349"/>
  <c r="AG350"/>
  <c r="AG351"/>
  <c r="AG352"/>
  <c r="AG353"/>
  <c r="AG354"/>
  <c r="AG367"/>
  <c r="AG368"/>
  <c r="AG369"/>
  <c r="AG370"/>
  <c r="AG371"/>
  <c r="AG372"/>
  <c r="AG373"/>
  <c r="AG374"/>
  <c r="AG375"/>
  <c r="AG376"/>
  <c r="AG377"/>
  <c r="AG378"/>
  <c r="AG57"/>
  <c r="AG29"/>
  <c r="AG30"/>
  <c r="AG31"/>
  <c r="AG32"/>
  <c r="AG34"/>
  <c r="AG35"/>
  <c r="AG36"/>
  <c r="AG37"/>
  <c r="AG38"/>
  <c r="AG39"/>
  <c r="AG40"/>
  <c r="AG41"/>
  <c r="AG43"/>
  <c r="AG44"/>
  <c r="AG45"/>
  <c r="AG46"/>
  <c r="AG47"/>
  <c r="AG48"/>
  <c r="AG49"/>
  <c r="AG50"/>
  <c r="AG51"/>
  <c r="AG52"/>
  <c r="AG54"/>
  <c r="AG28"/>
  <c r="AG19"/>
  <c r="AG20"/>
  <c r="AG21"/>
  <c r="AG22"/>
  <c r="AG23"/>
  <c r="AG24"/>
  <c r="AG25"/>
  <c r="AG26"/>
  <c r="AG18"/>
  <c r="AG8"/>
  <c r="AG12"/>
  <c r="AG13"/>
  <c r="AG14"/>
  <c r="AG15"/>
  <c r="AG16"/>
  <c r="AG7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6"/>
  <c r="AE25"/>
  <c r="AE24"/>
  <c r="AE23"/>
  <c r="AE22"/>
  <c r="AE21"/>
  <c r="AE20"/>
  <c r="AE19"/>
  <c r="AE18"/>
  <c r="AE8"/>
  <c r="AE9"/>
  <c r="AE10"/>
  <c r="AE11"/>
  <c r="AE12"/>
  <c r="AE13"/>
  <c r="AE14"/>
  <c r="AE15"/>
  <c r="AE16"/>
  <c r="AE7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6"/>
  <c r="AD25"/>
  <c r="AD24"/>
  <c r="AD23"/>
  <c r="AD22"/>
  <c r="AD21"/>
  <c r="AD20"/>
  <c r="AD19"/>
  <c r="AD18"/>
  <c r="AD8"/>
  <c r="AD9"/>
  <c r="AD10"/>
  <c r="AD11"/>
  <c r="AD12"/>
  <c r="AD13"/>
  <c r="AD14"/>
  <c r="AD15"/>
  <c r="AD16"/>
  <c r="AD7"/>
  <c r="S378"/>
  <c r="S377"/>
  <c r="S376"/>
  <c r="S375"/>
  <c r="S374"/>
  <c r="S373"/>
  <c r="S372"/>
  <c r="S371"/>
  <c r="S370"/>
  <c r="S369"/>
  <c r="S368"/>
  <c r="S367"/>
  <c r="S354"/>
  <c r="S353"/>
  <c r="S352"/>
  <c r="S351"/>
  <c r="S350"/>
  <c r="S349"/>
  <c r="S348"/>
  <c r="S347"/>
  <c r="S346"/>
  <c r="S345"/>
  <c r="S344"/>
  <c r="S342"/>
  <c r="S341"/>
  <c r="S340"/>
  <c r="S339"/>
  <c r="S338"/>
  <c r="S337"/>
  <c r="S336"/>
  <c r="S335"/>
  <c r="S334"/>
  <c r="S333"/>
  <c r="S332"/>
  <c r="S330"/>
  <c r="S329"/>
  <c r="S328"/>
  <c r="S327"/>
  <c r="S326"/>
  <c r="S325"/>
  <c r="S324"/>
  <c r="S323"/>
  <c r="S322"/>
  <c r="S321"/>
  <c r="S320"/>
  <c r="S319"/>
  <c r="S318"/>
  <c r="S317"/>
  <c r="S316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1"/>
  <c r="S270"/>
  <c r="S269"/>
  <c r="S268"/>
  <c r="S267"/>
  <c r="S266"/>
  <c r="S265"/>
  <c r="S263"/>
  <c r="S262"/>
  <c r="S261"/>
  <c r="S260"/>
  <c r="S259"/>
  <c r="S258"/>
  <c r="S257"/>
  <c r="S256"/>
  <c r="S255"/>
  <c r="S254"/>
  <c r="S253"/>
  <c r="S252"/>
  <c r="S251"/>
  <c r="S250"/>
  <c r="S249"/>
  <c r="S247"/>
  <c r="S246"/>
  <c r="S245"/>
  <c r="S244"/>
  <c r="S243"/>
  <c r="S242"/>
  <c r="S241"/>
  <c r="S240"/>
  <c r="S238"/>
  <c r="S237"/>
  <c r="S236"/>
  <c r="S235"/>
  <c r="S234"/>
  <c r="S233"/>
  <c r="S232"/>
  <c r="S231"/>
  <c r="S230"/>
  <c r="S228"/>
  <c r="S227"/>
  <c r="S226"/>
  <c r="S225"/>
  <c r="S224"/>
  <c r="S223"/>
  <c r="S222"/>
  <c r="S221"/>
  <c r="S220"/>
  <c r="S219"/>
  <c r="S218"/>
  <c r="S217"/>
  <c r="S216"/>
  <c r="S212"/>
  <c r="S205"/>
  <c r="S204"/>
  <c r="S201"/>
  <c r="S200"/>
  <c r="S199"/>
  <c r="S198"/>
  <c r="S197"/>
  <c r="S196"/>
  <c r="S195"/>
  <c r="S194"/>
  <c r="S193"/>
  <c r="S192"/>
  <c r="S191"/>
  <c r="S190"/>
  <c r="S189"/>
  <c r="S187"/>
  <c r="S186"/>
  <c r="S185"/>
  <c r="S184"/>
  <c r="S183"/>
  <c r="S182"/>
  <c r="S180"/>
  <c r="S179"/>
  <c r="S178"/>
  <c r="S177"/>
  <c r="S176"/>
  <c r="S175"/>
  <c r="S174"/>
  <c r="S173"/>
  <c r="S172"/>
  <c r="S171"/>
  <c r="S170"/>
  <c r="S169"/>
  <c r="S168"/>
  <c r="S166"/>
  <c r="S165"/>
  <c r="S164"/>
  <c r="S163"/>
  <c r="S162"/>
  <c r="S161"/>
  <c r="S160"/>
  <c r="S159"/>
  <c r="S158"/>
  <c r="S157"/>
  <c r="S156"/>
  <c r="S155"/>
  <c r="S153"/>
  <c r="S151"/>
  <c r="S148"/>
  <c r="S137"/>
  <c r="S136"/>
  <c r="S135"/>
  <c r="S134"/>
  <c r="S133"/>
  <c r="S132"/>
  <c r="S131"/>
  <c r="S129"/>
  <c r="S128"/>
  <c r="S127"/>
  <c r="S126"/>
  <c r="S125"/>
  <c r="S124"/>
  <c r="S123"/>
  <c r="S122"/>
  <c r="S121"/>
  <c r="S120"/>
  <c r="S119"/>
  <c r="S118"/>
  <c r="S117"/>
  <c r="S116"/>
  <c r="S115"/>
  <c r="S113"/>
  <c r="S111"/>
  <c r="S107"/>
  <c r="S105"/>
  <c r="S99"/>
  <c r="S98"/>
  <c r="S97"/>
  <c r="S96"/>
  <c r="S95"/>
  <c r="S94"/>
  <c r="S93"/>
  <c r="S92"/>
  <c r="S91"/>
  <c r="S89"/>
  <c r="S88"/>
  <c r="S87"/>
  <c r="S86"/>
  <c r="S85"/>
  <c r="S84"/>
  <c r="S83"/>
  <c r="S82"/>
  <c r="S80"/>
  <c r="S79"/>
  <c r="S78"/>
  <c r="S77"/>
  <c r="S76"/>
  <c r="S74"/>
  <c r="S73"/>
  <c r="S72"/>
  <c r="S71"/>
  <c r="S70"/>
  <c r="S69"/>
  <c r="S68"/>
  <c r="S67"/>
  <c r="S66"/>
  <c r="S65"/>
  <c r="S64"/>
  <c r="S63"/>
  <c r="S61"/>
  <c r="S60"/>
  <c r="S59"/>
  <c r="S58"/>
  <c r="S57"/>
  <c r="S29"/>
  <c r="S30"/>
  <c r="S31"/>
  <c r="S32"/>
  <c r="S34"/>
  <c r="S35"/>
  <c r="S36"/>
  <c r="S37"/>
  <c r="S38"/>
  <c r="S39"/>
  <c r="S40"/>
  <c r="S41"/>
  <c r="S43"/>
  <c r="S44"/>
  <c r="S45"/>
  <c r="S46"/>
  <c r="S47"/>
  <c r="S48"/>
  <c r="S49"/>
  <c r="S50"/>
  <c r="S51"/>
  <c r="S52"/>
  <c r="S54"/>
  <c r="S28"/>
  <c r="S8"/>
  <c r="S12"/>
  <c r="S13"/>
  <c r="S14"/>
  <c r="S15"/>
  <c r="S16"/>
  <c r="S7"/>
  <c r="R378"/>
  <c r="R377"/>
  <c r="R376"/>
  <c r="R375"/>
  <c r="R374"/>
  <c r="R373"/>
  <c r="R372"/>
  <c r="R371"/>
  <c r="R370"/>
  <c r="R369"/>
  <c r="R368"/>
  <c r="R367"/>
  <c r="R354"/>
  <c r="R353"/>
  <c r="R352"/>
  <c r="R351"/>
  <c r="R350"/>
  <c r="R349"/>
  <c r="R348"/>
  <c r="R347"/>
  <c r="R346"/>
  <c r="R345"/>
  <c r="R344"/>
  <c r="R342"/>
  <c r="R341"/>
  <c r="R340"/>
  <c r="R339"/>
  <c r="R338"/>
  <c r="R337"/>
  <c r="R336"/>
  <c r="R335"/>
  <c r="R334"/>
  <c r="R333"/>
  <c r="R332"/>
  <c r="R330"/>
  <c r="R329"/>
  <c r="R328"/>
  <c r="R327"/>
  <c r="R326"/>
  <c r="R325"/>
  <c r="R324"/>
  <c r="R323"/>
  <c r="R322"/>
  <c r="R321"/>
  <c r="R320"/>
  <c r="R319"/>
  <c r="R318"/>
  <c r="R317"/>
  <c r="R316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1"/>
  <c r="R270"/>
  <c r="R269"/>
  <c r="R268"/>
  <c r="R267"/>
  <c r="R266"/>
  <c r="R265"/>
  <c r="R263"/>
  <c r="R262"/>
  <c r="R261"/>
  <c r="R260"/>
  <c r="R259"/>
  <c r="R258"/>
  <c r="R257"/>
  <c r="R256"/>
  <c r="R255"/>
  <c r="R254"/>
  <c r="R253"/>
  <c r="R252"/>
  <c r="R251"/>
  <c r="R250"/>
  <c r="R249"/>
  <c r="R247"/>
  <c r="R246"/>
  <c r="R245"/>
  <c r="R244"/>
  <c r="R243"/>
  <c r="R242"/>
  <c r="R241"/>
  <c r="R240"/>
  <c r="R238"/>
  <c r="R237"/>
  <c r="R236"/>
  <c r="R235"/>
  <c r="R234"/>
  <c r="R233"/>
  <c r="R232"/>
  <c r="R231"/>
  <c r="R230"/>
  <c r="R228"/>
  <c r="R227"/>
  <c r="R226"/>
  <c r="R225"/>
  <c r="R224"/>
  <c r="R223"/>
  <c r="R222"/>
  <c r="R221"/>
  <c r="R220"/>
  <c r="R219"/>
  <c r="R218"/>
  <c r="R217"/>
  <c r="R216"/>
  <c r="R212"/>
  <c r="R205"/>
  <c r="R204"/>
  <c r="R201"/>
  <c r="R200"/>
  <c r="R199"/>
  <c r="R198"/>
  <c r="R197"/>
  <c r="R196"/>
  <c r="R195"/>
  <c r="R194"/>
  <c r="R193"/>
  <c r="R192"/>
  <c r="R191"/>
  <c r="R190"/>
  <c r="R189"/>
  <c r="R187"/>
  <c r="R186"/>
  <c r="R185"/>
  <c r="R184"/>
  <c r="R183"/>
  <c r="R182"/>
  <c r="R180"/>
  <c r="R179"/>
  <c r="R178"/>
  <c r="R177"/>
  <c r="R176"/>
  <c r="R175"/>
  <c r="R174"/>
  <c r="R173"/>
  <c r="R172"/>
  <c r="R171"/>
  <c r="R170"/>
  <c r="R169"/>
  <c r="R168"/>
  <c r="R166"/>
  <c r="R165"/>
  <c r="R164"/>
  <c r="R163"/>
  <c r="R162"/>
  <c r="R161"/>
  <c r="R160"/>
  <c r="R159"/>
  <c r="R158"/>
  <c r="R157"/>
  <c r="R156"/>
  <c r="R155"/>
  <c r="R153"/>
  <c r="R151"/>
  <c r="R148"/>
  <c r="R137"/>
  <c r="R136"/>
  <c r="R135"/>
  <c r="R134"/>
  <c r="R133"/>
  <c r="R132"/>
  <c r="R131"/>
  <c r="R129"/>
  <c r="R128"/>
  <c r="R127"/>
  <c r="R126"/>
  <c r="R125"/>
  <c r="R124"/>
  <c r="R123"/>
  <c r="R122"/>
  <c r="R121"/>
  <c r="R120"/>
  <c r="R119"/>
  <c r="R118"/>
  <c r="R117"/>
  <c r="R116"/>
  <c r="R115"/>
  <c r="R113"/>
  <c r="R111"/>
  <c r="R107"/>
  <c r="R105"/>
  <c r="R99"/>
  <c r="R98"/>
  <c r="R97"/>
  <c r="R96"/>
  <c r="R95"/>
  <c r="R94"/>
  <c r="R93"/>
  <c r="R92"/>
  <c r="R91"/>
  <c r="R89"/>
  <c r="R88"/>
  <c r="R87"/>
  <c r="R86"/>
  <c r="R85"/>
  <c r="R84"/>
  <c r="R83"/>
  <c r="R82"/>
  <c r="R80"/>
  <c r="R79"/>
  <c r="R78"/>
  <c r="R77"/>
  <c r="R76"/>
  <c r="R74"/>
  <c r="R73"/>
  <c r="R72"/>
  <c r="R71"/>
  <c r="R70"/>
  <c r="R69"/>
  <c r="R68"/>
  <c r="R67"/>
  <c r="R66"/>
  <c r="R65"/>
  <c r="R64"/>
  <c r="R63"/>
  <c r="R61"/>
  <c r="R60"/>
  <c r="R59"/>
  <c r="R58"/>
  <c r="R57"/>
  <c r="R29"/>
  <c r="R30"/>
  <c r="R31"/>
  <c r="R32"/>
  <c r="R34"/>
  <c r="R35"/>
  <c r="R36"/>
  <c r="R37"/>
  <c r="R38"/>
  <c r="R39"/>
  <c r="R40"/>
  <c r="R41"/>
  <c r="R43"/>
  <c r="R44"/>
  <c r="R45"/>
  <c r="R46"/>
  <c r="R47"/>
  <c r="R48"/>
  <c r="R49"/>
  <c r="R50"/>
  <c r="R51"/>
  <c r="R52"/>
  <c r="R54"/>
  <c r="R28"/>
  <c r="R8"/>
  <c r="R12"/>
  <c r="R13"/>
  <c r="R14"/>
  <c r="R15"/>
  <c r="R16"/>
  <c r="R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8"/>
  <c r="G9"/>
  <c r="G10"/>
  <c r="G11"/>
  <c r="G12"/>
  <c r="G13"/>
  <c r="G14"/>
  <c r="G15"/>
  <c r="G16"/>
  <c r="G7"/>
  <c r="F7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8"/>
  <c r="F9"/>
  <c r="F10"/>
  <c r="F11"/>
  <c r="F12"/>
  <c r="F13"/>
  <c r="F14"/>
  <c r="F15"/>
  <c r="F16"/>
  <c r="AS378" i="7"/>
  <c r="AS377"/>
  <c r="AS376"/>
  <c r="AS375"/>
  <c r="AS374"/>
  <c r="AS373"/>
  <c r="AS372"/>
  <c r="AS371"/>
  <c r="AS370"/>
  <c r="AS369"/>
  <c r="AS368"/>
  <c r="AS367"/>
  <c r="AS354"/>
  <c r="AS353"/>
  <c r="AS352"/>
  <c r="AS351"/>
  <c r="AS350"/>
  <c r="AS349"/>
  <c r="AS348"/>
  <c r="AS347"/>
  <c r="AS346"/>
  <c r="AS345"/>
  <c r="AS344"/>
  <c r="AS342"/>
  <c r="AS341"/>
  <c r="AS340"/>
  <c r="AS339"/>
  <c r="AS338"/>
  <c r="AS337"/>
  <c r="AS336"/>
  <c r="AS335"/>
  <c r="AS334"/>
  <c r="AS333"/>
  <c r="AS332"/>
  <c r="AS330"/>
  <c r="AS329"/>
  <c r="AS328"/>
  <c r="AS327"/>
  <c r="AS326"/>
  <c r="AS325"/>
  <c r="AS324"/>
  <c r="AS323"/>
  <c r="AS322"/>
  <c r="AS321"/>
  <c r="AS320"/>
  <c r="AS319"/>
  <c r="AS318"/>
  <c r="AS317"/>
  <c r="AS316"/>
  <c r="AS314"/>
  <c r="AS313"/>
  <c r="AS312"/>
  <c r="AS311"/>
  <c r="AS310"/>
  <c r="AS309"/>
  <c r="AS308"/>
  <c r="AS307"/>
  <c r="AS306"/>
  <c r="AS305"/>
  <c r="AS304"/>
  <c r="AS303"/>
  <c r="AS302"/>
  <c r="AS301"/>
  <c r="AS300"/>
  <c r="AS299"/>
  <c r="AS298"/>
  <c r="AS297"/>
  <c r="AS296"/>
  <c r="AS295"/>
  <c r="AS294"/>
  <c r="AS293"/>
  <c r="AS292"/>
  <c r="AS291"/>
  <c r="AS289"/>
  <c r="AS288"/>
  <c r="AS287"/>
  <c r="AS286"/>
  <c r="AS285"/>
  <c r="AS284"/>
  <c r="AS283"/>
  <c r="AS282"/>
  <c r="AS281"/>
  <c r="AS280"/>
  <c r="AS279"/>
  <c r="AS278"/>
  <c r="AS277"/>
  <c r="AS276"/>
  <c r="AS275"/>
  <c r="AS274"/>
  <c r="AS273"/>
  <c r="AS271"/>
  <c r="AS270"/>
  <c r="AS269"/>
  <c r="AS268"/>
  <c r="AS267"/>
  <c r="AS266"/>
  <c r="AS265"/>
  <c r="AS263"/>
  <c r="AS262"/>
  <c r="AS261"/>
  <c r="AS260"/>
  <c r="AS259"/>
  <c r="AS258"/>
  <c r="AS257"/>
  <c r="AS256"/>
  <c r="AS255"/>
  <c r="AS254"/>
  <c r="AS253"/>
  <c r="AS252"/>
  <c r="AS251"/>
  <c r="AS250"/>
  <c r="AS249"/>
  <c r="AS247"/>
  <c r="AS246"/>
  <c r="AS245"/>
  <c r="AS244"/>
  <c r="AS243"/>
  <c r="AS242"/>
  <c r="AS241"/>
  <c r="AS240"/>
  <c r="AS238"/>
  <c r="AS237"/>
  <c r="AS236"/>
  <c r="AS235"/>
  <c r="AS234"/>
  <c r="AS233"/>
  <c r="AS232"/>
  <c r="AS231"/>
  <c r="AS230"/>
  <c r="AS228"/>
  <c r="AS227"/>
  <c r="AS226"/>
  <c r="AS225"/>
  <c r="AS224"/>
  <c r="AS223"/>
  <c r="AS222"/>
  <c r="AS221"/>
  <c r="AS220"/>
  <c r="AS219"/>
  <c r="AS218"/>
  <c r="AS217"/>
  <c r="AS216"/>
  <c r="AS212"/>
  <c r="AS205"/>
  <c r="AS204"/>
  <c r="AS201"/>
  <c r="AS200"/>
  <c r="AS199"/>
  <c r="AS198"/>
  <c r="AS197"/>
  <c r="AS196"/>
  <c r="AS195"/>
  <c r="AS194"/>
  <c r="AS193"/>
  <c r="AS192"/>
  <c r="AS191"/>
  <c r="AS190"/>
  <c r="AS189"/>
  <c r="AS187"/>
  <c r="AS186"/>
  <c r="AS185"/>
  <c r="AS184"/>
  <c r="AS183"/>
  <c r="AS182"/>
  <c r="AS180"/>
  <c r="AS179"/>
  <c r="AS178"/>
  <c r="AS177"/>
  <c r="AS176"/>
  <c r="AS175"/>
  <c r="AS174"/>
  <c r="AS173"/>
  <c r="AS172"/>
  <c r="AS171"/>
  <c r="AS170"/>
  <c r="AS169"/>
  <c r="AS168"/>
  <c r="AS166"/>
  <c r="AS165"/>
  <c r="AS164"/>
  <c r="AS163"/>
  <c r="AS162"/>
  <c r="AS161"/>
  <c r="AS160"/>
  <c r="AS159"/>
  <c r="AS158"/>
  <c r="AS157"/>
  <c r="AS156"/>
  <c r="AS155"/>
  <c r="AS153"/>
  <c r="AS151"/>
  <c r="AS148"/>
  <c r="AS137"/>
  <c r="AS136"/>
  <c r="AS135"/>
  <c r="AS134"/>
  <c r="AS133"/>
  <c r="AS132"/>
  <c r="AS131"/>
  <c r="AS129"/>
  <c r="AS128"/>
  <c r="AS127"/>
  <c r="AS126"/>
  <c r="AS125"/>
  <c r="AS124"/>
  <c r="AS123"/>
  <c r="AS122"/>
  <c r="AS121"/>
  <c r="AS120"/>
  <c r="AS119"/>
  <c r="AS118"/>
  <c r="AS117"/>
  <c r="AS116"/>
  <c r="AS115"/>
  <c r="AS113"/>
  <c r="AS111"/>
  <c r="AS107"/>
  <c r="AS105"/>
  <c r="AS99"/>
  <c r="AS98"/>
  <c r="AS97"/>
  <c r="AS96"/>
  <c r="AS95"/>
  <c r="AS94"/>
  <c r="AS93"/>
  <c r="AS92"/>
  <c r="AS91"/>
  <c r="AS89"/>
  <c r="AS88"/>
  <c r="AS87"/>
  <c r="AS86"/>
  <c r="AS85"/>
  <c r="AS84"/>
  <c r="AS83"/>
  <c r="AS82"/>
  <c r="AS80"/>
  <c r="AS79"/>
  <c r="AS78"/>
  <c r="AS77"/>
  <c r="AS76"/>
  <c r="AS74"/>
  <c r="AS73"/>
  <c r="AS72"/>
  <c r="AS71"/>
  <c r="AS70"/>
  <c r="AS69"/>
  <c r="AS68"/>
  <c r="AS67"/>
  <c r="AS66"/>
  <c r="AS65"/>
  <c r="AS64"/>
  <c r="AS63"/>
  <c r="AS61"/>
  <c r="AS60"/>
  <c r="AS59"/>
  <c r="AS58"/>
  <c r="AS57"/>
  <c r="AS54"/>
  <c r="AS52"/>
  <c r="AS51"/>
  <c r="AS50"/>
  <c r="AS49"/>
  <c r="AS48"/>
  <c r="AS47"/>
  <c r="AS46"/>
  <c r="AS45"/>
  <c r="AS44"/>
  <c r="AS43"/>
  <c r="AS41"/>
  <c r="AS40"/>
  <c r="AS39"/>
  <c r="AS38"/>
  <c r="AS37"/>
  <c r="AS36"/>
  <c r="AS35"/>
  <c r="AS34"/>
  <c r="AS32"/>
  <c r="AS31"/>
  <c r="AS30"/>
  <c r="AS29"/>
  <c r="AS28"/>
  <c r="AS26"/>
  <c r="AS25"/>
  <c r="AS24"/>
  <c r="AS23"/>
  <c r="AS22"/>
  <c r="AS21"/>
  <c r="AS20"/>
  <c r="AS19"/>
  <c r="AS18"/>
  <c r="AS12"/>
  <c r="AS13"/>
  <c r="AS14"/>
  <c r="AS16"/>
  <c r="AS7"/>
  <c r="AR378"/>
  <c r="AR377"/>
  <c r="AR376"/>
  <c r="AR375"/>
  <c r="AR374"/>
  <c r="AR373"/>
  <c r="AR372"/>
  <c r="AR371"/>
  <c r="AR370"/>
  <c r="AR369"/>
  <c r="AR368"/>
  <c r="AR367"/>
  <c r="AR365"/>
  <c r="AR364"/>
  <c r="AR363"/>
  <c r="AR362"/>
  <c r="AR361"/>
  <c r="AR360"/>
  <c r="AR359"/>
  <c r="AR358"/>
  <c r="AR357"/>
  <c r="AR356"/>
  <c r="AR354"/>
  <c r="AR353"/>
  <c r="AR352"/>
  <c r="AR351"/>
  <c r="AR350"/>
  <c r="AR349"/>
  <c r="AR348"/>
  <c r="AR347"/>
  <c r="AR346"/>
  <c r="AR345"/>
  <c r="AR344"/>
  <c r="AR342"/>
  <c r="AR341"/>
  <c r="AR340"/>
  <c r="AR339"/>
  <c r="AR338"/>
  <c r="AR337"/>
  <c r="AR336"/>
  <c r="AR335"/>
  <c r="AR334"/>
  <c r="AR333"/>
  <c r="AR332"/>
  <c r="AR330"/>
  <c r="AR329"/>
  <c r="AR328"/>
  <c r="AR327"/>
  <c r="AR326"/>
  <c r="AR325"/>
  <c r="AR324"/>
  <c r="AR323"/>
  <c r="AR322"/>
  <c r="AR321"/>
  <c r="AR320"/>
  <c r="AR319"/>
  <c r="AR318"/>
  <c r="AR317"/>
  <c r="AR316"/>
  <c r="AR314"/>
  <c r="AR313"/>
  <c r="AR312"/>
  <c r="AR311"/>
  <c r="AR310"/>
  <c r="AR309"/>
  <c r="AR308"/>
  <c r="AR307"/>
  <c r="AR306"/>
  <c r="AR305"/>
  <c r="AR304"/>
  <c r="AR303"/>
  <c r="AR302"/>
  <c r="AR301"/>
  <c r="AR300"/>
  <c r="AR299"/>
  <c r="AR298"/>
  <c r="AR297"/>
  <c r="AR296"/>
  <c r="AR295"/>
  <c r="AR294"/>
  <c r="AR293"/>
  <c r="AR292"/>
  <c r="AR291"/>
  <c r="AR289"/>
  <c r="AR288"/>
  <c r="AR287"/>
  <c r="AR286"/>
  <c r="AR285"/>
  <c r="AR284"/>
  <c r="AR283"/>
  <c r="AR282"/>
  <c r="AR281"/>
  <c r="AR280"/>
  <c r="AR279"/>
  <c r="AR278"/>
  <c r="AR277"/>
  <c r="AR276"/>
  <c r="AR275"/>
  <c r="AR274"/>
  <c r="AR273"/>
  <c r="AR271"/>
  <c r="AR270"/>
  <c r="AR269"/>
  <c r="AR268"/>
  <c r="AR267"/>
  <c r="AR266"/>
  <c r="AR265"/>
  <c r="AR263"/>
  <c r="AR262"/>
  <c r="AR261"/>
  <c r="AR260"/>
  <c r="AR259"/>
  <c r="AR258"/>
  <c r="AR257"/>
  <c r="AR256"/>
  <c r="AR255"/>
  <c r="AR254"/>
  <c r="AR253"/>
  <c r="AR252"/>
  <c r="AR251"/>
  <c r="AR250"/>
  <c r="AR249"/>
  <c r="AR247"/>
  <c r="AR246"/>
  <c r="AR245"/>
  <c r="AR244"/>
  <c r="AR243"/>
  <c r="AR242"/>
  <c r="AR241"/>
  <c r="AR240"/>
  <c r="AR238"/>
  <c r="AR237"/>
  <c r="AR236"/>
  <c r="AR235"/>
  <c r="AR234"/>
  <c r="AR233"/>
  <c r="AR232"/>
  <c r="AR231"/>
  <c r="AR230"/>
  <c r="AR228"/>
  <c r="AR227"/>
  <c r="AR226"/>
  <c r="AR225"/>
  <c r="AR224"/>
  <c r="AR223"/>
  <c r="AR222"/>
  <c r="AR221"/>
  <c r="AR220"/>
  <c r="AR219"/>
  <c r="AR218"/>
  <c r="AR217"/>
  <c r="AR216"/>
  <c r="AR214"/>
  <c r="AR213"/>
  <c r="AR212"/>
  <c r="AR211"/>
  <c r="AR210"/>
  <c r="AR209"/>
  <c r="AR208"/>
  <c r="AR207"/>
  <c r="AR206"/>
  <c r="AR205"/>
  <c r="AR204"/>
  <c r="AR203"/>
  <c r="AR201"/>
  <c r="AR200"/>
  <c r="AR199"/>
  <c r="AR198"/>
  <c r="AR197"/>
  <c r="AR196"/>
  <c r="AR195"/>
  <c r="AR194"/>
  <c r="AR193"/>
  <c r="AR192"/>
  <c r="AR191"/>
  <c r="AR190"/>
  <c r="AR189"/>
  <c r="AR187"/>
  <c r="AR186"/>
  <c r="AR185"/>
  <c r="AR184"/>
  <c r="AR183"/>
  <c r="AR182"/>
  <c r="AR180"/>
  <c r="AR179"/>
  <c r="AR178"/>
  <c r="AR177"/>
  <c r="AR176"/>
  <c r="AR175"/>
  <c r="AR174"/>
  <c r="AR173"/>
  <c r="AR172"/>
  <c r="AR171"/>
  <c r="AR170"/>
  <c r="AR169"/>
  <c r="AR168"/>
  <c r="AR166"/>
  <c r="AR165"/>
  <c r="AR164"/>
  <c r="AR163"/>
  <c r="AR162"/>
  <c r="AR161"/>
  <c r="AR160"/>
  <c r="AR159"/>
  <c r="AR158"/>
  <c r="AR157"/>
  <c r="AR156"/>
  <c r="AR155"/>
  <c r="AR153"/>
  <c r="AR152"/>
  <c r="AR151"/>
  <c r="AR150"/>
  <c r="AR149"/>
  <c r="AR148"/>
  <c r="AR146"/>
  <c r="AR145"/>
  <c r="AR144"/>
  <c r="AR143"/>
  <c r="AR142"/>
  <c r="AR141"/>
  <c r="AR140"/>
  <c r="AR139"/>
  <c r="AR137"/>
  <c r="AR136"/>
  <c r="AR135"/>
  <c r="AR134"/>
  <c r="AR133"/>
  <c r="AR132"/>
  <c r="AR131"/>
  <c r="AR129"/>
  <c r="AR128"/>
  <c r="AR127"/>
  <c r="AR126"/>
  <c r="AR125"/>
  <c r="AR124"/>
  <c r="AR123"/>
  <c r="AR122"/>
  <c r="AR121"/>
  <c r="AR120"/>
  <c r="AR119"/>
  <c r="AR118"/>
  <c r="AR117"/>
  <c r="AR116"/>
  <c r="AR115"/>
  <c r="AR113"/>
  <c r="AR112"/>
  <c r="AR111"/>
  <c r="AR110"/>
  <c r="AR109"/>
  <c r="AR108"/>
  <c r="AR107"/>
  <c r="AR106"/>
  <c r="AR105"/>
  <c r="AR104"/>
  <c r="AR103"/>
  <c r="AR102"/>
  <c r="AR101"/>
  <c r="AR99"/>
  <c r="AR98"/>
  <c r="AR97"/>
  <c r="AR96"/>
  <c r="AR95"/>
  <c r="AR94"/>
  <c r="AR93"/>
  <c r="AR92"/>
  <c r="AR91"/>
  <c r="AR89"/>
  <c r="AR88"/>
  <c r="AR87"/>
  <c r="AR86"/>
  <c r="AR85"/>
  <c r="AR84"/>
  <c r="AR83"/>
  <c r="AR82"/>
  <c r="AR80"/>
  <c r="AR79"/>
  <c r="AR78"/>
  <c r="AR77"/>
  <c r="AR76"/>
  <c r="AR74"/>
  <c r="AR73"/>
  <c r="AR72"/>
  <c r="AR71"/>
  <c r="AR70"/>
  <c r="AR69"/>
  <c r="AR68"/>
  <c r="AR67"/>
  <c r="AR66"/>
  <c r="AR65"/>
  <c r="AR64"/>
  <c r="AR63"/>
  <c r="AR61"/>
  <c r="AR60"/>
  <c r="AR59"/>
  <c r="AR58"/>
  <c r="AR57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6"/>
  <c r="AR25"/>
  <c r="AR24"/>
  <c r="AR23"/>
  <c r="AR22"/>
  <c r="AR21"/>
  <c r="AR20"/>
  <c r="AR19"/>
  <c r="AR18"/>
  <c r="AR8"/>
  <c r="AS8" s="1"/>
  <c r="AR9"/>
  <c r="AR10"/>
  <c r="AR11"/>
  <c r="AR12"/>
  <c r="AR13"/>
  <c r="AR14"/>
  <c r="AR15"/>
  <c r="AS15" s="1"/>
  <c r="AR16"/>
  <c r="AR7"/>
  <c r="AN7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6"/>
  <c r="AN25"/>
  <c r="AN24"/>
  <c r="AN23"/>
  <c r="AN22"/>
  <c r="AN21"/>
  <c r="AN20"/>
  <c r="AN19"/>
  <c r="AN18"/>
  <c r="AN8"/>
  <c r="AN9"/>
  <c r="AN10"/>
  <c r="AN11"/>
  <c r="AN12"/>
  <c r="AN13"/>
  <c r="AN14"/>
  <c r="AN15"/>
  <c r="AN16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28"/>
  <c r="AB378"/>
  <c r="AB377"/>
  <c r="AB376"/>
  <c r="AB375"/>
  <c r="AB374"/>
  <c r="AB373"/>
  <c r="AB372"/>
  <c r="AB371"/>
  <c r="AB370"/>
  <c r="AB369"/>
  <c r="AB368"/>
  <c r="AB367"/>
  <c r="AB365"/>
  <c r="AB364"/>
  <c r="AB363"/>
  <c r="AB362"/>
  <c r="AB361"/>
  <c r="AB360"/>
  <c r="AB359"/>
  <c r="AB358"/>
  <c r="AB357"/>
  <c r="AB356"/>
  <c r="AB354"/>
  <c r="AB353"/>
  <c r="AB352"/>
  <c r="AB351"/>
  <c r="AB350"/>
  <c r="AB349"/>
  <c r="AB348"/>
  <c r="AB347"/>
  <c r="AB346"/>
  <c r="AB345"/>
  <c r="AB344"/>
  <c r="AB342"/>
  <c r="AB341"/>
  <c r="AB340"/>
  <c r="AB339"/>
  <c r="AB338"/>
  <c r="AB337"/>
  <c r="AB336"/>
  <c r="AB335"/>
  <c r="AB334"/>
  <c r="AB333"/>
  <c r="AB332"/>
  <c r="AB330"/>
  <c r="AB329"/>
  <c r="AB328"/>
  <c r="AB327"/>
  <c r="AB326"/>
  <c r="AB325"/>
  <c r="AB324"/>
  <c r="AB323"/>
  <c r="AB322"/>
  <c r="AB321"/>
  <c r="AB320"/>
  <c r="AB319"/>
  <c r="AB318"/>
  <c r="AB317"/>
  <c r="AB316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1"/>
  <c r="AB270"/>
  <c r="AB269"/>
  <c r="AB268"/>
  <c r="AB267"/>
  <c r="AB266"/>
  <c r="AB265"/>
  <c r="AB263"/>
  <c r="AB262"/>
  <c r="AB261"/>
  <c r="AB260"/>
  <c r="AB259"/>
  <c r="AB258"/>
  <c r="AB257"/>
  <c r="AB256"/>
  <c r="AB255"/>
  <c r="AB254"/>
  <c r="AB253"/>
  <c r="AB252"/>
  <c r="AB251"/>
  <c r="AB250"/>
  <c r="AB249"/>
  <c r="AB247"/>
  <c r="AB246"/>
  <c r="AB245"/>
  <c r="AB244"/>
  <c r="AB243"/>
  <c r="AB242"/>
  <c r="AB241"/>
  <c r="AB240"/>
  <c r="AB238"/>
  <c r="AB237"/>
  <c r="AB236"/>
  <c r="AB235"/>
  <c r="AB234"/>
  <c r="AB233"/>
  <c r="AB232"/>
  <c r="AB231"/>
  <c r="AB230"/>
  <c r="AB228"/>
  <c r="AB227"/>
  <c r="AB226"/>
  <c r="AB225"/>
  <c r="AB224"/>
  <c r="AB223"/>
  <c r="AB222"/>
  <c r="AB221"/>
  <c r="AB220"/>
  <c r="AB219"/>
  <c r="AB218"/>
  <c r="AB217"/>
  <c r="AB216"/>
  <c r="AB214"/>
  <c r="AB213"/>
  <c r="AB212"/>
  <c r="AB211"/>
  <c r="AB210"/>
  <c r="AB209"/>
  <c r="AB208"/>
  <c r="AB207"/>
  <c r="AB206"/>
  <c r="AB205"/>
  <c r="AB204"/>
  <c r="AB203"/>
  <c r="AB201"/>
  <c r="AB200"/>
  <c r="AB199"/>
  <c r="AB198"/>
  <c r="AB197"/>
  <c r="AB196"/>
  <c r="AB195"/>
  <c r="AB194"/>
  <c r="AB193"/>
  <c r="AB192"/>
  <c r="AB191"/>
  <c r="AB190"/>
  <c r="AB189"/>
  <c r="AB187"/>
  <c r="AB186"/>
  <c r="AB185"/>
  <c r="AB184"/>
  <c r="AB183"/>
  <c r="AB182"/>
  <c r="AB180"/>
  <c r="AB179"/>
  <c r="AB178"/>
  <c r="AB177"/>
  <c r="AB176"/>
  <c r="AB175"/>
  <c r="AB174"/>
  <c r="AB173"/>
  <c r="AB172"/>
  <c r="AB171"/>
  <c r="AB170"/>
  <c r="AB169"/>
  <c r="AB168"/>
  <c r="AB166"/>
  <c r="AB165"/>
  <c r="AB164"/>
  <c r="AB163"/>
  <c r="AB162"/>
  <c r="AB161"/>
  <c r="AB160"/>
  <c r="AB159"/>
  <c r="AB158"/>
  <c r="AB157"/>
  <c r="AB156"/>
  <c r="AB155"/>
  <c r="AB153"/>
  <c r="AB152"/>
  <c r="AB151"/>
  <c r="AB150"/>
  <c r="AB149"/>
  <c r="AB148"/>
  <c r="AB146"/>
  <c r="AB145"/>
  <c r="AB144"/>
  <c r="AB143"/>
  <c r="AB142"/>
  <c r="AB141"/>
  <c r="AB140"/>
  <c r="AB139"/>
  <c r="AB137"/>
  <c r="AB136"/>
  <c r="AB135"/>
  <c r="AB134"/>
  <c r="AB133"/>
  <c r="AB132"/>
  <c r="AB131"/>
  <c r="AB129"/>
  <c r="AB128"/>
  <c r="AB127"/>
  <c r="AB126"/>
  <c r="AB125"/>
  <c r="AB124"/>
  <c r="AB123"/>
  <c r="AB122"/>
  <c r="AB121"/>
  <c r="AB120"/>
  <c r="AB119"/>
  <c r="AB118"/>
  <c r="AB117"/>
  <c r="AB116"/>
  <c r="AB115"/>
  <c r="AB113"/>
  <c r="AB112"/>
  <c r="AB111"/>
  <c r="AB110"/>
  <c r="AB109"/>
  <c r="AB108"/>
  <c r="AB107"/>
  <c r="AB106"/>
  <c r="AB105"/>
  <c r="AB104"/>
  <c r="AB103"/>
  <c r="AB102"/>
  <c r="AB101"/>
  <c r="AB99"/>
  <c r="AB98"/>
  <c r="AB97"/>
  <c r="AB96"/>
  <c r="AB95"/>
  <c r="AB94"/>
  <c r="AB93"/>
  <c r="AB92"/>
  <c r="AB91"/>
  <c r="AB89"/>
  <c r="AB88"/>
  <c r="AB87"/>
  <c r="AB86"/>
  <c r="AB85"/>
  <c r="AB84"/>
  <c r="AB83"/>
  <c r="AB82"/>
  <c r="AB80"/>
  <c r="AB79"/>
  <c r="AB78"/>
  <c r="AB77"/>
  <c r="AB76"/>
  <c r="AB74"/>
  <c r="AB73"/>
  <c r="AB72"/>
  <c r="AB71"/>
  <c r="AB70"/>
  <c r="AB69"/>
  <c r="AB68"/>
  <c r="AB67"/>
  <c r="AB66"/>
  <c r="AB65"/>
  <c r="AB64"/>
  <c r="AB63"/>
  <c r="AB61"/>
  <c r="AB60"/>
  <c r="AB59"/>
  <c r="AB58"/>
  <c r="AB57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28"/>
  <c r="X378"/>
  <c r="X377"/>
  <c r="X376"/>
  <c r="X375"/>
  <c r="X374"/>
  <c r="X373"/>
  <c r="X372"/>
  <c r="X371"/>
  <c r="X370"/>
  <c r="X369"/>
  <c r="X368"/>
  <c r="X367"/>
  <c r="X365"/>
  <c r="R365" i="8" s="1"/>
  <c r="S365" s="1"/>
  <c r="AG365" s="1"/>
  <c r="X364" i="7"/>
  <c r="AS364" s="1"/>
  <c r="X363"/>
  <c r="R363" i="8" s="1"/>
  <c r="S363" s="1"/>
  <c r="AG363" s="1"/>
  <c r="X362" i="7"/>
  <c r="AS362" s="1"/>
  <c r="X361"/>
  <c r="R361" i="8" s="1"/>
  <c r="S361" s="1"/>
  <c r="AG361" s="1"/>
  <c r="X360" i="7"/>
  <c r="AS360" s="1"/>
  <c r="X359"/>
  <c r="R359" i="8" s="1"/>
  <c r="S359" s="1"/>
  <c r="AG359" s="1"/>
  <c r="X358" i="7"/>
  <c r="AS358" s="1"/>
  <c r="X357"/>
  <c r="R357" i="8" s="1"/>
  <c r="S357" s="1"/>
  <c r="AG357" s="1"/>
  <c r="X356" i="7"/>
  <c r="AS356" s="1"/>
  <c r="X354"/>
  <c r="X353"/>
  <c r="X352"/>
  <c r="X351"/>
  <c r="X350"/>
  <c r="X349"/>
  <c r="X348"/>
  <c r="X347"/>
  <c r="X346"/>
  <c r="X345"/>
  <c r="X344"/>
  <c r="X342"/>
  <c r="X341"/>
  <c r="X340"/>
  <c r="X339"/>
  <c r="X338"/>
  <c r="X337"/>
  <c r="X336"/>
  <c r="X335"/>
  <c r="X334"/>
  <c r="X333"/>
  <c r="X332"/>
  <c r="X330"/>
  <c r="X329"/>
  <c r="X328"/>
  <c r="X327"/>
  <c r="X326"/>
  <c r="X325"/>
  <c r="X324"/>
  <c r="X323"/>
  <c r="X322"/>
  <c r="X321"/>
  <c r="X320"/>
  <c r="X319"/>
  <c r="X318"/>
  <c r="X317"/>
  <c r="X316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1"/>
  <c r="X270"/>
  <c r="X269"/>
  <c r="X268"/>
  <c r="X267"/>
  <c r="X266"/>
  <c r="X265"/>
  <c r="X263"/>
  <c r="X262"/>
  <c r="X261"/>
  <c r="X260"/>
  <c r="X259"/>
  <c r="X258"/>
  <c r="X257"/>
  <c r="X256"/>
  <c r="X255"/>
  <c r="X254"/>
  <c r="X253"/>
  <c r="X252"/>
  <c r="X251"/>
  <c r="X250"/>
  <c r="X249"/>
  <c r="X247"/>
  <c r="X246"/>
  <c r="X245"/>
  <c r="X244"/>
  <c r="X243"/>
  <c r="X242"/>
  <c r="X241"/>
  <c r="X240"/>
  <c r="X238"/>
  <c r="X237"/>
  <c r="X236"/>
  <c r="X235"/>
  <c r="X234"/>
  <c r="X233"/>
  <c r="X232"/>
  <c r="X231"/>
  <c r="X230"/>
  <c r="X228"/>
  <c r="X227"/>
  <c r="X226"/>
  <c r="X225"/>
  <c r="X224"/>
  <c r="X223"/>
  <c r="X222"/>
  <c r="X221"/>
  <c r="X220"/>
  <c r="X219"/>
  <c r="X218"/>
  <c r="X217"/>
  <c r="X216"/>
  <c r="X214"/>
  <c r="AS214" s="1"/>
  <c r="X213"/>
  <c r="R213" i="8" s="1"/>
  <c r="S213" s="1"/>
  <c r="AG213" s="1"/>
  <c r="X212" i="7"/>
  <c r="X211"/>
  <c r="R211" i="8" s="1"/>
  <c r="S211" s="1"/>
  <c r="AG211" s="1"/>
  <c r="X210" i="7"/>
  <c r="R210" i="8" s="1"/>
  <c r="S210" s="1"/>
  <c r="AG210" s="1"/>
  <c r="X209" i="7"/>
  <c r="R209" i="8" s="1"/>
  <c r="S209" s="1"/>
  <c r="AG209" s="1"/>
  <c r="X208" i="7"/>
  <c r="R208" i="8" s="1"/>
  <c r="S208" s="1"/>
  <c r="AG208" s="1"/>
  <c r="X207" i="7"/>
  <c r="R207" i="8" s="1"/>
  <c r="S207" s="1"/>
  <c r="AG207" s="1"/>
  <c r="X206" i="7"/>
  <c r="R206" i="8" s="1"/>
  <c r="S206" s="1"/>
  <c r="AG206" s="1"/>
  <c r="X205" i="7"/>
  <c r="X204"/>
  <c r="X203"/>
  <c r="R203" i="8" s="1"/>
  <c r="S203" s="1"/>
  <c r="AG203" s="1"/>
  <c r="X201" i="7"/>
  <c r="X200"/>
  <c r="X199"/>
  <c r="X198"/>
  <c r="X197"/>
  <c r="X196"/>
  <c r="X195"/>
  <c r="X194"/>
  <c r="X193"/>
  <c r="X192"/>
  <c r="X191"/>
  <c r="X190"/>
  <c r="X189"/>
  <c r="X187"/>
  <c r="X186"/>
  <c r="X185"/>
  <c r="X184"/>
  <c r="X183"/>
  <c r="X182"/>
  <c r="X180"/>
  <c r="X179"/>
  <c r="X178"/>
  <c r="X177"/>
  <c r="X176"/>
  <c r="X175"/>
  <c r="X174"/>
  <c r="X173"/>
  <c r="X172"/>
  <c r="X171"/>
  <c r="X170"/>
  <c r="X169"/>
  <c r="X168"/>
  <c r="X166"/>
  <c r="X165"/>
  <c r="X164"/>
  <c r="X163"/>
  <c r="X162"/>
  <c r="X161"/>
  <c r="X160"/>
  <c r="X159"/>
  <c r="X158"/>
  <c r="X157"/>
  <c r="X156"/>
  <c r="X155"/>
  <c r="X153"/>
  <c r="X152"/>
  <c r="AS152" s="1"/>
  <c r="X151"/>
  <c r="X150"/>
  <c r="R150" i="8" s="1"/>
  <c r="S150" s="1"/>
  <c r="AG150" s="1"/>
  <c r="X149" i="7"/>
  <c r="R149" i="8" s="1"/>
  <c r="S149" s="1"/>
  <c r="AG149" s="1"/>
  <c r="X148" i="7"/>
  <c r="X146"/>
  <c r="R146" i="8" s="1"/>
  <c r="S146" s="1"/>
  <c r="AG146" s="1"/>
  <c r="X145" i="7"/>
  <c r="AS145" s="1"/>
  <c r="X144"/>
  <c r="R144" i="8" s="1"/>
  <c r="S144" s="1"/>
  <c r="AG144" s="1"/>
  <c r="X143" i="7"/>
  <c r="AS143" s="1"/>
  <c r="X142"/>
  <c r="R142" i="8" s="1"/>
  <c r="S142" s="1"/>
  <c r="AG142" s="1"/>
  <c r="X141" i="7"/>
  <c r="AS141" s="1"/>
  <c r="X140"/>
  <c r="R140" i="8" s="1"/>
  <c r="S140" s="1"/>
  <c r="AG140" s="1"/>
  <c r="X139" i="7"/>
  <c r="AS139" s="1"/>
  <c r="X137"/>
  <c r="X136"/>
  <c r="X135"/>
  <c r="X134"/>
  <c r="X133"/>
  <c r="X132"/>
  <c r="X131"/>
  <c r="X129"/>
  <c r="X128"/>
  <c r="X127"/>
  <c r="X126"/>
  <c r="X125"/>
  <c r="X124"/>
  <c r="X123"/>
  <c r="X122"/>
  <c r="X121"/>
  <c r="X120"/>
  <c r="X119"/>
  <c r="X118"/>
  <c r="X117"/>
  <c r="X116"/>
  <c r="X115"/>
  <c r="X113"/>
  <c r="X112"/>
  <c r="R112" i="8" s="1"/>
  <c r="S112" s="1"/>
  <c r="AG112" s="1"/>
  <c r="X111" i="7"/>
  <c r="X110"/>
  <c r="AS110" s="1"/>
  <c r="X109"/>
  <c r="R109" i="8" s="1"/>
  <c r="S109" s="1"/>
  <c r="AG109" s="1"/>
  <c r="X108" i="7"/>
  <c r="AS108" s="1"/>
  <c r="X107"/>
  <c r="X106"/>
  <c r="R106" i="8" s="1"/>
  <c r="S106" s="1"/>
  <c r="AG106" s="1"/>
  <c r="X105" i="7"/>
  <c r="X104"/>
  <c r="AS104" s="1"/>
  <c r="X103"/>
  <c r="R103" i="8" s="1"/>
  <c r="S103" s="1"/>
  <c r="AG103" s="1"/>
  <c r="X102" i="7"/>
  <c r="AS102" s="1"/>
  <c r="X101"/>
  <c r="R101" i="8" s="1"/>
  <c r="S101" s="1"/>
  <c r="AG101" s="1"/>
  <c r="X99" i="7"/>
  <c r="X98"/>
  <c r="X97"/>
  <c r="X96"/>
  <c r="X95"/>
  <c r="X94"/>
  <c r="X93"/>
  <c r="X92"/>
  <c r="X91"/>
  <c r="X89"/>
  <c r="X88"/>
  <c r="X87"/>
  <c r="X86"/>
  <c r="X85"/>
  <c r="X84"/>
  <c r="X83"/>
  <c r="X82"/>
  <c r="X80"/>
  <c r="X79"/>
  <c r="X78"/>
  <c r="X77"/>
  <c r="X76"/>
  <c r="X74"/>
  <c r="X73"/>
  <c r="X72"/>
  <c r="X71"/>
  <c r="X70"/>
  <c r="X69"/>
  <c r="X68"/>
  <c r="X67"/>
  <c r="X66"/>
  <c r="X65"/>
  <c r="X64"/>
  <c r="X63"/>
  <c r="X61"/>
  <c r="X60"/>
  <c r="X59"/>
  <c r="X58"/>
  <c r="X57"/>
  <c r="X54"/>
  <c r="X53"/>
  <c r="R53" i="8" s="1"/>
  <c r="S53" s="1"/>
  <c r="AG53" s="1"/>
  <c r="X52" i="7"/>
  <c r="X51"/>
  <c r="X50"/>
  <c r="X49"/>
  <c r="X48"/>
  <c r="X47"/>
  <c r="X46"/>
  <c r="X45"/>
  <c r="X44"/>
  <c r="X43"/>
  <c r="X42"/>
  <c r="AS42" s="1"/>
  <c r="X41"/>
  <c r="X40"/>
  <c r="X39"/>
  <c r="X38"/>
  <c r="X37"/>
  <c r="X36"/>
  <c r="X35"/>
  <c r="X34"/>
  <c r="X33"/>
  <c r="R33" i="8" s="1"/>
  <c r="S33" s="1"/>
  <c r="AG33" s="1"/>
  <c r="X32" i="7"/>
  <c r="X31"/>
  <c r="X30"/>
  <c r="X29"/>
  <c r="X28"/>
  <c r="X8"/>
  <c r="X9"/>
  <c r="AS9" s="1"/>
  <c r="X10"/>
  <c r="R10" i="8" s="1"/>
  <c r="S10" s="1"/>
  <c r="AG10" s="1"/>
  <c r="X11" i="7"/>
  <c r="AS11" s="1"/>
  <c r="X12"/>
  <c r="X13"/>
  <c r="X14"/>
  <c r="X15"/>
  <c r="X16"/>
  <c r="X7"/>
  <c r="T19"/>
  <c r="T20"/>
  <c r="T21"/>
  <c r="T22"/>
  <c r="T23"/>
  <c r="T24"/>
  <c r="T25"/>
  <c r="T26"/>
  <c r="T18"/>
  <c r="P378"/>
  <c r="P377"/>
  <c r="P376"/>
  <c r="P375"/>
  <c r="P374"/>
  <c r="P373"/>
  <c r="P372"/>
  <c r="P371"/>
  <c r="P370"/>
  <c r="P369"/>
  <c r="P368"/>
  <c r="P367"/>
  <c r="P365"/>
  <c r="P364"/>
  <c r="P363"/>
  <c r="P362"/>
  <c r="P361"/>
  <c r="P360"/>
  <c r="P359"/>
  <c r="P358"/>
  <c r="P357"/>
  <c r="P356"/>
  <c r="P354"/>
  <c r="P353"/>
  <c r="P352"/>
  <c r="P351"/>
  <c r="P350"/>
  <c r="P349"/>
  <c r="P348"/>
  <c r="P347"/>
  <c r="P346"/>
  <c r="P345"/>
  <c r="P344"/>
  <c r="P342"/>
  <c r="P341"/>
  <c r="P340"/>
  <c r="P339"/>
  <c r="P338"/>
  <c r="P337"/>
  <c r="P336"/>
  <c r="P335"/>
  <c r="P334"/>
  <c r="P333"/>
  <c r="P332"/>
  <c r="P330"/>
  <c r="P329"/>
  <c r="P328"/>
  <c r="P327"/>
  <c r="P326"/>
  <c r="P325"/>
  <c r="P324"/>
  <c r="P323"/>
  <c r="P322"/>
  <c r="P321"/>
  <c r="P320"/>
  <c r="P319"/>
  <c r="P318"/>
  <c r="P317"/>
  <c r="P316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1"/>
  <c r="P270"/>
  <c r="P269"/>
  <c r="P268"/>
  <c r="P267"/>
  <c r="P266"/>
  <c r="P265"/>
  <c r="P263"/>
  <c r="P262"/>
  <c r="P261"/>
  <c r="P260"/>
  <c r="P259"/>
  <c r="P258"/>
  <c r="P257"/>
  <c r="P256"/>
  <c r="P255"/>
  <c r="P254"/>
  <c r="P253"/>
  <c r="P252"/>
  <c r="P251"/>
  <c r="P250"/>
  <c r="P249"/>
  <c r="P247"/>
  <c r="P246"/>
  <c r="P245"/>
  <c r="P244"/>
  <c r="P243"/>
  <c r="P242"/>
  <c r="P241"/>
  <c r="P240"/>
  <c r="P238"/>
  <c r="P237"/>
  <c r="P236"/>
  <c r="P235"/>
  <c r="P234"/>
  <c r="P233"/>
  <c r="P232"/>
  <c r="P231"/>
  <c r="P230"/>
  <c r="P228"/>
  <c r="P227"/>
  <c r="P226"/>
  <c r="P225"/>
  <c r="P224"/>
  <c r="P223"/>
  <c r="P222"/>
  <c r="P221"/>
  <c r="P220"/>
  <c r="P219"/>
  <c r="P218"/>
  <c r="P217"/>
  <c r="P216"/>
  <c r="P214"/>
  <c r="P213"/>
  <c r="P212"/>
  <c r="P211"/>
  <c r="P210"/>
  <c r="P209"/>
  <c r="P208"/>
  <c r="P207"/>
  <c r="P206"/>
  <c r="P205"/>
  <c r="P204"/>
  <c r="P203"/>
  <c r="P201"/>
  <c r="P200"/>
  <c r="P199"/>
  <c r="P198"/>
  <c r="P197"/>
  <c r="P196"/>
  <c r="P195"/>
  <c r="P194"/>
  <c r="P193"/>
  <c r="P192"/>
  <c r="P191"/>
  <c r="P190"/>
  <c r="P189"/>
  <c r="P187"/>
  <c r="P186"/>
  <c r="P185"/>
  <c r="P184"/>
  <c r="P183"/>
  <c r="P182"/>
  <c r="P180"/>
  <c r="P179"/>
  <c r="P178"/>
  <c r="P177"/>
  <c r="P176"/>
  <c r="P175"/>
  <c r="P174"/>
  <c r="P173"/>
  <c r="P172"/>
  <c r="P171"/>
  <c r="P170"/>
  <c r="P169"/>
  <c r="P168"/>
  <c r="P166"/>
  <c r="P165"/>
  <c r="P164"/>
  <c r="P163"/>
  <c r="P162"/>
  <c r="P161"/>
  <c r="P160"/>
  <c r="P159"/>
  <c r="P158"/>
  <c r="P157"/>
  <c r="P156"/>
  <c r="P155"/>
  <c r="P153"/>
  <c r="P152"/>
  <c r="P151"/>
  <c r="P150"/>
  <c r="P149"/>
  <c r="P148"/>
  <c r="P146"/>
  <c r="P145"/>
  <c r="P144"/>
  <c r="P143"/>
  <c r="P142"/>
  <c r="P141"/>
  <c r="P140"/>
  <c r="P139"/>
  <c r="P137"/>
  <c r="P136"/>
  <c r="P135"/>
  <c r="P134"/>
  <c r="P133"/>
  <c r="P132"/>
  <c r="P131"/>
  <c r="P129"/>
  <c r="P128"/>
  <c r="P127"/>
  <c r="P126"/>
  <c r="P125"/>
  <c r="P124"/>
  <c r="P123"/>
  <c r="P122"/>
  <c r="P121"/>
  <c r="P120"/>
  <c r="P119"/>
  <c r="P118"/>
  <c r="P117"/>
  <c r="P116"/>
  <c r="P115"/>
  <c r="P113"/>
  <c r="P112"/>
  <c r="P111"/>
  <c r="P110"/>
  <c r="P109"/>
  <c r="P108"/>
  <c r="P107"/>
  <c r="P106"/>
  <c r="P105"/>
  <c r="P104"/>
  <c r="P103"/>
  <c r="P102"/>
  <c r="P101"/>
  <c r="P99"/>
  <c r="P98"/>
  <c r="P97"/>
  <c r="P96"/>
  <c r="P95"/>
  <c r="P94"/>
  <c r="P93"/>
  <c r="P92"/>
  <c r="P91"/>
  <c r="P89"/>
  <c r="P88"/>
  <c r="P87"/>
  <c r="P86"/>
  <c r="P85"/>
  <c r="P84"/>
  <c r="P83"/>
  <c r="P82"/>
  <c r="P80"/>
  <c r="P79"/>
  <c r="P78"/>
  <c r="P77"/>
  <c r="P76"/>
  <c r="P74"/>
  <c r="P73"/>
  <c r="P72"/>
  <c r="P71"/>
  <c r="P70"/>
  <c r="P69"/>
  <c r="P68"/>
  <c r="P67"/>
  <c r="P66"/>
  <c r="P65"/>
  <c r="P64"/>
  <c r="P63"/>
  <c r="P61"/>
  <c r="P60"/>
  <c r="P59"/>
  <c r="P58"/>
  <c r="P57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8"/>
  <c r="P9"/>
  <c r="P10"/>
  <c r="P11"/>
  <c r="P12"/>
  <c r="P13"/>
  <c r="P14"/>
  <c r="P15"/>
  <c r="P16"/>
  <c r="P7"/>
  <c r="L16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8"/>
  <c r="L9"/>
  <c r="L10"/>
  <c r="L11"/>
  <c r="L12"/>
  <c r="L13"/>
  <c r="L14"/>
  <c r="L15"/>
  <c r="L7"/>
  <c r="H7"/>
  <c r="H16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8"/>
  <c r="H9"/>
  <c r="H10"/>
  <c r="H11"/>
  <c r="H12"/>
  <c r="H13"/>
  <c r="H14"/>
  <c r="H15"/>
  <c r="D378"/>
  <c r="D377"/>
  <c r="D376"/>
  <c r="D375"/>
  <c r="D374"/>
  <c r="D373"/>
  <c r="D372"/>
  <c r="D371"/>
  <c r="D370"/>
  <c r="D369"/>
  <c r="D368"/>
  <c r="D367"/>
  <c r="D365"/>
  <c r="D364"/>
  <c r="D363"/>
  <c r="D362"/>
  <c r="D361"/>
  <c r="D360"/>
  <c r="D359"/>
  <c r="D358"/>
  <c r="D357"/>
  <c r="D356"/>
  <c r="D354"/>
  <c r="D353"/>
  <c r="D352"/>
  <c r="D351"/>
  <c r="D350"/>
  <c r="D349"/>
  <c r="D348"/>
  <c r="D347"/>
  <c r="D346"/>
  <c r="D345"/>
  <c r="D344"/>
  <c r="D342"/>
  <c r="D341"/>
  <c r="D340"/>
  <c r="D339"/>
  <c r="D338"/>
  <c r="D337"/>
  <c r="D336"/>
  <c r="D335"/>
  <c r="D334"/>
  <c r="D333"/>
  <c r="D332"/>
  <c r="D330"/>
  <c r="D329"/>
  <c r="D328"/>
  <c r="D327"/>
  <c r="D326"/>
  <c r="D325"/>
  <c r="D324"/>
  <c r="D323"/>
  <c r="D322"/>
  <c r="D321"/>
  <c r="D320"/>
  <c r="D319"/>
  <c r="D318"/>
  <c r="D317"/>
  <c r="D316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1"/>
  <c r="D270"/>
  <c r="D269"/>
  <c r="D268"/>
  <c r="D267"/>
  <c r="D266"/>
  <c r="D265"/>
  <c r="D263"/>
  <c r="D262"/>
  <c r="D261"/>
  <c r="D260"/>
  <c r="D259"/>
  <c r="D258"/>
  <c r="D257"/>
  <c r="D256"/>
  <c r="D255"/>
  <c r="D254"/>
  <c r="D253"/>
  <c r="D252"/>
  <c r="D251"/>
  <c r="D250"/>
  <c r="D249"/>
  <c r="D247"/>
  <c r="D246"/>
  <c r="D245"/>
  <c r="D244"/>
  <c r="D243"/>
  <c r="D242"/>
  <c r="D241"/>
  <c r="D240"/>
  <c r="D238"/>
  <c r="D237"/>
  <c r="D236"/>
  <c r="D235"/>
  <c r="D234"/>
  <c r="D233"/>
  <c r="D232"/>
  <c r="D231"/>
  <c r="D230"/>
  <c r="D228"/>
  <c r="D227"/>
  <c r="D226"/>
  <c r="D225"/>
  <c r="D224"/>
  <c r="D223"/>
  <c r="D222"/>
  <c r="D221"/>
  <c r="D220"/>
  <c r="D219"/>
  <c r="D218"/>
  <c r="D217"/>
  <c r="D216"/>
  <c r="D214"/>
  <c r="D213"/>
  <c r="D212"/>
  <c r="D211"/>
  <c r="D210"/>
  <c r="D209"/>
  <c r="D208"/>
  <c r="D207"/>
  <c r="D206"/>
  <c r="D205"/>
  <c r="D204"/>
  <c r="D203"/>
  <c r="D201"/>
  <c r="D200"/>
  <c r="D199"/>
  <c r="D198"/>
  <c r="D197"/>
  <c r="D196"/>
  <c r="D195"/>
  <c r="D194"/>
  <c r="D193"/>
  <c r="D192"/>
  <c r="D191"/>
  <c r="D190"/>
  <c r="D189"/>
  <c r="D187"/>
  <c r="D186"/>
  <c r="D185"/>
  <c r="D184"/>
  <c r="D183"/>
  <c r="D182"/>
  <c r="D180"/>
  <c r="D179"/>
  <c r="D178"/>
  <c r="D177"/>
  <c r="D176"/>
  <c r="D175"/>
  <c r="D174"/>
  <c r="D173"/>
  <c r="D172"/>
  <c r="D171"/>
  <c r="D170"/>
  <c r="D169"/>
  <c r="D168"/>
  <c r="D166"/>
  <c r="D165"/>
  <c r="D164"/>
  <c r="D163"/>
  <c r="D162"/>
  <c r="D161"/>
  <c r="D160"/>
  <c r="D159"/>
  <c r="D158"/>
  <c r="D157"/>
  <c r="D156"/>
  <c r="D155"/>
  <c r="D153"/>
  <c r="D152"/>
  <c r="D151"/>
  <c r="D150"/>
  <c r="D149"/>
  <c r="D148"/>
  <c r="D146"/>
  <c r="D145"/>
  <c r="D144"/>
  <c r="D143"/>
  <c r="D142"/>
  <c r="D141"/>
  <c r="D140"/>
  <c r="D139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D119"/>
  <c r="D118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96"/>
  <c r="D95"/>
  <c r="D94"/>
  <c r="D93"/>
  <c r="D92"/>
  <c r="D91"/>
  <c r="D89"/>
  <c r="D88"/>
  <c r="D87"/>
  <c r="D86"/>
  <c r="D85"/>
  <c r="D84"/>
  <c r="D83"/>
  <c r="D82"/>
  <c r="D80"/>
  <c r="D79"/>
  <c r="D78"/>
  <c r="D77"/>
  <c r="D76"/>
  <c r="D74"/>
  <c r="D73"/>
  <c r="D72"/>
  <c r="D71"/>
  <c r="D70"/>
  <c r="D69"/>
  <c r="D68"/>
  <c r="D67"/>
  <c r="D66"/>
  <c r="D65"/>
  <c r="D64"/>
  <c r="D63"/>
  <c r="D61"/>
  <c r="D60"/>
  <c r="D59"/>
  <c r="D58"/>
  <c r="D5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28"/>
  <c r="D8"/>
  <c r="D9"/>
  <c r="D10"/>
  <c r="D11"/>
  <c r="D12"/>
  <c r="D13"/>
  <c r="D14"/>
  <c r="D15"/>
  <c r="D16"/>
  <c r="D7"/>
  <c r="W55"/>
  <c r="V55"/>
  <c r="W27"/>
  <c r="V27"/>
  <c r="W6"/>
  <c r="V6"/>
  <c r="AM379"/>
  <c r="AL379"/>
  <c r="AM27"/>
  <c r="AL27"/>
  <c r="AM17"/>
  <c r="AL17"/>
  <c r="AM6"/>
  <c r="AL6"/>
  <c r="AS365" l="1"/>
  <c r="AS363"/>
  <c r="AS361"/>
  <c r="AS359"/>
  <c r="R358" i="8"/>
  <c r="S358" s="1"/>
  <c r="AG358" s="1"/>
  <c r="R360"/>
  <c r="S360" s="1"/>
  <c r="AG360" s="1"/>
  <c r="R362"/>
  <c r="S362" s="1"/>
  <c r="AG362" s="1"/>
  <c r="R364"/>
  <c r="S364" s="1"/>
  <c r="AG364" s="1"/>
  <c r="AS357" i="7"/>
  <c r="R356" i="8"/>
  <c r="S356" s="1"/>
  <c r="AG356" s="1"/>
  <c r="AS53" i="7"/>
  <c r="R214" i="8"/>
  <c r="S214" s="1"/>
  <c r="AG214" s="1"/>
  <c r="AS213" i="7"/>
  <c r="AS211"/>
  <c r="AS210"/>
  <c r="AS209"/>
  <c r="AS208"/>
  <c r="AS207"/>
  <c r="AS206"/>
  <c r="AS203"/>
  <c r="R42" i="8"/>
  <c r="S42" s="1"/>
  <c r="AG42" s="1"/>
  <c r="R152"/>
  <c r="S152" s="1"/>
  <c r="AG152" s="1"/>
  <c r="AS150" i="7"/>
  <c r="AS149"/>
  <c r="AS146"/>
  <c r="R145" i="8"/>
  <c r="S145" s="1"/>
  <c r="AG145" s="1"/>
  <c r="AS144" i="7"/>
  <c r="R143" i="8"/>
  <c r="S143" s="1"/>
  <c r="AG143" s="1"/>
  <c r="AS142" i="7"/>
  <c r="R141" i="8"/>
  <c r="S141" s="1"/>
  <c r="AG141" s="1"/>
  <c r="AS140" i="7"/>
  <c r="R139" i="8"/>
  <c r="S139" s="1"/>
  <c r="AG139" s="1"/>
  <c r="AS112" i="7"/>
  <c r="R110" i="8"/>
  <c r="S110" s="1"/>
  <c r="AG110" s="1"/>
  <c r="AS109" i="7"/>
  <c r="R108" i="8"/>
  <c r="S108" s="1"/>
  <c r="AG108" s="1"/>
  <c r="AS106" i="7"/>
  <c r="R104" i="8"/>
  <c r="S104" s="1"/>
  <c r="AG104" s="1"/>
  <c r="AS103" i="7"/>
  <c r="R102" i="8"/>
  <c r="S102" s="1"/>
  <c r="AG102" s="1"/>
  <c r="AS101" i="7"/>
  <c r="V379"/>
  <c r="X27"/>
  <c r="AS33"/>
  <c r="R11" i="8"/>
  <c r="S11" s="1"/>
  <c r="AG11" s="1"/>
  <c r="AS10" i="7"/>
  <c r="R9" i="8"/>
  <c r="S9" s="1"/>
  <c r="AG9" s="1"/>
  <c r="X55" i="7"/>
  <c r="W379"/>
  <c r="X6"/>
  <c r="AN379"/>
  <c r="AN27"/>
  <c r="AN17"/>
  <c r="AN6"/>
  <c r="BE55"/>
  <c r="BE27"/>
  <c r="BE17"/>
  <c r="BE6"/>
  <c r="X379" l="1"/>
  <c r="BE379"/>
  <c r="AA29" i="8" l="1"/>
  <c r="AB29" s="1"/>
  <c r="AA30"/>
  <c r="AB30" s="1"/>
  <c r="AA31"/>
  <c r="AB31" s="1"/>
  <c r="AA32"/>
  <c r="AB32" s="1"/>
  <c r="AA33"/>
  <c r="AB33" s="1"/>
  <c r="AA34"/>
  <c r="AB34" s="1"/>
  <c r="AA35"/>
  <c r="AB35" s="1"/>
  <c r="AA36"/>
  <c r="AB36" s="1"/>
  <c r="AA37"/>
  <c r="AB37" s="1"/>
  <c r="AA38"/>
  <c r="AB38" s="1"/>
  <c r="AA39"/>
  <c r="AB39" s="1"/>
  <c r="AA40"/>
  <c r="AB40" s="1"/>
  <c r="AA41"/>
  <c r="AB41" s="1"/>
  <c r="AA42"/>
  <c r="AB42" s="1"/>
  <c r="AA43"/>
  <c r="AB43" s="1"/>
  <c r="AA44"/>
  <c r="AB44" s="1"/>
  <c r="AA45"/>
  <c r="AB45" s="1"/>
  <c r="AA46"/>
  <c r="AB46" s="1"/>
  <c r="AA47"/>
  <c r="AB47" s="1"/>
  <c r="AA48"/>
  <c r="AB48" s="1"/>
  <c r="AA49"/>
  <c r="AB49" s="1"/>
  <c r="AA50"/>
  <c r="AB50" s="1"/>
  <c r="AA51"/>
  <c r="AB51" s="1"/>
  <c r="AA52"/>
  <c r="AB52" s="1"/>
  <c r="AA53"/>
  <c r="AB53" s="1"/>
  <c r="AA54"/>
  <c r="AB54" s="1"/>
  <c r="AA28"/>
  <c r="AB28" s="1"/>
  <c r="X29"/>
  <c r="Y29" s="1"/>
  <c r="X30"/>
  <c r="Y30" s="1"/>
  <c r="X31"/>
  <c r="Y31" s="1"/>
  <c r="X32"/>
  <c r="Y32" s="1"/>
  <c r="X33"/>
  <c r="Y33" s="1"/>
  <c r="X34"/>
  <c r="Y34" s="1"/>
  <c r="X35"/>
  <c r="Y35"/>
  <c r="X36"/>
  <c r="Y36" s="1"/>
  <c r="X37"/>
  <c r="Y37" s="1"/>
  <c r="X38"/>
  <c r="Y38" s="1"/>
  <c r="X39"/>
  <c r="Y39"/>
  <c r="X40"/>
  <c r="Y40" s="1"/>
  <c r="X41"/>
  <c r="Y41" s="1"/>
  <c r="X42"/>
  <c r="Y42" s="1"/>
  <c r="X43"/>
  <c r="Y43" s="1"/>
  <c r="X44"/>
  <c r="Y44" s="1"/>
  <c r="X45"/>
  <c r="Y45" s="1"/>
  <c r="X46"/>
  <c r="Y46" s="1"/>
  <c r="X47"/>
  <c r="Y47" s="1"/>
  <c r="X48"/>
  <c r="Y48" s="1"/>
  <c r="X49"/>
  <c r="Y49" s="1"/>
  <c r="X50"/>
  <c r="Y50" s="1"/>
  <c r="X51"/>
  <c r="Y51"/>
  <c r="X52"/>
  <c r="Y52" s="1"/>
  <c r="X53"/>
  <c r="Y53" s="1"/>
  <c r="X54"/>
  <c r="Y54" s="1"/>
  <c r="X28"/>
  <c r="Y28" s="1"/>
  <c r="U378"/>
  <c r="V378" s="1"/>
  <c r="U377"/>
  <c r="V377" s="1"/>
  <c r="U376"/>
  <c r="V376" s="1"/>
  <c r="U375"/>
  <c r="V375" s="1"/>
  <c r="U374"/>
  <c r="V374" s="1"/>
  <c r="U373"/>
  <c r="V373" s="1"/>
  <c r="U372"/>
  <c r="V372" s="1"/>
  <c r="U371"/>
  <c r="V371" s="1"/>
  <c r="U370"/>
  <c r="V370" s="1"/>
  <c r="U369"/>
  <c r="V369" s="1"/>
  <c r="U368"/>
  <c r="V368" s="1"/>
  <c r="U367"/>
  <c r="V367" s="1"/>
  <c r="U365"/>
  <c r="V365" s="1"/>
  <c r="U364"/>
  <c r="V364" s="1"/>
  <c r="U363"/>
  <c r="V363" s="1"/>
  <c r="U362"/>
  <c r="V362" s="1"/>
  <c r="U361"/>
  <c r="V361" s="1"/>
  <c r="U360"/>
  <c r="V360" s="1"/>
  <c r="U359"/>
  <c r="V359" s="1"/>
  <c r="U358"/>
  <c r="V358" s="1"/>
  <c r="U357"/>
  <c r="V357" s="1"/>
  <c r="U356"/>
  <c r="V356" s="1"/>
  <c r="U354"/>
  <c r="V354" s="1"/>
  <c r="U353"/>
  <c r="V353" s="1"/>
  <c r="U352"/>
  <c r="V352" s="1"/>
  <c r="U351"/>
  <c r="V351" s="1"/>
  <c r="U350"/>
  <c r="V350" s="1"/>
  <c r="U349"/>
  <c r="V349" s="1"/>
  <c r="U348"/>
  <c r="V348" s="1"/>
  <c r="U347"/>
  <c r="V347" s="1"/>
  <c r="U346"/>
  <c r="V346" s="1"/>
  <c r="U345"/>
  <c r="V345" s="1"/>
  <c r="U344"/>
  <c r="V344" s="1"/>
  <c r="U342"/>
  <c r="V342" s="1"/>
  <c r="U341"/>
  <c r="V341" s="1"/>
  <c r="U340"/>
  <c r="V340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0"/>
  <c r="V330" s="1"/>
  <c r="U329"/>
  <c r="V329" s="1"/>
  <c r="U328"/>
  <c r="V328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4"/>
  <c r="V314" s="1"/>
  <c r="U313"/>
  <c r="V313" s="1"/>
  <c r="U312"/>
  <c r="V312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89"/>
  <c r="V289" s="1"/>
  <c r="U288"/>
  <c r="V288" s="1"/>
  <c r="U287"/>
  <c r="V287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1"/>
  <c r="V271" s="1"/>
  <c r="U270"/>
  <c r="V270" s="1"/>
  <c r="U269"/>
  <c r="V269" s="1"/>
  <c r="U268"/>
  <c r="V268" s="1"/>
  <c r="U267"/>
  <c r="V267" s="1"/>
  <c r="U266"/>
  <c r="V266" s="1"/>
  <c r="U265"/>
  <c r="V265" s="1"/>
  <c r="U263"/>
  <c r="V263" s="1"/>
  <c r="U262"/>
  <c r="V262" s="1"/>
  <c r="U261"/>
  <c r="V261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7"/>
  <c r="V247" s="1"/>
  <c r="U246"/>
  <c r="V246" s="1"/>
  <c r="U245"/>
  <c r="V245" s="1"/>
  <c r="U244"/>
  <c r="V244" s="1"/>
  <c r="U243"/>
  <c r="V243" s="1"/>
  <c r="U242"/>
  <c r="V242" s="1"/>
  <c r="U241"/>
  <c r="V241" s="1"/>
  <c r="U240"/>
  <c r="V240" s="1"/>
  <c r="U238"/>
  <c r="V238" s="1"/>
  <c r="U237"/>
  <c r="V237" s="1"/>
  <c r="U236"/>
  <c r="V236" s="1"/>
  <c r="U234"/>
  <c r="V234" s="1"/>
  <c r="U233"/>
  <c r="V233" s="1"/>
  <c r="U232"/>
  <c r="V232" s="1"/>
  <c r="U231"/>
  <c r="V231" s="1"/>
  <c r="U230"/>
  <c r="V230" s="1"/>
  <c r="U228"/>
  <c r="V228" s="1"/>
  <c r="U227"/>
  <c r="V227" s="1"/>
  <c r="U226"/>
  <c r="V226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4"/>
  <c r="V214" s="1"/>
  <c r="U213"/>
  <c r="V213" s="1"/>
  <c r="U212"/>
  <c r="V212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1"/>
  <c r="V201" s="1"/>
  <c r="U200"/>
  <c r="V200" s="1"/>
  <c r="U199"/>
  <c r="V199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7"/>
  <c r="V187" s="1"/>
  <c r="U186"/>
  <c r="V186" s="1"/>
  <c r="U185"/>
  <c r="V185" s="1"/>
  <c r="U184"/>
  <c r="V184" s="1"/>
  <c r="U183"/>
  <c r="V183" s="1"/>
  <c r="U182"/>
  <c r="V182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V169" s="1"/>
  <c r="U168"/>
  <c r="V168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56"/>
  <c r="V156" s="1"/>
  <c r="U155"/>
  <c r="V155" s="1"/>
  <c r="U153"/>
  <c r="V153" s="1"/>
  <c r="U152"/>
  <c r="V152" s="1"/>
  <c r="U151"/>
  <c r="V151" s="1"/>
  <c r="U150"/>
  <c r="V150" s="1"/>
  <c r="U149"/>
  <c r="V149" s="1"/>
  <c r="U148"/>
  <c r="V148" s="1"/>
  <c r="U146"/>
  <c r="V146" s="1"/>
  <c r="U145"/>
  <c r="V145" s="1"/>
  <c r="U144"/>
  <c r="V144" s="1"/>
  <c r="U143"/>
  <c r="V143" s="1"/>
  <c r="U142"/>
  <c r="V142" s="1"/>
  <c r="U141"/>
  <c r="V141" s="1"/>
  <c r="U140"/>
  <c r="V140" s="1"/>
  <c r="U139"/>
  <c r="V139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29"/>
  <c r="V129" s="1"/>
  <c r="U128"/>
  <c r="V128" s="1"/>
  <c r="U127"/>
  <c r="V127" s="1"/>
  <c r="U126"/>
  <c r="V126" s="1"/>
  <c r="U125"/>
  <c r="V125" s="1"/>
  <c r="U123"/>
  <c r="V123" s="1"/>
  <c r="U122"/>
  <c r="V122" s="1"/>
  <c r="U121"/>
  <c r="V121" s="1"/>
  <c r="U120"/>
  <c r="V120" s="1"/>
  <c r="U119"/>
  <c r="V119" s="1"/>
  <c r="U118"/>
  <c r="V118" s="1"/>
  <c r="U117"/>
  <c r="V117" s="1"/>
  <c r="U116"/>
  <c r="V116" s="1"/>
  <c r="U115"/>
  <c r="V115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102"/>
  <c r="V102" s="1"/>
  <c r="U101"/>
  <c r="V101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0"/>
  <c r="V80" s="1"/>
  <c r="U79"/>
  <c r="V79" s="1"/>
  <c r="U78"/>
  <c r="V78" s="1"/>
  <c r="U77"/>
  <c r="V77" s="1"/>
  <c r="U76"/>
  <c r="V76" s="1"/>
  <c r="U74"/>
  <c r="V74" s="1"/>
  <c r="U73"/>
  <c r="V73" s="1"/>
  <c r="U72"/>
  <c r="V72" s="1"/>
  <c r="U71"/>
  <c r="V71" s="1"/>
  <c r="U70"/>
  <c r="V70" s="1"/>
  <c r="U69"/>
  <c r="V69" s="1"/>
  <c r="U68"/>
  <c r="V68" s="1"/>
  <c r="U67"/>
  <c r="V67" s="1"/>
  <c r="U66"/>
  <c r="V66" s="1"/>
  <c r="U65"/>
  <c r="V65" s="1"/>
  <c r="U64"/>
  <c r="V64" s="1"/>
  <c r="U63"/>
  <c r="V63" s="1"/>
  <c r="U61"/>
  <c r="V61" s="1"/>
  <c r="U60"/>
  <c r="V60" s="1"/>
  <c r="U59"/>
  <c r="V59" s="1"/>
  <c r="U58"/>
  <c r="V58" s="1"/>
  <c r="U57"/>
  <c r="V57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U48"/>
  <c r="V48" s="1"/>
  <c r="U49"/>
  <c r="V49"/>
  <c r="U50"/>
  <c r="V50" s="1"/>
  <c r="U51"/>
  <c r="V51" s="1"/>
  <c r="U52"/>
  <c r="V52" s="1"/>
  <c r="U53"/>
  <c r="V53" s="1"/>
  <c r="U54"/>
  <c r="V54" s="1"/>
  <c r="U28"/>
  <c r="V28" s="1"/>
  <c r="C7"/>
  <c r="AT378" i="7" l="1"/>
  <c r="AT377"/>
  <c r="AT376"/>
  <c r="AT375"/>
  <c r="AT374"/>
  <c r="AT373"/>
  <c r="AT372"/>
  <c r="AT371"/>
  <c r="AT370"/>
  <c r="AT369"/>
  <c r="AT368"/>
  <c r="AT367"/>
  <c r="AT365"/>
  <c r="AT364"/>
  <c r="AT363"/>
  <c r="AT362"/>
  <c r="AT361"/>
  <c r="AT360"/>
  <c r="AT359"/>
  <c r="AT358"/>
  <c r="AT357"/>
  <c r="AT356"/>
  <c r="AT354"/>
  <c r="AT353"/>
  <c r="AT352"/>
  <c r="AT351"/>
  <c r="AT350"/>
  <c r="AT349"/>
  <c r="AT348"/>
  <c r="AT347"/>
  <c r="AT346"/>
  <c r="AT345"/>
  <c r="AT344"/>
  <c r="AT342"/>
  <c r="AT341"/>
  <c r="AT340"/>
  <c r="AT339"/>
  <c r="AT338"/>
  <c r="AT337"/>
  <c r="AT336"/>
  <c r="AT335"/>
  <c r="AT334"/>
  <c r="AT333"/>
  <c r="AT332"/>
  <c r="AT330"/>
  <c r="AT329"/>
  <c r="AT328"/>
  <c r="AT327"/>
  <c r="AT326"/>
  <c r="AT325"/>
  <c r="AT324"/>
  <c r="AT323"/>
  <c r="AT322"/>
  <c r="AT321"/>
  <c r="AT320"/>
  <c r="AT319"/>
  <c r="AT318"/>
  <c r="AT317"/>
  <c r="AT316"/>
  <c r="AT314"/>
  <c r="AT313"/>
  <c r="AT312"/>
  <c r="AT311"/>
  <c r="AT310"/>
  <c r="AT309"/>
  <c r="AT308"/>
  <c r="AT307"/>
  <c r="AT306"/>
  <c r="AT305"/>
  <c r="AT304"/>
  <c r="AT303"/>
  <c r="AT302"/>
  <c r="AT301"/>
  <c r="AT300"/>
  <c r="AT299"/>
  <c r="AT298"/>
  <c r="AT297"/>
  <c r="AT296"/>
  <c r="AT295"/>
  <c r="AT294"/>
  <c r="AT293"/>
  <c r="AT292"/>
  <c r="AT291"/>
  <c r="AT289"/>
  <c r="AT288"/>
  <c r="AT287"/>
  <c r="AT286"/>
  <c r="AT285"/>
  <c r="AT284"/>
  <c r="AT283"/>
  <c r="AT282"/>
  <c r="AT281"/>
  <c r="AT280"/>
  <c r="AT279"/>
  <c r="AT278"/>
  <c r="AT277"/>
  <c r="AT276"/>
  <c r="AT275"/>
  <c r="AT274"/>
  <c r="AT273"/>
  <c r="AT271"/>
  <c r="AT270"/>
  <c r="AT269"/>
  <c r="AT268"/>
  <c r="AT267"/>
  <c r="AT266"/>
  <c r="AT265"/>
  <c r="AT263"/>
  <c r="AT262"/>
  <c r="AT261"/>
  <c r="AT260"/>
  <c r="AT259"/>
  <c r="AT258"/>
  <c r="AT257"/>
  <c r="AT256"/>
  <c r="AT255"/>
  <c r="AT254"/>
  <c r="AT253"/>
  <c r="AT252"/>
  <c r="AT251"/>
  <c r="AT250"/>
  <c r="AT249"/>
  <c r="AT247"/>
  <c r="AT246"/>
  <c r="AT245"/>
  <c r="AT244"/>
  <c r="AT243"/>
  <c r="AT242"/>
  <c r="AT241"/>
  <c r="AT240"/>
  <c r="AT238"/>
  <c r="AT237"/>
  <c r="AT236"/>
  <c r="AT234"/>
  <c r="AT233"/>
  <c r="AT232"/>
  <c r="AT231"/>
  <c r="AT230"/>
  <c r="AT228"/>
  <c r="AT227"/>
  <c r="AT226"/>
  <c r="AT225"/>
  <c r="AT224"/>
  <c r="AT223"/>
  <c r="AT222"/>
  <c r="AT221"/>
  <c r="AT220"/>
  <c r="AT219"/>
  <c r="AT218"/>
  <c r="AT217"/>
  <c r="AT216"/>
  <c r="AT214"/>
  <c r="AT213"/>
  <c r="AT212"/>
  <c r="AT211"/>
  <c r="AT210"/>
  <c r="AT209"/>
  <c r="AT208"/>
  <c r="AT207"/>
  <c r="AT206"/>
  <c r="AT205"/>
  <c r="AT204"/>
  <c r="AT203"/>
  <c r="AT201"/>
  <c r="AT200"/>
  <c r="AT199"/>
  <c r="AT198"/>
  <c r="AT197"/>
  <c r="AT196"/>
  <c r="AT195"/>
  <c r="AT194"/>
  <c r="AT193"/>
  <c r="AT192"/>
  <c r="AT191"/>
  <c r="AT190"/>
  <c r="AT189"/>
  <c r="AT187"/>
  <c r="AT186"/>
  <c r="AT185"/>
  <c r="AT184"/>
  <c r="AT183"/>
  <c r="AT182"/>
  <c r="AT180"/>
  <c r="AT179"/>
  <c r="AT178"/>
  <c r="AT177"/>
  <c r="AT176"/>
  <c r="AT175"/>
  <c r="AT174"/>
  <c r="AT173"/>
  <c r="AT172"/>
  <c r="AT171"/>
  <c r="AT170"/>
  <c r="AT169"/>
  <c r="AT168"/>
  <c r="AT166"/>
  <c r="AT165"/>
  <c r="AT164"/>
  <c r="AT163"/>
  <c r="AT162"/>
  <c r="AT161"/>
  <c r="AT160"/>
  <c r="AT159"/>
  <c r="AT158"/>
  <c r="AT157"/>
  <c r="AT156"/>
  <c r="AT155"/>
  <c r="AT153"/>
  <c r="AT152"/>
  <c r="AT151"/>
  <c r="AT150"/>
  <c r="AT149"/>
  <c r="AT148"/>
  <c r="AT146"/>
  <c r="AT145"/>
  <c r="AT144"/>
  <c r="AT143"/>
  <c r="AT142"/>
  <c r="AT141"/>
  <c r="AT140"/>
  <c r="AT139"/>
  <c r="AT137"/>
  <c r="AT136"/>
  <c r="AT135"/>
  <c r="AT134"/>
  <c r="AT133"/>
  <c r="AT132"/>
  <c r="AT131"/>
  <c r="AT129"/>
  <c r="AT128"/>
  <c r="AT127"/>
  <c r="AT126"/>
  <c r="AT125"/>
  <c r="AT123"/>
  <c r="AT122"/>
  <c r="AT121"/>
  <c r="AT120"/>
  <c r="AT119"/>
  <c r="AT118"/>
  <c r="AT117"/>
  <c r="AT116"/>
  <c r="AT115"/>
  <c r="AT113"/>
  <c r="AT112"/>
  <c r="AT111"/>
  <c r="AT110"/>
  <c r="AT109"/>
  <c r="AT108"/>
  <c r="AT107"/>
  <c r="AT106"/>
  <c r="AT105"/>
  <c r="AT104"/>
  <c r="AT103"/>
  <c r="AT102"/>
  <c r="AT101"/>
  <c r="AT99"/>
  <c r="AT98"/>
  <c r="AT97"/>
  <c r="AT96"/>
  <c r="AT95"/>
  <c r="AT94"/>
  <c r="AT93"/>
  <c r="AT92"/>
  <c r="AT91"/>
  <c r="AT89"/>
  <c r="AT88"/>
  <c r="AT87"/>
  <c r="AT86"/>
  <c r="AT85"/>
  <c r="AT84"/>
  <c r="AT83"/>
  <c r="AT82"/>
  <c r="AT80"/>
  <c r="AT79"/>
  <c r="AT78"/>
  <c r="AT77"/>
  <c r="AT76"/>
  <c r="AT74"/>
  <c r="AT73"/>
  <c r="AT72"/>
  <c r="AT71"/>
  <c r="AT70"/>
  <c r="AT69"/>
  <c r="AT68"/>
  <c r="AT67"/>
  <c r="AT66"/>
  <c r="AT65"/>
  <c r="AT64"/>
  <c r="AT63"/>
  <c r="AT61"/>
  <c r="AT60"/>
  <c r="AT59"/>
  <c r="AT58"/>
  <c r="AT57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8"/>
  <c r="AT9"/>
  <c r="AT10"/>
  <c r="AT11"/>
  <c r="AT12"/>
  <c r="AT13"/>
  <c r="AT14"/>
  <c r="AT15"/>
  <c r="AT16"/>
  <c r="AT7"/>
  <c r="AT124"/>
  <c r="AI379"/>
  <c r="AJ379" s="1"/>
  <c r="AH379"/>
  <c r="AE379"/>
  <c r="AF379" s="1"/>
  <c r="AD379"/>
  <c r="AI27"/>
  <c r="AJ27" s="1"/>
  <c r="AH27"/>
  <c r="AE27"/>
  <c r="AD27"/>
  <c r="AF27" s="1"/>
  <c r="U124" i="8"/>
  <c r="V124" s="1"/>
  <c r="U235"/>
  <c r="V235" s="1"/>
  <c r="AB379" i="7"/>
  <c r="AA379"/>
  <c r="Z379"/>
  <c r="AA55"/>
  <c r="Z55"/>
  <c r="AA27"/>
  <c r="Z27"/>
  <c r="AB27" s="1"/>
  <c r="AT19"/>
  <c r="AT20"/>
  <c r="AT21"/>
  <c r="AT22"/>
  <c r="AT23"/>
  <c r="AT24"/>
  <c r="AT25"/>
  <c r="AT26"/>
  <c r="AT18"/>
  <c r="S17"/>
  <c r="R17"/>
  <c r="R379" s="1"/>
  <c r="D379"/>
  <c r="AX7" l="1"/>
  <c r="AT235"/>
  <c r="AB55"/>
  <c r="AY379" l="1"/>
  <c r="AU55" l="1"/>
  <c r="AV55"/>
  <c r="AV379" s="1"/>
  <c r="AW55"/>
  <c r="AW379" s="1"/>
  <c r="AU27"/>
  <c r="AV27"/>
  <c r="AW27"/>
  <c r="AU17"/>
  <c r="AV17"/>
  <c r="AW17"/>
  <c r="AU6"/>
  <c r="AV6"/>
  <c r="AW6"/>
  <c r="BC17"/>
  <c r="AU379" l="1"/>
  <c r="BA55"/>
  <c r="BA27"/>
  <c r="BA17"/>
  <c r="BA6"/>
  <c r="BA379" l="1"/>
  <c r="I54" i="8"/>
  <c r="J54" s="1"/>
  <c r="AX9" i="7"/>
  <c r="AZ9" s="1"/>
  <c r="BB9" s="1"/>
  <c r="BD9" s="1"/>
  <c r="BF9" s="1"/>
  <c r="AX11"/>
  <c r="AZ11" s="1"/>
  <c r="BB11" s="1"/>
  <c r="BD11" s="1"/>
  <c r="BF11" s="1"/>
  <c r="AX13"/>
  <c r="AZ13" s="1"/>
  <c r="BB13" s="1"/>
  <c r="BD13" s="1"/>
  <c r="BF13" s="1"/>
  <c r="AX15"/>
  <c r="AZ15" s="1"/>
  <c r="BB15" s="1"/>
  <c r="BD15" s="1"/>
  <c r="BF15" s="1"/>
  <c r="AX58"/>
  <c r="AZ58" s="1"/>
  <c r="BB58" s="1"/>
  <c r="BD58" s="1"/>
  <c r="BF58" s="1"/>
  <c r="AX59"/>
  <c r="AZ59" s="1"/>
  <c r="BB59" s="1"/>
  <c r="BD59" s="1"/>
  <c r="BF59" s="1"/>
  <c r="AX60"/>
  <c r="AZ60" s="1"/>
  <c r="BB60" s="1"/>
  <c r="AX61"/>
  <c r="AZ61" s="1"/>
  <c r="BB61" s="1"/>
  <c r="BD61" s="1"/>
  <c r="BF61" s="1"/>
  <c r="AX63"/>
  <c r="AZ63" s="1"/>
  <c r="BB63" s="1"/>
  <c r="BD63" s="1"/>
  <c r="BF63" s="1"/>
  <c r="AX64"/>
  <c r="AZ64" s="1"/>
  <c r="BB64" s="1"/>
  <c r="BD64" s="1"/>
  <c r="BF64" s="1"/>
  <c r="AX65"/>
  <c r="AZ65" s="1"/>
  <c r="BB65" s="1"/>
  <c r="BD65" s="1"/>
  <c r="BF65" s="1"/>
  <c r="AX66"/>
  <c r="AZ66" s="1"/>
  <c r="BB66" s="1"/>
  <c r="AX67"/>
  <c r="AZ67" s="1"/>
  <c r="BB67" s="1"/>
  <c r="BD67" s="1"/>
  <c r="BF67" s="1"/>
  <c r="AX68"/>
  <c r="AZ68" s="1"/>
  <c r="BB68" s="1"/>
  <c r="BD68" s="1"/>
  <c r="BF68" s="1"/>
  <c r="AX69"/>
  <c r="AZ69" s="1"/>
  <c r="BB69" s="1"/>
  <c r="BD69" s="1"/>
  <c r="BF69" s="1"/>
  <c r="AX70"/>
  <c r="AZ70" s="1"/>
  <c r="BB70" s="1"/>
  <c r="AX71"/>
  <c r="AZ71" s="1"/>
  <c r="BB71" s="1"/>
  <c r="BD71" s="1"/>
  <c r="BF71" s="1"/>
  <c r="AX72"/>
  <c r="AZ72" s="1"/>
  <c r="BB72" s="1"/>
  <c r="BD72" s="1"/>
  <c r="BF72" s="1"/>
  <c r="AX73"/>
  <c r="AZ73" s="1"/>
  <c r="BB73" s="1"/>
  <c r="BD73" s="1"/>
  <c r="BF73" s="1"/>
  <c r="AX74"/>
  <c r="AZ74" s="1"/>
  <c r="BB74" s="1"/>
  <c r="BD74" s="1"/>
  <c r="BF74" s="1"/>
  <c r="AX76"/>
  <c r="AZ76" s="1"/>
  <c r="BB76" s="1"/>
  <c r="BD76" s="1"/>
  <c r="BF76" s="1"/>
  <c r="AX77"/>
  <c r="AZ77" s="1"/>
  <c r="BB77" s="1"/>
  <c r="BD77" s="1"/>
  <c r="BF77" s="1"/>
  <c r="AX78"/>
  <c r="AZ78" s="1"/>
  <c r="BB78" s="1"/>
  <c r="BD78" s="1"/>
  <c r="BF78" s="1"/>
  <c r="AX79"/>
  <c r="AZ79" s="1"/>
  <c r="BB79" s="1"/>
  <c r="BD79" s="1"/>
  <c r="BF79" s="1"/>
  <c r="AX80"/>
  <c r="AZ80" s="1"/>
  <c r="BB80" s="1"/>
  <c r="BD80" s="1"/>
  <c r="BF80" s="1"/>
  <c r="AX82"/>
  <c r="AZ82" s="1"/>
  <c r="BB82" s="1"/>
  <c r="AX83"/>
  <c r="AZ83" s="1"/>
  <c r="BB83" s="1"/>
  <c r="BD83" s="1"/>
  <c r="BF83" s="1"/>
  <c r="AX84"/>
  <c r="AZ84" s="1"/>
  <c r="BB84" s="1"/>
  <c r="BD84" s="1"/>
  <c r="BF84" s="1"/>
  <c r="AX85"/>
  <c r="AZ85" s="1"/>
  <c r="BB85" s="1"/>
  <c r="BD85" s="1"/>
  <c r="BF85" s="1"/>
  <c r="AX86"/>
  <c r="AZ86" s="1"/>
  <c r="BB86" s="1"/>
  <c r="AX87"/>
  <c r="AZ87" s="1"/>
  <c r="BB87" s="1"/>
  <c r="BD87" s="1"/>
  <c r="BF87" s="1"/>
  <c r="AX88"/>
  <c r="AZ88" s="1"/>
  <c r="BB88" s="1"/>
  <c r="BD88" s="1"/>
  <c r="BF88" s="1"/>
  <c r="AX89"/>
  <c r="AZ89" s="1"/>
  <c r="BB89" s="1"/>
  <c r="BD89" s="1"/>
  <c r="BF89" s="1"/>
  <c r="AX91"/>
  <c r="AZ91" s="1"/>
  <c r="BB91" s="1"/>
  <c r="AX92"/>
  <c r="AZ92" s="1"/>
  <c r="BB92" s="1"/>
  <c r="BD92" s="1"/>
  <c r="BF92" s="1"/>
  <c r="AX93"/>
  <c r="AZ93" s="1"/>
  <c r="BB93" s="1"/>
  <c r="BD93" s="1"/>
  <c r="BF93" s="1"/>
  <c r="AX94"/>
  <c r="AZ94" s="1"/>
  <c r="BB94" s="1"/>
  <c r="AX95"/>
  <c r="AZ95" s="1"/>
  <c r="BB95" s="1"/>
  <c r="BD95" s="1"/>
  <c r="BF95" s="1"/>
  <c r="AX96"/>
  <c r="AZ96" s="1"/>
  <c r="BB96" s="1"/>
  <c r="AX97"/>
  <c r="AZ97" s="1"/>
  <c r="BB97" s="1"/>
  <c r="BD97" s="1"/>
  <c r="BF97" s="1"/>
  <c r="AX98"/>
  <c r="AZ98" s="1"/>
  <c r="BB98" s="1"/>
  <c r="BD98" s="1"/>
  <c r="BF98" s="1"/>
  <c r="AX99"/>
  <c r="AZ99" s="1"/>
  <c r="BB99" s="1"/>
  <c r="BD99" s="1"/>
  <c r="BF99" s="1"/>
  <c r="AX101"/>
  <c r="AZ101" s="1"/>
  <c r="BB101" s="1"/>
  <c r="BD101" s="1"/>
  <c r="BF101" s="1"/>
  <c r="AX102"/>
  <c r="AZ102" s="1"/>
  <c r="BB102" s="1"/>
  <c r="BD102" s="1"/>
  <c r="BF102" s="1"/>
  <c r="AX103"/>
  <c r="AZ103" s="1"/>
  <c r="BB103" s="1"/>
  <c r="AX104"/>
  <c r="AZ104" s="1"/>
  <c r="BB104" s="1"/>
  <c r="BD104" s="1"/>
  <c r="BF104" s="1"/>
  <c r="AX105"/>
  <c r="AZ105" s="1"/>
  <c r="BB105" s="1"/>
  <c r="BD105" s="1"/>
  <c r="BF105" s="1"/>
  <c r="AX106"/>
  <c r="AZ106" s="1"/>
  <c r="BB106" s="1"/>
  <c r="BD106" s="1"/>
  <c r="BF106" s="1"/>
  <c r="AX107"/>
  <c r="AZ107" s="1"/>
  <c r="BB107" s="1"/>
  <c r="BD107" s="1"/>
  <c r="BF107" s="1"/>
  <c r="AX108"/>
  <c r="AZ108" s="1"/>
  <c r="BB108" s="1"/>
  <c r="AX109"/>
  <c r="AZ109" s="1"/>
  <c r="BB109" s="1"/>
  <c r="BD109" s="1"/>
  <c r="BF109" s="1"/>
  <c r="AX110"/>
  <c r="AZ110" s="1"/>
  <c r="BB110" s="1"/>
  <c r="BD110" s="1"/>
  <c r="BF110" s="1"/>
  <c r="AX111"/>
  <c r="AZ111" s="1"/>
  <c r="BB111" s="1"/>
  <c r="BD111" s="1"/>
  <c r="BF111" s="1"/>
  <c r="AX112"/>
  <c r="AZ112" s="1"/>
  <c r="BB112" s="1"/>
  <c r="BD112" s="1"/>
  <c r="BF112" s="1"/>
  <c r="AX113"/>
  <c r="AZ113" s="1"/>
  <c r="BB113" s="1"/>
  <c r="BD113" s="1"/>
  <c r="BF113" s="1"/>
  <c r="AX115"/>
  <c r="AZ115" s="1"/>
  <c r="BB115" s="1"/>
  <c r="BD115" s="1"/>
  <c r="BF115" s="1"/>
  <c r="AX116"/>
  <c r="AZ116" s="1"/>
  <c r="BB116" s="1"/>
  <c r="BD116" s="1"/>
  <c r="BF116" s="1"/>
  <c r="AX117"/>
  <c r="AZ117" s="1"/>
  <c r="BB117" s="1"/>
  <c r="BD117" s="1"/>
  <c r="BF117" s="1"/>
  <c r="AX118"/>
  <c r="AZ118" s="1"/>
  <c r="BB118" s="1"/>
  <c r="BD118" s="1"/>
  <c r="BF118" s="1"/>
  <c r="AX119"/>
  <c r="AZ119" s="1"/>
  <c r="BB119" s="1"/>
  <c r="BD119" s="1"/>
  <c r="BF119" s="1"/>
  <c r="AX120"/>
  <c r="AZ120" s="1"/>
  <c r="BB120" s="1"/>
  <c r="BD120" s="1"/>
  <c r="BF120" s="1"/>
  <c r="AX121"/>
  <c r="AZ121" s="1"/>
  <c r="BB121" s="1"/>
  <c r="AX122"/>
  <c r="AZ122" s="1"/>
  <c r="BB122" s="1"/>
  <c r="AX123"/>
  <c r="AZ123" s="1"/>
  <c r="BB123" s="1"/>
  <c r="BD123" s="1"/>
  <c r="BF123" s="1"/>
  <c r="AX124"/>
  <c r="AZ124" s="1"/>
  <c r="BB124" s="1"/>
  <c r="BD124" s="1"/>
  <c r="BF124" s="1"/>
  <c r="AX125"/>
  <c r="AZ125" s="1"/>
  <c r="BB125" s="1"/>
  <c r="BD125" s="1"/>
  <c r="BF125" s="1"/>
  <c r="AX126"/>
  <c r="AZ126" s="1"/>
  <c r="BB126" s="1"/>
  <c r="BD126" s="1"/>
  <c r="BF126" s="1"/>
  <c r="AX127"/>
  <c r="AZ127" s="1"/>
  <c r="BB127" s="1"/>
  <c r="BD127" s="1"/>
  <c r="BF127" s="1"/>
  <c r="AX128"/>
  <c r="AZ128" s="1"/>
  <c r="BB128" s="1"/>
  <c r="BD128" s="1"/>
  <c r="BF128" s="1"/>
  <c r="AX129"/>
  <c r="AZ129" s="1"/>
  <c r="BB129" s="1"/>
  <c r="BD129" s="1"/>
  <c r="BF129" s="1"/>
  <c r="AX131"/>
  <c r="AZ131" s="1"/>
  <c r="BB131" s="1"/>
  <c r="BD131" s="1"/>
  <c r="BF131" s="1"/>
  <c r="AX132"/>
  <c r="AZ132" s="1"/>
  <c r="BB132" s="1"/>
  <c r="BD132" s="1"/>
  <c r="BF132" s="1"/>
  <c r="AX133"/>
  <c r="AZ133" s="1"/>
  <c r="BB133" s="1"/>
  <c r="BD133" s="1"/>
  <c r="BF133" s="1"/>
  <c r="AX134"/>
  <c r="AZ134" s="1"/>
  <c r="BB134" s="1"/>
  <c r="BD134" s="1"/>
  <c r="BF134" s="1"/>
  <c r="AX135"/>
  <c r="AZ135" s="1"/>
  <c r="BB135" s="1"/>
  <c r="BD135" s="1"/>
  <c r="BF135" s="1"/>
  <c r="AX136"/>
  <c r="AZ136" s="1"/>
  <c r="BB136" s="1"/>
  <c r="BD136" s="1"/>
  <c r="BF136" s="1"/>
  <c r="AX137"/>
  <c r="AZ137" s="1"/>
  <c r="BB137" s="1"/>
  <c r="BD137" s="1"/>
  <c r="BF137" s="1"/>
  <c r="AX139"/>
  <c r="AZ139" s="1"/>
  <c r="BB139" s="1"/>
  <c r="BD139" s="1"/>
  <c r="BF139" s="1"/>
  <c r="AX140"/>
  <c r="AZ140" s="1"/>
  <c r="BB140" s="1"/>
  <c r="BD140" s="1"/>
  <c r="BF140" s="1"/>
  <c r="AX141"/>
  <c r="AZ141" s="1"/>
  <c r="BB141" s="1"/>
  <c r="BD141" s="1"/>
  <c r="BF141" s="1"/>
  <c r="AX142"/>
  <c r="AZ142" s="1"/>
  <c r="BB142" s="1"/>
  <c r="BD142" s="1"/>
  <c r="BF142" s="1"/>
  <c r="AX143"/>
  <c r="AZ143" s="1"/>
  <c r="BB143" s="1"/>
  <c r="BD143" s="1"/>
  <c r="BF143" s="1"/>
  <c r="AX144"/>
  <c r="AZ144" s="1"/>
  <c r="BB144" s="1"/>
  <c r="BD144" s="1"/>
  <c r="BF144" s="1"/>
  <c r="AX145"/>
  <c r="AZ145" s="1"/>
  <c r="BB145" s="1"/>
  <c r="BD145" s="1"/>
  <c r="BF145" s="1"/>
  <c r="AX146"/>
  <c r="AZ146" s="1"/>
  <c r="BB146" s="1"/>
  <c r="BD146" s="1"/>
  <c r="BF146" s="1"/>
  <c r="AX148"/>
  <c r="AZ148" s="1"/>
  <c r="BB148" s="1"/>
  <c r="BD148" s="1"/>
  <c r="BF148" s="1"/>
  <c r="AX149"/>
  <c r="AZ149" s="1"/>
  <c r="BB149" s="1"/>
  <c r="BD149" s="1"/>
  <c r="BF149" s="1"/>
  <c r="AX150"/>
  <c r="AZ150" s="1"/>
  <c r="BB150" s="1"/>
  <c r="BD150" s="1"/>
  <c r="BF150" s="1"/>
  <c r="AX151"/>
  <c r="AZ151" s="1"/>
  <c r="BB151" s="1"/>
  <c r="BD151" s="1"/>
  <c r="BF151" s="1"/>
  <c r="AX152"/>
  <c r="AZ152" s="1"/>
  <c r="BB152" s="1"/>
  <c r="BD152" s="1"/>
  <c r="BF152" s="1"/>
  <c r="AX153"/>
  <c r="AZ153" s="1"/>
  <c r="BB153" s="1"/>
  <c r="BD153" s="1"/>
  <c r="BF153" s="1"/>
  <c r="AX155"/>
  <c r="AZ155" s="1"/>
  <c r="BB155" s="1"/>
  <c r="BD155" s="1"/>
  <c r="BF155" s="1"/>
  <c r="AX156"/>
  <c r="AZ156" s="1"/>
  <c r="BB156" s="1"/>
  <c r="BD156" s="1"/>
  <c r="BF156" s="1"/>
  <c r="AX157"/>
  <c r="AZ157" s="1"/>
  <c r="BB157" s="1"/>
  <c r="BD157" s="1"/>
  <c r="BF157" s="1"/>
  <c r="AX158"/>
  <c r="AZ158" s="1"/>
  <c r="BB158" s="1"/>
  <c r="BD158" s="1"/>
  <c r="BF158" s="1"/>
  <c r="AX159"/>
  <c r="AZ159" s="1"/>
  <c r="BB159" s="1"/>
  <c r="AX160"/>
  <c r="AZ160" s="1"/>
  <c r="BB160" s="1"/>
  <c r="BD160" s="1"/>
  <c r="BF160" s="1"/>
  <c r="AX161"/>
  <c r="AZ161" s="1"/>
  <c r="BB161" s="1"/>
  <c r="BD161" s="1"/>
  <c r="BF161" s="1"/>
  <c r="AX162"/>
  <c r="AZ162" s="1"/>
  <c r="BB162" s="1"/>
  <c r="BD162" s="1"/>
  <c r="BF162" s="1"/>
  <c r="AX163"/>
  <c r="AZ163" s="1"/>
  <c r="BB163" s="1"/>
  <c r="BD163" s="1"/>
  <c r="BF163" s="1"/>
  <c r="AX164"/>
  <c r="AZ164" s="1"/>
  <c r="BB164" s="1"/>
  <c r="BD164" s="1"/>
  <c r="BF164" s="1"/>
  <c r="AX165"/>
  <c r="AZ165" s="1"/>
  <c r="BB165" s="1"/>
  <c r="BD165" s="1"/>
  <c r="BF165" s="1"/>
  <c r="AX166"/>
  <c r="AZ166" s="1"/>
  <c r="BB166" s="1"/>
  <c r="BD166" s="1"/>
  <c r="BF166" s="1"/>
  <c r="AX168"/>
  <c r="AZ168" s="1"/>
  <c r="BB168" s="1"/>
  <c r="BD168" s="1"/>
  <c r="BF168" s="1"/>
  <c r="AX169"/>
  <c r="AZ169" s="1"/>
  <c r="BB169" s="1"/>
  <c r="BD169" s="1"/>
  <c r="BF169" s="1"/>
  <c r="AX170"/>
  <c r="AZ170" s="1"/>
  <c r="BB170" s="1"/>
  <c r="BD170" s="1"/>
  <c r="BF170" s="1"/>
  <c r="AX171"/>
  <c r="AZ171" s="1"/>
  <c r="BB171" s="1"/>
  <c r="BD171" s="1"/>
  <c r="BF171" s="1"/>
  <c r="AX172"/>
  <c r="AZ172" s="1"/>
  <c r="BB172" s="1"/>
  <c r="BD172" s="1"/>
  <c r="BF172" s="1"/>
  <c r="AX173"/>
  <c r="AZ173" s="1"/>
  <c r="BB173" s="1"/>
  <c r="BD173" s="1"/>
  <c r="BF173" s="1"/>
  <c r="AX174"/>
  <c r="AZ174" s="1"/>
  <c r="BB174" s="1"/>
  <c r="BD174" s="1"/>
  <c r="BF174" s="1"/>
  <c r="AX175"/>
  <c r="AZ175" s="1"/>
  <c r="BB175" s="1"/>
  <c r="BD175" s="1"/>
  <c r="BF175" s="1"/>
  <c r="AX176"/>
  <c r="AZ176" s="1"/>
  <c r="BB176" s="1"/>
  <c r="AX177"/>
  <c r="AZ177" s="1"/>
  <c r="BB177" s="1"/>
  <c r="BD177" s="1"/>
  <c r="BF177" s="1"/>
  <c r="AX178"/>
  <c r="AZ178" s="1"/>
  <c r="BB178" s="1"/>
  <c r="BD178" s="1"/>
  <c r="BF178" s="1"/>
  <c r="AX179"/>
  <c r="AZ179" s="1"/>
  <c r="BB179" s="1"/>
  <c r="BD179" s="1"/>
  <c r="BF179" s="1"/>
  <c r="AX180"/>
  <c r="AZ180" s="1"/>
  <c r="BB180" s="1"/>
  <c r="BD180" s="1"/>
  <c r="BF180" s="1"/>
  <c r="AX182"/>
  <c r="AZ182" s="1"/>
  <c r="BB182" s="1"/>
  <c r="BD182" s="1"/>
  <c r="BF182" s="1"/>
  <c r="AX183"/>
  <c r="AZ183" s="1"/>
  <c r="BB183" s="1"/>
  <c r="BD183" s="1"/>
  <c r="BF183" s="1"/>
  <c r="AX184"/>
  <c r="AZ184" s="1"/>
  <c r="BB184" s="1"/>
  <c r="BD184" s="1"/>
  <c r="BF184" s="1"/>
  <c r="AX185"/>
  <c r="AZ185" s="1"/>
  <c r="BB185" s="1"/>
  <c r="BD185" s="1"/>
  <c r="BF185" s="1"/>
  <c r="AX186"/>
  <c r="AZ186" s="1"/>
  <c r="BB186" s="1"/>
  <c r="BD186" s="1"/>
  <c r="BF186" s="1"/>
  <c r="AX187"/>
  <c r="AZ187" s="1"/>
  <c r="BB187" s="1"/>
  <c r="BD187" s="1"/>
  <c r="BF187" s="1"/>
  <c r="AX189"/>
  <c r="AZ189" s="1"/>
  <c r="BB189" s="1"/>
  <c r="BD189" s="1"/>
  <c r="BF189" s="1"/>
  <c r="AX190"/>
  <c r="AZ190" s="1"/>
  <c r="BB190" s="1"/>
  <c r="BD190" s="1"/>
  <c r="BF190" s="1"/>
  <c r="AX191"/>
  <c r="AZ191" s="1"/>
  <c r="BB191" s="1"/>
  <c r="BD191" s="1"/>
  <c r="BF191" s="1"/>
  <c r="AX192"/>
  <c r="AZ192" s="1"/>
  <c r="BB192" s="1"/>
  <c r="BD192" s="1"/>
  <c r="BF192" s="1"/>
  <c r="AX193"/>
  <c r="AZ193" s="1"/>
  <c r="BB193" s="1"/>
  <c r="BD193" s="1"/>
  <c r="BF193" s="1"/>
  <c r="AX194"/>
  <c r="AZ194" s="1"/>
  <c r="BB194" s="1"/>
  <c r="BD194" s="1"/>
  <c r="BF194" s="1"/>
  <c r="AX195"/>
  <c r="AZ195" s="1"/>
  <c r="BB195" s="1"/>
  <c r="BD195" s="1"/>
  <c r="BF195" s="1"/>
  <c r="AX196"/>
  <c r="AZ196" s="1"/>
  <c r="BB196" s="1"/>
  <c r="BD196" s="1"/>
  <c r="BF196" s="1"/>
  <c r="AX197"/>
  <c r="AZ197" s="1"/>
  <c r="BB197" s="1"/>
  <c r="BD197" s="1"/>
  <c r="BF197" s="1"/>
  <c r="AX198"/>
  <c r="AZ198" s="1"/>
  <c r="BB198" s="1"/>
  <c r="BD198" s="1"/>
  <c r="BF198" s="1"/>
  <c r="AX199"/>
  <c r="AZ199" s="1"/>
  <c r="BB199" s="1"/>
  <c r="BD199" s="1"/>
  <c r="BF199" s="1"/>
  <c r="AX200"/>
  <c r="AZ200" s="1"/>
  <c r="BB200" s="1"/>
  <c r="BD200" s="1"/>
  <c r="BF200" s="1"/>
  <c r="AX201"/>
  <c r="AZ201" s="1"/>
  <c r="BB201" s="1"/>
  <c r="BD201" s="1"/>
  <c r="BF201" s="1"/>
  <c r="AX203"/>
  <c r="AZ203" s="1"/>
  <c r="BB203" s="1"/>
  <c r="AX204"/>
  <c r="AZ204" s="1"/>
  <c r="BB204" s="1"/>
  <c r="BD204" s="1"/>
  <c r="BF204" s="1"/>
  <c r="AX205"/>
  <c r="AZ205" s="1"/>
  <c r="BB205" s="1"/>
  <c r="AX206"/>
  <c r="AZ206" s="1"/>
  <c r="BB206" s="1"/>
  <c r="BD206" s="1"/>
  <c r="BF206" s="1"/>
  <c r="AX207"/>
  <c r="AZ207" s="1"/>
  <c r="BB207" s="1"/>
  <c r="BD207" s="1"/>
  <c r="BF207" s="1"/>
  <c r="AX208"/>
  <c r="AZ208" s="1"/>
  <c r="BB208" s="1"/>
  <c r="BD208" s="1"/>
  <c r="BF208" s="1"/>
  <c r="AX209"/>
  <c r="AZ209" s="1"/>
  <c r="BB209" s="1"/>
  <c r="BD209" s="1"/>
  <c r="BF209" s="1"/>
  <c r="AX210"/>
  <c r="AZ210" s="1"/>
  <c r="BB210" s="1"/>
  <c r="BD210" s="1"/>
  <c r="BF210" s="1"/>
  <c r="AX211"/>
  <c r="AZ211" s="1"/>
  <c r="BB211" s="1"/>
  <c r="BD211" s="1"/>
  <c r="BF211" s="1"/>
  <c r="AX212"/>
  <c r="AZ212" s="1"/>
  <c r="BB212" s="1"/>
  <c r="BD212" s="1"/>
  <c r="BF212" s="1"/>
  <c r="AX213"/>
  <c r="AZ213" s="1"/>
  <c r="BB213" s="1"/>
  <c r="BD213" s="1"/>
  <c r="BF213" s="1"/>
  <c r="AX214"/>
  <c r="AZ214" s="1"/>
  <c r="BB214" s="1"/>
  <c r="BD214" s="1"/>
  <c r="BF214" s="1"/>
  <c r="AX216"/>
  <c r="AZ216" s="1"/>
  <c r="BB216" s="1"/>
  <c r="BD216" s="1"/>
  <c r="BF216" s="1"/>
  <c r="AX217"/>
  <c r="AZ217" s="1"/>
  <c r="BB217" s="1"/>
  <c r="BD217" s="1"/>
  <c r="BF217" s="1"/>
  <c r="AX218"/>
  <c r="AZ218" s="1"/>
  <c r="BB218" s="1"/>
  <c r="BD218" s="1"/>
  <c r="BF218" s="1"/>
  <c r="AX219"/>
  <c r="AZ219" s="1"/>
  <c r="BB219" s="1"/>
  <c r="BD219" s="1"/>
  <c r="BF219" s="1"/>
  <c r="AX220"/>
  <c r="AZ220" s="1"/>
  <c r="BB220" s="1"/>
  <c r="BD220" s="1"/>
  <c r="BF220" s="1"/>
  <c r="AX221"/>
  <c r="AZ221" s="1"/>
  <c r="BB221" s="1"/>
  <c r="BD221" s="1"/>
  <c r="BF221" s="1"/>
  <c r="AX222"/>
  <c r="AZ222" s="1"/>
  <c r="BB222" s="1"/>
  <c r="BD222" s="1"/>
  <c r="BF222" s="1"/>
  <c r="AX223"/>
  <c r="AZ223" s="1"/>
  <c r="BB223" s="1"/>
  <c r="BD223" s="1"/>
  <c r="BF223" s="1"/>
  <c r="AX224"/>
  <c r="AZ224" s="1"/>
  <c r="BB224" s="1"/>
  <c r="BD224" s="1"/>
  <c r="BF224" s="1"/>
  <c r="AX225"/>
  <c r="AZ225" s="1"/>
  <c r="BB225" s="1"/>
  <c r="BD225" s="1"/>
  <c r="BF225" s="1"/>
  <c r="AX226"/>
  <c r="AZ226" s="1"/>
  <c r="BB226" s="1"/>
  <c r="BD226" s="1"/>
  <c r="BF226" s="1"/>
  <c r="AX227"/>
  <c r="AZ227" s="1"/>
  <c r="BB227" s="1"/>
  <c r="BD227" s="1"/>
  <c r="BF227" s="1"/>
  <c r="AX228"/>
  <c r="AZ228" s="1"/>
  <c r="BB228" s="1"/>
  <c r="BD228" s="1"/>
  <c r="BF228" s="1"/>
  <c r="AX230"/>
  <c r="AZ230" s="1"/>
  <c r="BB230" s="1"/>
  <c r="BD230" s="1"/>
  <c r="BF230" s="1"/>
  <c r="AX231"/>
  <c r="AZ231" s="1"/>
  <c r="BB231" s="1"/>
  <c r="BD231" s="1"/>
  <c r="BF231" s="1"/>
  <c r="AX232"/>
  <c r="AZ232" s="1"/>
  <c r="BB232" s="1"/>
  <c r="AX233"/>
  <c r="AZ233" s="1"/>
  <c r="BB233" s="1"/>
  <c r="BD233" s="1"/>
  <c r="BF233" s="1"/>
  <c r="AX234"/>
  <c r="AZ234" s="1"/>
  <c r="BB234" s="1"/>
  <c r="BD234" s="1"/>
  <c r="BF234" s="1"/>
  <c r="AX235"/>
  <c r="AZ235" s="1"/>
  <c r="BB235" s="1"/>
  <c r="BD235" s="1"/>
  <c r="BF235" s="1"/>
  <c r="AX236"/>
  <c r="AZ236" s="1"/>
  <c r="BB236" s="1"/>
  <c r="BD236" s="1"/>
  <c r="BF236" s="1"/>
  <c r="AX237"/>
  <c r="AZ237" s="1"/>
  <c r="BB237" s="1"/>
  <c r="BD237" s="1"/>
  <c r="BF237" s="1"/>
  <c r="AX238"/>
  <c r="AZ238" s="1"/>
  <c r="BB238" s="1"/>
  <c r="BD238" s="1"/>
  <c r="BF238" s="1"/>
  <c r="AX240"/>
  <c r="AZ240" s="1"/>
  <c r="BB240" s="1"/>
  <c r="BD240" s="1"/>
  <c r="BF240" s="1"/>
  <c r="AX241"/>
  <c r="AZ241" s="1"/>
  <c r="BB241" s="1"/>
  <c r="BD241" s="1"/>
  <c r="BF241" s="1"/>
  <c r="AX242"/>
  <c r="AZ242" s="1"/>
  <c r="BB242" s="1"/>
  <c r="BD242" s="1"/>
  <c r="BF242" s="1"/>
  <c r="AX243"/>
  <c r="AZ243" s="1"/>
  <c r="BB243" s="1"/>
  <c r="BD243" s="1"/>
  <c r="BF243" s="1"/>
  <c r="AX244"/>
  <c r="AZ244" s="1"/>
  <c r="BB244" s="1"/>
  <c r="BD244" s="1"/>
  <c r="BF244" s="1"/>
  <c r="AX245"/>
  <c r="AZ245" s="1"/>
  <c r="BB245" s="1"/>
  <c r="BD245" s="1"/>
  <c r="BF245" s="1"/>
  <c r="AX246"/>
  <c r="AZ246" s="1"/>
  <c r="BB246" s="1"/>
  <c r="BD246" s="1"/>
  <c r="BF246" s="1"/>
  <c r="AX247"/>
  <c r="AZ247" s="1"/>
  <c r="BB247" s="1"/>
  <c r="AX249"/>
  <c r="AZ249" s="1"/>
  <c r="BB249" s="1"/>
  <c r="BD249" s="1"/>
  <c r="BF249" s="1"/>
  <c r="AX250"/>
  <c r="AZ250" s="1"/>
  <c r="BB250" s="1"/>
  <c r="BD250" s="1"/>
  <c r="BF250" s="1"/>
  <c r="AX251"/>
  <c r="AZ251" s="1"/>
  <c r="BB251" s="1"/>
  <c r="BD251" s="1"/>
  <c r="BF251" s="1"/>
  <c r="AX252"/>
  <c r="AZ252" s="1"/>
  <c r="BB252" s="1"/>
  <c r="BD252" s="1"/>
  <c r="BF252" s="1"/>
  <c r="AX253"/>
  <c r="AZ253" s="1"/>
  <c r="BB253" s="1"/>
  <c r="BD253" s="1"/>
  <c r="BF253" s="1"/>
  <c r="AX254"/>
  <c r="AZ254" s="1"/>
  <c r="BB254" s="1"/>
  <c r="BD254" s="1"/>
  <c r="BF254" s="1"/>
  <c r="AX255"/>
  <c r="AZ255" s="1"/>
  <c r="BB255" s="1"/>
  <c r="BD255" s="1"/>
  <c r="BF255" s="1"/>
  <c r="AX256"/>
  <c r="AZ256" s="1"/>
  <c r="BB256" s="1"/>
  <c r="BD256" s="1"/>
  <c r="BF256" s="1"/>
  <c r="AX257"/>
  <c r="AZ257" s="1"/>
  <c r="BB257" s="1"/>
  <c r="BD257" s="1"/>
  <c r="BF257" s="1"/>
  <c r="AX258"/>
  <c r="AZ258" s="1"/>
  <c r="BB258" s="1"/>
  <c r="BD258" s="1"/>
  <c r="BF258" s="1"/>
  <c r="AX259"/>
  <c r="AZ259" s="1"/>
  <c r="BB259" s="1"/>
  <c r="BD259" s="1"/>
  <c r="BF259" s="1"/>
  <c r="AX260"/>
  <c r="AZ260" s="1"/>
  <c r="BB260" s="1"/>
  <c r="BD260" s="1"/>
  <c r="BF260" s="1"/>
  <c r="AX261"/>
  <c r="AZ261" s="1"/>
  <c r="BB261" s="1"/>
  <c r="BD261" s="1"/>
  <c r="BF261" s="1"/>
  <c r="AX262"/>
  <c r="AZ262" s="1"/>
  <c r="BB262" s="1"/>
  <c r="BD262" s="1"/>
  <c r="BF262" s="1"/>
  <c r="AX263"/>
  <c r="AZ263" s="1"/>
  <c r="BB263" s="1"/>
  <c r="BD263" s="1"/>
  <c r="BF263" s="1"/>
  <c r="AX265"/>
  <c r="AZ265" s="1"/>
  <c r="BB265" s="1"/>
  <c r="BD265" s="1"/>
  <c r="BF265" s="1"/>
  <c r="AX266"/>
  <c r="AZ266" s="1"/>
  <c r="BB266" s="1"/>
  <c r="BD266" s="1"/>
  <c r="BF266" s="1"/>
  <c r="AX267"/>
  <c r="AZ267" s="1"/>
  <c r="BB267" s="1"/>
  <c r="BD267" s="1"/>
  <c r="BF267" s="1"/>
  <c r="AX268"/>
  <c r="AZ268" s="1"/>
  <c r="BB268" s="1"/>
  <c r="BD268" s="1"/>
  <c r="BF268" s="1"/>
  <c r="AX269"/>
  <c r="AZ269" s="1"/>
  <c r="BB269" s="1"/>
  <c r="BD269" s="1"/>
  <c r="BF269" s="1"/>
  <c r="AX270"/>
  <c r="AZ270" s="1"/>
  <c r="BB270" s="1"/>
  <c r="BD270" s="1"/>
  <c r="BF270" s="1"/>
  <c r="AX271"/>
  <c r="AZ271" s="1"/>
  <c r="BB271" s="1"/>
  <c r="BD271" s="1"/>
  <c r="BF271" s="1"/>
  <c r="AX273"/>
  <c r="AZ273" s="1"/>
  <c r="BB273" s="1"/>
  <c r="BD273" s="1"/>
  <c r="BF273" s="1"/>
  <c r="AX274"/>
  <c r="AZ274" s="1"/>
  <c r="BB274" s="1"/>
  <c r="BD274" s="1"/>
  <c r="BF274" s="1"/>
  <c r="AX275"/>
  <c r="AZ275" s="1"/>
  <c r="BB275" s="1"/>
  <c r="BD275" s="1"/>
  <c r="BF275" s="1"/>
  <c r="AX276"/>
  <c r="AZ276" s="1"/>
  <c r="BB276" s="1"/>
  <c r="BD276" s="1"/>
  <c r="BF276" s="1"/>
  <c r="AX277"/>
  <c r="AZ277" s="1"/>
  <c r="BB277" s="1"/>
  <c r="BD277" s="1"/>
  <c r="BF277" s="1"/>
  <c r="AX278"/>
  <c r="AZ278" s="1"/>
  <c r="BB278" s="1"/>
  <c r="BD278" s="1"/>
  <c r="BF278" s="1"/>
  <c r="AX279"/>
  <c r="AZ279" s="1"/>
  <c r="BB279" s="1"/>
  <c r="BD279" s="1"/>
  <c r="BF279" s="1"/>
  <c r="AX280"/>
  <c r="AZ280" s="1"/>
  <c r="BB280" s="1"/>
  <c r="BD280" s="1"/>
  <c r="BF280" s="1"/>
  <c r="AX281"/>
  <c r="AZ281" s="1"/>
  <c r="BB281" s="1"/>
  <c r="BD281" s="1"/>
  <c r="BF281" s="1"/>
  <c r="AX282"/>
  <c r="AZ282" s="1"/>
  <c r="BB282" s="1"/>
  <c r="BD282" s="1"/>
  <c r="BF282" s="1"/>
  <c r="AX283"/>
  <c r="AZ283" s="1"/>
  <c r="BB283" s="1"/>
  <c r="BD283" s="1"/>
  <c r="BF283" s="1"/>
  <c r="AX284"/>
  <c r="AZ284" s="1"/>
  <c r="BB284" s="1"/>
  <c r="BD284" s="1"/>
  <c r="BF284" s="1"/>
  <c r="AX285"/>
  <c r="AZ285" s="1"/>
  <c r="BB285" s="1"/>
  <c r="BD285" s="1"/>
  <c r="BF285" s="1"/>
  <c r="AX286"/>
  <c r="AZ286" s="1"/>
  <c r="BB286" s="1"/>
  <c r="BD286" s="1"/>
  <c r="BF286" s="1"/>
  <c r="AX287"/>
  <c r="AZ287" s="1"/>
  <c r="BB287" s="1"/>
  <c r="BD287" s="1"/>
  <c r="BF287" s="1"/>
  <c r="AX288"/>
  <c r="AZ288" s="1"/>
  <c r="BB288" s="1"/>
  <c r="BD288" s="1"/>
  <c r="BF288" s="1"/>
  <c r="AX289"/>
  <c r="AZ289" s="1"/>
  <c r="BB289" s="1"/>
  <c r="BD289" s="1"/>
  <c r="BF289" s="1"/>
  <c r="AX291"/>
  <c r="AZ291" s="1"/>
  <c r="BB291" s="1"/>
  <c r="BD291" s="1"/>
  <c r="BF291" s="1"/>
  <c r="AX292"/>
  <c r="AZ292" s="1"/>
  <c r="BB292" s="1"/>
  <c r="BD292" s="1"/>
  <c r="BF292" s="1"/>
  <c r="AX293"/>
  <c r="AZ293" s="1"/>
  <c r="BB293" s="1"/>
  <c r="AX294"/>
  <c r="AZ294" s="1"/>
  <c r="BB294" s="1"/>
  <c r="BD294" s="1"/>
  <c r="BF294" s="1"/>
  <c r="AX295"/>
  <c r="AZ295" s="1"/>
  <c r="BB295" s="1"/>
  <c r="BD295" s="1"/>
  <c r="BF295" s="1"/>
  <c r="AX296"/>
  <c r="AZ296" s="1"/>
  <c r="BB296" s="1"/>
  <c r="BD296" s="1"/>
  <c r="BF296" s="1"/>
  <c r="AX297"/>
  <c r="AZ297" s="1"/>
  <c r="BB297" s="1"/>
  <c r="BD297" s="1"/>
  <c r="BF297" s="1"/>
  <c r="AX298"/>
  <c r="AZ298" s="1"/>
  <c r="BB298" s="1"/>
  <c r="BD298" s="1"/>
  <c r="BF298" s="1"/>
  <c r="AX299"/>
  <c r="AZ299" s="1"/>
  <c r="BB299" s="1"/>
  <c r="AX300"/>
  <c r="AZ300" s="1"/>
  <c r="BB300" s="1"/>
  <c r="BD300" s="1"/>
  <c r="BF300" s="1"/>
  <c r="AX301"/>
  <c r="AZ301" s="1"/>
  <c r="BB301" s="1"/>
  <c r="BD301" s="1"/>
  <c r="BF301" s="1"/>
  <c r="AX302"/>
  <c r="AZ302" s="1"/>
  <c r="BB302" s="1"/>
  <c r="BD302" s="1"/>
  <c r="BF302" s="1"/>
  <c r="AX303"/>
  <c r="AZ303" s="1"/>
  <c r="BB303" s="1"/>
  <c r="BD303" s="1"/>
  <c r="BF303" s="1"/>
  <c r="AX304"/>
  <c r="AZ304" s="1"/>
  <c r="BB304" s="1"/>
  <c r="BD304" s="1"/>
  <c r="BF304" s="1"/>
  <c r="AX305"/>
  <c r="AZ305" s="1"/>
  <c r="BB305" s="1"/>
  <c r="BD305" s="1"/>
  <c r="BF305" s="1"/>
  <c r="AX306"/>
  <c r="AZ306" s="1"/>
  <c r="BB306" s="1"/>
  <c r="BD306" s="1"/>
  <c r="BF306" s="1"/>
  <c r="AX307"/>
  <c r="AZ307" s="1"/>
  <c r="BB307" s="1"/>
  <c r="BD307" s="1"/>
  <c r="BF307" s="1"/>
  <c r="AX308"/>
  <c r="AZ308" s="1"/>
  <c r="BB308" s="1"/>
  <c r="BD308" s="1"/>
  <c r="BF308" s="1"/>
  <c r="AX309"/>
  <c r="AZ309" s="1"/>
  <c r="BB309" s="1"/>
  <c r="BD309" s="1"/>
  <c r="BF309" s="1"/>
  <c r="AX310"/>
  <c r="AZ310" s="1"/>
  <c r="BB310" s="1"/>
  <c r="BD310" s="1"/>
  <c r="BF310" s="1"/>
  <c r="AX311"/>
  <c r="AZ311" s="1"/>
  <c r="BB311" s="1"/>
  <c r="BD311" s="1"/>
  <c r="BF311" s="1"/>
  <c r="AX312"/>
  <c r="AZ312" s="1"/>
  <c r="BB312" s="1"/>
  <c r="BD312" s="1"/>
  <c r="BF312" s="1"/>
  <c r="AX313"/>
  <c r="AZ313" s="1"/>
  <c r="BB313" s="1"/>
  <c r="BD313" s="1"/>
  <c r="BF313" s="1"/>
  <c r="AX314"/>
  <c r="AZ314" s="1"/>
  <c r="BB314" s="1"/>
  <c r="BD314" s="1"/>
  <c r="BF314" s="1"/>
  <c r="AX316"/>
  <c r="AZ316" s="1"/>
  <c r="BB316" s="1"/>
  <c r="BD316" s="1"/>
  <c r="BF316" s="1"/>
  <c r="AX317"/>
  <c r="AZ317" s="1"/>
  <c r="BB317" s="1"/>
  <c r="AX318"/>
  <c r="AZ318" s="1"/>
  <c r="BB318" s="1"/>
  <c r="BD318" s="1"/>
  <c r="BF318" s="1"/>
  <c r="AX319"/>
  <c r="AZ319" s="1"/>
  <c r="BB319" s="1"/>
  <c r="BD319" s="1"/>
  <c r="BF319" s="1"/>
  <c r="AX320"/>
  <c r="AZ320" s="1"/>
  <c r="BB320" s="1"/>
  <c r="BD320" s="1"/>
  <c r="BF320" s="1"/>
  <c r="AX321"/>
  <c r="AZ321" s="1"/>
  <c r="BB321" s="1"/>
  <c r="BD321" s="1"/>
  <c r="BF321" s="1"/>
  <c r="AX322"/>
  <c r="AZ322" s="1"/>
  <c r="BB322" s="1"/>
  <c r="BD322" s="1"/>
  <c r="BF322" s="1"/>
  <c r="AX323"/>
  <c r="AZ323" s="1"/>
  <c r="BB323" s="1"/>
  <c r="AX324"/>
  <c r="AZ324" s="1"/>
  <c r="BB324" s="1"/>
  <c r="AX325"/>
  <c r="AZ325" s="1"/>
  <c r="BB325" s="1"/>
  <c r="BD325" s="1"/>
  <c r="BF325" s="1"/>
  <c r="AX326"/>
  <c r="AZ326" s="1"/>
  <c r="BB326" s="1"/>
  <c r="BD326" s="1"/>
  <c r="BF326" s="1"/>
  <c r="AX327"/>
  <c r="AZ327" s="1"/>
  <c r="BB327" s="1"/>
  <c r="BD327" s="1"/>
  <c r="BF327" s="1"/>
  <c r="AX328"/>
  <c r="AZ328" s="1"/>
  <c r="BB328" s="1"/>
  <c r="BD328" s="1"/>
  <c r="BF328" s="1"/>
  <c r="AX329"/>
  <c r="AZ329" s="1"/>
  <c r="BB329" s="1"/>
  <c r="BD329" s="1"/>
  <c r="BF329" s="1"/>
  <c r="AX330"/>
  <c r="AZ330" s="1"/>
  <c r="BB330" s="1"/>
  <c r="BD330" s="1"/>
  <c r="BF330" s="1"/>
  <c r="AX332"/>
  <c r="AZ332" s="1"/>
  <c r="BB332" s="1"/>
  <c r="BD332" s="1"/>
  <c r="BF332" s="1"/>
  <c r="AX333"/>
  <c r="AZ333" s="1"/>
  <c r="BB333" s="1"/>
  <c r="BD333" s="1"/>
  <c r="BF333" s="1"/>
  <c r="AX334"/>
  <c r="AZ334" s="1"/>
  <c r="BB334" s="1"/>
  <c r="BD334" s="1"/>
  <c r="BF334" s="1"/>
  <c r="AX335"/>
  <c r="AZ335" s="1"/>
  <c r="BB335" s="1"/>
  <c r="BD335" s="1"/>
  <c r="BF335" s="1"/>
  <c r="AX336"/>
  <c r="AZ336" s="1"/>
  <c r="BB336" s="1"/>
  <c r="BD336" s="1"/>
  <c r="BF336" s="1"/>
  <c r="AX337"/>
  <c r="AZ337" s="1"/>
  <c r="BB337" s="1"/>
  <c r="BD337" s="1"/>
  <c r="BF337" s="1"/>
  <c r="AX338"/>
  <c r="AZ338" s="1"/>
  <c r="BB338" s="1"/>
  <c r="BD338" s="1"/>
  <c r="BF338" s="1"/>
  <c r="AX339"/>
  <c r="AZ339" s="1"/>
  <c r="BB339" s="1"/>
  <c r="BD339" s="1"/>
  <c r="BF339" s="1"/>
  <c r="AX340"/>
  <c r="AZ340" s="1"/>
  <c r="BB340" s="1"/>
  <c r="BD340" s="1"/>
  <c r="BF340" s="1"/>
  <c r="AX341"/>
  <c r="AZ341" s="1"/>
  <c r="BB341" s="1"/>
  <c r="BD341" s="1"/>
  <c r="BF341" s="1"/>
  <c r="AX342"/>
  <c r="AZ342" s="1"/>
  <c r="BB342" s="1"/>
  <c r="BD342" s="1"/>
  <c r="BF342" s="1"/>
  <c r="AX344"/>
  <c r="AZ344" s="1"/>
  <c r="BB344" s="1"/>
  <c r="BD344" s="1"/>
  <c r="BF344" s="1"/>
  <c r="AX345"/>
  <c r="AZ345" s="1"/>
  <c r="BB345" s="1"/>
  <c r="BD345" s="1"/>
  <c r="BF345" s="1"/>
  <c r="AX346"/>
  <c r="AZ346" s="1"/>
  <c r="BB346" s="1"/>
  <c r="BD346" s="1"/>
  <c r="BF346" s="1"/>
  <c r="AX347"/>
  <c r="AZ347" s="1"/>
  <c r="BB347" s="1"/>
  <c r="BD347" s="1"/>
  <c r="BF347" s="1"/>
  <c r="AX348"/>
  <c r="AZ348" s="1"/>
  <c r="BB348" s="1"/>
  <c r="BD348" s="1"/>
  <c r="BF348" s="1"/>
  <c r="AX349"/>
  <c r="AZ349" s="1"/>
  <c r="BB349" s="1"/>
  <c r="BD349" s="1"/>
  <c r="BF349" s="1"/>
  <c r="AX350"/>
  <c r="AZ350" s="1"/>
  <c r="BB350" s="1"/>
  <c r="BD350" s="1"/>
  <c r="BF350" s="1"/>
  <c r="AX351"/>
  <c r="AZ351" s="1"/>
  <c r="BB351" s="1"/>
  <c r="BD351" s="1"/>
  <c r="BF351" s="1"/>
  <c r="AX352"/>
  <c r="AZ352" s="1"/>
  <c r="BB352" s="1"/>
  <c r="BD352" s="1"/>
  <c r="BF352" s="1"/>
  <c r="AX353"/>
  <c r="AZ353" s="1"/>
  <c r="BB353" s="1"/>
  <c r="BD353" s="1"/>
  <c r="BF353" s="1"/>
  <c r="AX354"/>
  <c r="AZ354" s="1"/>
  <c r="BB354" s="1"/>
  <c r="BD354" s="1"/>
  <c r="BF354" s="1"/>
  <c r="AX356"/>
  <c r="AZ356" s="1"/>
  <c r="BB356" s="1"/>
  <c r="BD356" s="1"/>
  <c r="BF356" s="1"/>
  <c r="AX357"/>
  <c r="AZ357" s="1"/>
  <c r="BB357" s="1"/>
  <c r="BD357" s="1"/>
  <c r="BF357" s="1"/>
  <c r="AX358"/>
  <c r="AZ358" s="1"/>
  <c r="BB358" s="1"/>
  <c r="BD358" s="1"/>
  <c r="BF358" s="1"/>
  <c r="AX359"/>
  <c r="AZ359" s="1"/>
  <c r="BB359" s="1"/>
  <c r="BD359" s="1"/>
  <c r="BF359" s="1"/>
  <c r="AX360"/>
  <c r="AZ360" s="1"/>
  <c r="BB360" s="1"/>
  <c r="BD360" s="1"/>
  <c r="BF360" s="1"/>
  <c r="AX361"/>
  <c r="AZ361" s="1"/>
  <c r="BB361" s="1"/>
  <c r="BD361" s="1"/>
  <c r="BF361" s="1"/>
  <c r="AX362"/>
  <c r="AZ362" s="1"/>
  <c r="BB362" s="1"/>
  <c r="BD362" s="1"/>
  <c r="BF362" s="1"/>
  <c r="AX363"/>
  <c r="AZ363" s="1"/>
  <c r="BB363" s="1"/>
  <c r="BD363" s="1"/>
  <c r="BF363" s="1"/>
  <c r="AX364"/>
  <c r="AZ364" s="1"/>
  <c r="BB364" s="1"/>
  <c r="BD364" s="1"/>
  <c r="BF364" s="1"/>
  <c r="AX365"/>
  <c r="AZ365" s="1"/>
  <c r="BB365" s="1"/>
  <c r="BD365" s="1"/>
  <c r="BF365" s="1"/>
  <c r="AX367"/>
  <c r="AZ367" s="1"/>
  <c r="BB367" s="1"/>
  <c r="BD367" s="1"/>
  <c r="BF367" s="1"/>
  <c r="AX368"/>
  <c r="AZ368" s="1"/>
  <c r="BB368" s="1"/>
  <c r="BD368" s="1"/>
  <c r="BF368" s="1"/>
  <c r="AX369"/>
  <c r="AZ369" s="1"/>
  <c r="BB369" s="1"/>
  <c r="AX370"/>
  <c r="AZ370" s="1"/>
  <c r="BB370" s="1"/>
  <c r="BD370" s="1"/>
  <c r="BF370" s="1"/>
  <c r="AX371"/>
  <c r="AZ371" s="1"/>
  <c r="BB371" s="1"/>
  <c r="BD371" s="1"/>
  <c r="BF371" s="1"/>
  <c r="AX372"/>
  <c r="AZ372" s="1"/>
  <c r="BB372" s="1"/>
  <c r="BD372" s="1"/>
  <c r="BF372" s="1"/>
  <c r="AX373"/>
  <c r="AZ373" s="1"/>
  <c r="BB373" s="1"/>
  <c r="BD373" s="1"/>
  <c r="BF373" s="1"/>
  <c r="AX374"/>
  <c r="AZ374" s="1"/>
  <c r="BB374" s="1"/>
  <c r="BD374" s="1"/>
  <c r="BF374" s="1"/>
  <c r="AX375"/>
  <c r="AZ375" s="1"/>
  <c r="BB375" s="1"/>
  <c r="BD375" s="1"/>
  <c r="BF375" s="1"/>
  <c r="AX376"/>
  <c r="AZ376" s="1"/>
  <c r="BB376" s="1"/>
  <c r="BD376" s="1"/>
  <c r="BF376" s="1"/>
  <c r="AX377"/>
  <c r="AZ377" s="1"/>
  <c r="BB377" s="1"/>
  <c r="BD377" s="1"/>
  <c r="BF377" s="1"/>
  <c r="AX378"/>
  <c r="AZ378" s="1"/>
  <c r="BB378" s="1"/>
  <c r="BD378" s="1"/>
  <c r="BF378" s="1"/>
  <c r="AX57"/>
  <c r="AX54"/>
  <c r="AZ54" s="1"/>
  <c r="BB54" s="1"/>
  <c r="BD54" s="1"/>
  <c r="BF54" s="1"/>
  <c r="AX29"/>
  <c r="AZ29" s="1"/>
  <c r="BB29" s="1"/>
  <c r="BD29" s="1"/>
  <c r="BF29" s="1"/>
  <c r="AX30"/>
  <c r="AZ30" s="1"/>
  <c r="BB30" s="1"/>
  <c r="BD30" s="1"/>
  <c r="BF30" s="1"/>
  <c r="AX31"/>
  <c r="AZ31" s="1"/>
  <c r="BB31" s="1"/>
  <c r="BD31" s="1"/>
  <c r="BF31" s="1"/>
  <c r="AX32"/>
  <c r="AZ32" s="1"/>
  <c r="BB32" s="1"/>
  <c r="BD32" s="1"/>
  <c r="BF32" s="1"/>
  <c r="AX33"/>
  <c r="AZ33" s="1"/>
  <c r="BB33" s="1"/>
  <c r="BD33" s="1"/>
  <c r="BF33" s="1"/>
  <c r="AX34"/>
  <c r="AZ34" s="1"/>
  <c r="BB34" s="1"/>
  <c r="AX35"/>
  <c r="AZ35" s="1"/>
  <c r="BB35" s="1"/>
  <c r="BD35" s="1"/>
  <c r="BF35" s="1"/>
  <c r="AX36"/>
  <c r="AZ36" s="1"/>
  <c r="BB36" s="1"/>
  <c r="BD36" s="1"/>
  <c r="BF36" s="1"/>
  <c r="AX37"/>
  <c r="AZ37" s="1"/>
  <c r="BB37" s="1"/>
  <c r="BD37" s="1"/>
  <c r="BF37" s="1"/>
  <c r="AX38"/>
  <c r="AZ38" s="1"/>
  <c r="BB38" s="1"/>
  <c r="BD38" s="1"/>
  <c r="BF38" s="1"/>
  <c r="AX39"/>
  <c r="AZ39" s="1"/>
  <c r="BB39" s="1"/>
  <c r="AX40"/>
  <c r="AZ40" s="1"/>
  <c r="BB40" s="1"/>
  <c r="BD40" s="1"/>
  <c r="BF40" s="1"/>
  <c r="AX41"/>
  <c r="AZ41" s="1"/>
  <c r="BB41" s="1"/>
  <c r="BD41" s="1"/>
  <c r="BF41" s="1"/>
  <c r="AX42"/>
  <c r="AZ42" s="1"/>
  <c r="BB42" s="1"/>
  <c r="BD42" s="1"/>
  <c r="BF42" s="1"/>
  <c r="AX43"/>
  <c r="AZ43" s="1"/>
  <c r="BB43" s="1"/>
  <c r="BD43" s="1"/>
  <c r="BF43" s="1"/>
  <c r="AX44"/>
  <c r="AZ44" s="1"/>
  <c r="BB44" s="1"/>
  <c r="BD44" s="1"/>
  <c r="BF44" s="1"/>
  <c r="AX45"/>
  <c r="AZ45" s="1"/>
  <c r="BB45" s="1"/>
  <c r="BD45" s="1"/>
  <c r="BF45" s="1"/>
  <c r="AX46"/>
  <c r="AZ46" s="1"/>
  <c r="BB46" s="1"/>
  <c r="BD46" s="1"/>
  <c r="BF46" s="1"/>
  <c r="AX47"/>
  <c r="AZ47" s="1"/>
  <c r="BB47" s="1"/>
  <c r="BD47" s="1"/>
  <c r="BF47" s="1"/>
  <c r="AX48"/>
  <c r="AZ48" s="1"/>
  <c r="BB48" s="1"/>
  <c r="BD48" s="1"/>
  <c r="BF48" s="1"/>
  <c r="AX49"/>
  <c r="AZ49" s="1"/>
  <c r="BB49" s="1"/>
  <c r="BD49" s="1"/>
  <c r="BF49" s="1"/>
  <c r="AX50"/>
  <c r="AZ50" s="1"/>
  <c r="BB50" s="1"/>
  <c r="BD50" s="1"/>
  <c r="BF50" s="1"/>
  <c r="AX51"/>
  <c r="AZ51" s="1"/>
  <c r="BB51" s="1"/>
  <c r="BD51" s="1"/>
  <c r="BF51" s="1"/>
  <c r="AX52"/>
  <c r="AZ52" s="1"/>
  <c r="BB52" s="1"/>
  <c r="BD52" s="1"/>
  <c r="BF52" s="1"/>
  <c r="AX53"/>
  <c r="AZ53" s="1"/>
  <c r="BB53" s="1"/>
  <c r="BD53" s="1"/>
  <c r="BF53" s="1"/>
  <c r="AX28"/>
  <c r="AX8"/>
  <c r="AZ8" s="1"/>
  <c r="BB8" s="1"/>
  <c r="BD8" s="1"/>
  <c r="BF8" s="1"/>
  <c r="AX10"/>
  <c r="AZ10" s="1"/>
  <c r="BB10" s="1"/>
  <c r="BD10" s="1"/>
  <c r="BF10" s="1"/>
  <c r="AX12"/>
  <c r="AZ12" s="1"/>
  <c r="BB12" s="1"/>
  <c r="BD12" s="1"/>
  <c r="BF12" s="1"/>
  <c r="AX14"/>
  <c r="AZ14" s="1"/>
  <c r="BB14" s="1"/>
  <c r="BD14" s="1"/>
  <c r="BF14" s="1"/>
  <c r="AX16"/>
  <c r="AZ16" s="1"/>
  <c r="BB16" s="1"/>
  <c r="AR17"/>
  <c r="O20" i="8"/>
  <c r="P20" s="1"/>
  <c r="O22"/>
  <c r="P22" s="1"/>
  <c r="O24"/>
  <c r="P24" s="1"/>
  <c r="O26"/>
  <c r="P26" s="1"/>
  <c r="O18"/>
  <c r="P18" s="1"/>
  <c r="L8"/>
  <c r="L9"/>
  <c r="L10"/>
  <c r="L11"/>
  <c r="L12"/>
  <c r="L13"/>
  <c r="L14"/>
  <c r="L15"/>
  <c r="L16"/>
  <c r="K27" i="7"/>
  <c r="J27"/>
  <c r="I16" i="8"/>
  <c r="J1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6" i="7"/>
  <c r="J6"/>
  <c r="C55"/>
  <c r="B55"/>
  <c r="C27"/>
  <c r="B27"/>
  <c r="BC324" l="1"/>
  <c r="BD324" s="1"/>
  <c r="BF324" s="1"/>
  <c r="BC299"/>
  <c r="BD299" s="1"/>
  <c r="BF299" s="1"/>
  <c r="BC293"/>
  <c r="BD293" s="1"/>
  <c r="BF293" s="1"/>
  <c r="BC247"/>
  <c r="BD247" s="1"/>
  <c r="BF247" s="1"/>
  <c r="BC232"/>
  <c r="BD232" s="1"/>
  <c r="BF232" s="1"/>
  <c r="BC122"/>
  <c r="BD122" s="1"/>
  <c r="BF122" s="1"/>
  <c r="BC103"/>
  <c r="BD103" s="1"/>
  <c r="BF103" s="1"/>
  <c r="BC96"/>
  <c r="BD96" s="1"/>
  <c r="BF96" s="1"/>
  <c r="BC94"/>
  <c r="BD94" s="1"/>
  <c r="BF94" s="1"/>
  <c r="BC60"/>
  <c r="BD60" s="1"/>
  <c r="BF60" s="1"/>
  <c r="BC369"/>
  <c r="BD369" s="1"/>
  <c r="BF369" s="1"/>
  <c r="BC323"/>
  <c r="BD323" s="1"/>
  <c r="BF323" s="1"/>
  <c r="BC317"/>
  <c r="BD317" s="1"/>
  <c r="BF317" s="1"/>
  <c r="BC205"/>
  <c r="BD205" s="1"/>
  <c r="BF205" s="1"/>
  <c r="BC203"/>
  <c r="BD203" s="1"/>
  <c r="BF203" s="1"/>
  <c r="BC176"/>
  <c r="BD176" s="1"/>
  <c r="BF176" s="1"/>
  <c r="BC159"/>
  <c r="BD159" s="1"/>
  <c r="BF159" s="1"/>
  <c r="BC121"/>
  <c r="BD121" s="1"/>
  <c r="BF121" s="1"/>
  <c r="BC108"/>
  <c r="BD108" s="1"/>
  <c r="BF108" s="1"/>
  <c r="BC91"/>
  <c r="BD91" s="1"/>
  <c r="BF91" s="1"/>
  <c r="BC86"/>
  <c r="BD86" s="1"/>
  <c r="BF86" s="1"/>
  <c r="BC82"/>
  <c r="BD82" s="1"/>
  <c r="BF82" s="1"/>
  <c r="BC70"/>
  <c r="BD70" s="1"/>
  <c r="BF70" s="1"/>
  <c r="BC66"/>
  <c r="BD66" s="1"/>
  <c r="BF66" s="1"/>
  <c r="BC34"/>
  <c r="BD34" s="1"/>
  <c r="BF34" s="1"/>
  <c r="BC39"/>
  <c r="BD39" s="1"/>
  <c r="BF39" s="1"/>
  <c r="BC16"/>
  <c r="BD16" s="1"/>
  <c r="BF16" s="1"/>
  <c r="AX55"/>
  <c r="AZ57"/>
  <c r="BB57" s="1"/>
  <c r="BD57" s="1"/>
  <c r="BF57" s="1"/>
  <c r="AZ28"/>
  <c r="BB28" s="1"/>
  <c r="BD28" s="1"/>
  <c r="BF28" s="1"/>
  <c r="AX27"/>
  <c r="D27"/>
  <c r="L6"/>
  <c r="AX25"/>
  <c r="AZ25" s="1"/>
  <c r="BB25" s="1"/>
  <c r="BD25" s="1"/>
  <c r="BF25" s="1"/>
  <c r="AX23"/>
  <c r="AZ23" s="1"/>
  <c r="BB23" s="1"/>
  <c r="BD23" s="1"/>
  <c r="BF23" s="1"/>
  <c r="AX21"/>
  <c r="AZ21" s="1"/>
  <c r="BB21" s="1"/>
  <c r="BD21" s="1"/>
  <c r="BF21" s="1"/>
  <c r="AX19"/>
  <c r="AZ19" s="1"/>
  <c r="BB19" s="1"/>
  <c r="BD19" s="1"/>
  <c r="BF19" s="1"/>
  <c r="O25" i="8"/>
  <c r="P25" s="1"/>
  <c r="O23"/>
  <c r="P23" s="1"/>
  <c r="O21"/>
  <c r="P21" s="1"/>
  <c r="O19"/>
  <c r="P19" s="1"/>
  <c r="AX18" i="7"/>
  <c r="T17"/>
  <c r="D55"/>
  <c r="BF55" l="1"/>
  <c r="BF27"/>
  <c r="AZ18"/>
  <c r="BB18" s="1"/>
  <c r="BD18" s="1"/>
  <c r="BF18" s="1"/>
  <c r="AZ55"/>
  <c r="AZ27"/>
  <c r="AZ7"/>
  <c r="BB7" s="1"/>
  <c r="BD7" s="1"/>
  <c r="BF6" s="1"/>
  <c r="AX6"/>
  <c r="AX24"/>
  <c r="AZ24" s="1"/>
  <c r="BB24" s="1"/>
  <c r="BD24" s="1"/>
  <c r="BF24" s="1"/>
  <c r="B21" i="8"/>
  <c r="B25"/>
  <c r="BC6" i="7"/>
  <c r="BB55"/>
  <c r="BC27"/>
  <c r="AX20"/>
  <c r="AZ20" s="1"/>
  <c r="BB20" s="1"/>
  <c r="BD20" s="1"/>
  <c r="BF20" s="1"/>
  <c r="B19" i="8"/>
  <c r="B23"/>
  <c r="AX22" i="7"/>
  <c r="AZ22" s="1"/>
  <c r="BB22" s="1"/>
  <c r="BD22" s="1"/>
  <c r="BF22" s="1"/>
  <c r="AX26"/>
  <c r="AZ26" s="1"/>
  <c r="BB26" s="1"/>
  <c r="BD26" s="1"/>
  <c r="BF26" s="1"/>
  <c r="AS17"/>
  <c r="C6"/>
  <c r="C379" s="1"/>
  <c r="B6"/>
  <c r="B379" s="1"/>
  <c r="AR27"/>
  <c r="AR6"/>
  <c r="AQ17"/>
  <c r="S379"/>
  <c r="BF17" l="1"/>
  <c r="BF379" s="1"/>
  <c r="AZ17"/>
  <c r="AX17"/>
  <c r="AX379" s="1"/>
  <c r="BB27"/>
  <c r="AZ379"/>
  <c r="AZ6"/>
  <c r="B26" i="8"/>
  <c r="D6" i="7"/>
  <c r="BC55"/>
  <c r="BC379" s="1"/>
  <c r="BD55"/>
  <c r="BD27"/>
  <c r="B22" i="8"/>
  <c r="B20"/>
  <c r="B24"/>
  <c r="AT17" i="7"/>
  <c r="B18" i="8"/>
  <c r="C377"/>
  <c r="D377" s="1"/>
  <c r="C375"/>
  <c r="D375" s="1"/>
  <c r="C373"/>
  <c r="D373" s="1"/>
  <c r="C371"/>
  <c r="D371" s="1"/>
  <c r="C369"/>
  <c r="D369" s="1"/>
  <c r="C367"/>
  <c r="D367" s="1"/>
  <c r="C364"/>
  <c r="D364" s="1"/>
  <c r="C362"/>
  <c r="D362" s="1"/>
  <c r="C360"/>
  <c r="D360" s="1"/>
  <c r="C358"/>
  <c r="D358" s="1"/>
  <c r="C356"/>
  <c r="D356" s="1"/>
  <c r="C353"/>
  <c r="D353" s="1"/>
  <c r="C351"/>
  <c r="D351" s="1"/>
  <c r="C349"/>
  <c r="D349" s="1"/>
  <c r="C347"/>
  <c r="D347" s="1"/>
  <c r="C345"/>
  <c r="D345" s="1"/>
  <c r="C342"/>
  <c r="D342" s="1"/>
  <c r="C340"/>
  <c r="D340" s="1"/>
  <c r="C338"/>
  <c r="D338" s="1"/>
  <c r="C336"/>
  <c r="D336" s="1"/>
  <c r="C334"/>
  <c r="D334" s="1"/>
  <c r="C332"/>
  <c r="D332" s="1"/>
  <c r="C329"/>
  <c r="D329" s="1"/>
  <c r="C327"/>
  <c r="D327" s="1"/>
  <c r="C325"/>
  <c r="D325" s="1"/>
  <c r="C323"/>
  <c r="D323" s="1"/>
  <c r="C321"/>
  <c r="D321" s="1"/>
  <c r="C319"/>
  <c r="D319" s="1"/>
  <c r="C317"/>
  <c r="D317" s="1"/>
  <c r="C314"/>
  <c r="D314" s="1"/>
  <c r="C312"/>
  <c r="D312" s="1"/>
  <c r="C310"/>
  <c r="D310" s="1"/>
  <c r="C308"/>
  <c r="D308" s="1"/>
  <c r="C306"/>
  <c r="D306" s="1"/>
  <c r="C304"/>
  <c r="D304" s="1"/>
  <c r="C302"/>
  <c r="D302" s="1"/>
  <c r="C300"/>
  <c r="D300" s="1"/>
  <c r="C296"/>
  <c r="D296" s="1"/>
  <c r="C298"/>
  <c r="D298" s="1"/>
  <c r="C294"/>
  <c r="D294" s="1"/>
  <c r="C292"/>
  <c r="D292" s="1"/>
  <c r="C289"/>
  <c r="D289" s="1"/>
  <c r="C287"/>
  <c r="D287" s="1"/>
  <c r="C285"/>
  <c r="D285" s="1"/>
  <c r="C283"/>
  <c r="D283" s="1"/>
  <c r="C281"/>
  <c r="D281" s="1"/>
  <c r="C279"/>
  <c r="D279" s="1"/>
  <c r="C277"/>
  <c r="D277" s="1"/>
  <c r="C275"/>
  <c r="D275" s="1"/>
  <c r="C273"/>
  <c r="D273" s="1"/>
  <c r="C270"/>
  <c r="D270" s="1"/>
  <c r="C268"/>
  <c r="D268" s="1"/>
  <c r="C266"/>
  <c r="D266" s="1"/>
  <c r="C263"/>
  <c r="D263" s="1"/>
  <c r="C261"/>
  <c r="D261" s="1"/>
  <c r="C259"/>
  <c r="D259" s="1"/>
  <c r="C257"/>
  <c r="D257" s="1"/>
  <c r="C255"/>
  <c r="D255" s="1"/>
  <c r="C253"/>
  <c r="D253" s="1"/>
  <c r="C251"/>
  <c r="D251" s="1"/>
  <c r="C249"/>
  <c r="D249" s="1"/>
  <c r="C246"/>
  <c r="D246" s="1"/>
  <c r="C244"/>
  <c r="D244" s="1"/>
  <c r="C242"/>
  <c r="D242" s="1"/>
  <c r="C240"/>
  <c r="D240" s="1"/>
  <c r="C237"/>
  <c r="D237" s="1"/>
  <c r="C235"/>
  <c r="D235" s="1"/>
  <c r="C233"/>
  <c r="D233" s="1"/>
  <c r="C231"/>
  <c r="D231" s="1"/>
  <c r="C228"/>
  <c r="D228" s="1"/>
  <c r="C226"/>
  <c r="D226" s="1"/>
  <c r="C224"/>
  <c r="D224" s="1"/>
  <c r="C222"/>
  <c r="D222" s="1"/>
  <c r="C220"/>
  <c r="D220" s="1"/>
  <c r="C218"/>
  <c r="D218" s="1"/>
  <c r="C216"/>
  <c r="D216" s="1"/>
  <c r="C213"/>
  <c r="D213" s="1"/>
  <c r="C211"/>
  <c r="D211" s="1"/>
  <c r="C209"/>
  <c r="D209" s="1"/>
  <c r="C207"/>
  <c r="D207" s="1"/>
  <c r="C205"/>
  <c r="D205" s="1"/>
  <c r="C203"/>
  <c r="D203" s="1"/>
  <c r="C200"/>
  <c r="D200" s="1"/>
  <c r="C198"/>
  <c r="D198" s="1"/>
  <c r="C196"/>
  <c r="D196" s="1"/>
  <c r="C194"/>
  <c r="D194" s="1"/>
  <c r="C192"/>
  <c r="D192" s="1"/>
  <c r="C190"/>
  <c r="D190" s="1"/>
  <c r="C187"/>
  <c r="D187" s="1"/>
  <c r="C185"/>
  <c r="D185" s="1"/>
  <c r="C183"/>
  <c r="D183" s="1"/>
  <c r="C180"/>
  <c r="D180" s="1"/>
  <c r="C178"/>
  <c r="D178" s="1"/>
  <c r="C176"/>
  <c r="D176" s="1"/>
  <c r="C174"/>
  <c r="D174" s="1"/>
  <c r="C172"/>
  <c r="D172" s="1"/>
  <c r="C170"/>
  <c r="D170" s="1"/>
  <c r="C168"/>
  <c r="D168" s="1"/>
  <c r="C165"/>
  <c r="D165" s="1"/>
  <c r="C163"/>
  <c r="D163" s="1"/>
  <c r="C161"/>
  <c r="D161" s="1"/>
  <c r="C159"/>
  <c r="D159" s="1"/>
  <c r="C157"/>
  <c r="D157" s="1"/>
  <c r="C155"/>
  <c r="D155" s="1"/>
  <c r="C152"/>
  <c r="D152" s="1"/>
  <c r="C150"/>
  <c r="D150" s="1"/>
  <c r="C148"/>
  <c r="D148" s="1"/>
  <c r="C145"/>
  <c r="D145" s="1"/>
  <c r="C143"/>
  <c r="D143" s="1"/>
  <c r="C141"/>
  <c r="D141" s="1"/>
  <c r="C139"/>
  <c r="D139" s="1"/>
  <c r="C136"/>
  <c r="D136" s="1"/>
  <c r="C134"/>
  <c r="D134" s="1"/>
  <c r="C132"/>
  <c r="D132" s="1"/>
  <c r="C129"/>
  <c r="D129" s="1"/>
  <c r="C127"/>
  <c r="D127" s="1"/>
  <c r="C125"/>
  <c r="D125" s="1"/>
  <c r="C123"/>
  <c r="D123" s="1"/>
  <c r="C121"/>
  <c r="D121" s="1"/>
  <c r="C119"/>
  <c r="D119" s="1"/>
  <c r="C117"/>
  <c r="D117" s="1"/>
  <c r="C115"/>
  <c r="D115" s="1"/>
  <c r="C112"/>
  <c r="D112" s="1"/>
  <c r="C110"/>
  <c r="D110" s="1"/>
  <c r="C108"/>
  <c r="D108" s="1"/>
  <c r="C106"/>
  <c r="D106" s="1"/>
  <c r="C104"/>
  <c r="D104" s="1"/>
  <c r="C102"/>
  <c r="D102" s="1"/>
  <c r="C99"/>
  <c r="D99" s="1"/>
  <c r="C97"/>
  <c r="D97" s="1"/>
  <c r="C95"/>
  <c r="D95" s="1"/>
  <c r="C93"/>
  <c r="D93" s="1"/>
  <c r="C91"/>
  <c r="D91" s="1"/>
  <c r="C88"/>
  <c r="D88" s="1"/>
  <c r="C86"/>
  <c r="D86" s="1"/>
  <c r="C84"/>
  <c r="D84" s="1"/>
  <c r="C82"/>
  <c r="D82" s="1"/>
  <c r="C79"/>
  <c r="D79" s="1"/>
  <c r="C77"/>
  <c r="D77" s="1"/>
  <c r="C74"/>
  <c r="D74" s="1"/>
  <c r="C72"/>
  <c r="D72" s="1"/>
  <c r="C70"/>
  <c r="D70" s="1"/>
  <c r="C68"/>
  <c r="D68" s="1"/>
  <c r="B68"/>
  <c r="C66"/>
  <c r="D66" s="1"/>
  <c r="C64"/>
  <c r="D64" s="1"/>
  <c r="C61"/>
  <c r="D61" s="1"/>
  <c r="C59"/>
  <c r="D59" s="1"/>
  <c r="C378"/>
  <c r="D378" s="1"/>
  <c r="C376"/>
  <c r="D376" s="1"/>
  <c r="C374"/>
  <c r="D374" s="1"/>
  <c r="C372"/>
  <c r="D372" s="1"/>
  <c r="C370"/>
  <c r="D370" s="1"/>
  <c r="C368"/>
  <c r="D368" s="1"/>
  <c r="C365"/>
  <c r="D365" s="1"/>
  <c r="C363"/>
  <c r="D363" s="1"/>
  <c r="C361"/>
  <c r="D361" s="1"/>
  <c r="C359"/>
  <c r="D359" s="1"/>
  <c r="C357"/>
  <c r="D357" s="1"/>
  <c r="C354"/>
  <c r="D354" s="1"/>
  <c r="C352"/>
  <c r="D352" s="1"/>
  <c r="C350"/>
  <c r="D350" s="1"/>
  <c r="C348"/>
  <c r="D348" s="1"/>
  <c r="C346"/>
  <c r="D346" s="1"/>
  <c r="C344"/>
  <c r="D344" s="1"/>
  <c r="C341"/>
  <c r="D341" s="1"/>
  <c r="C339"/>
  <c r="D339" s="1"/>
  <c r="C337"/>
  <c r="D337" s="1"/>
  <c r="C335"/>
  <c r="D335" s="1"/>
  <c r="C333"/>
  <c r="D333" s="1"/>
  <c r="C330"/>
  <c r="D330" s="1"/>
  <c r="C328"/>
  <c r="D328" s="1"/>
  <c r="C326"/>
  <c r="D326" s="1"/>
  <c r="C324"/>
  <c r="D324" s="1"/>
  <c r="C322"/>
  <c r="D322" s="1"/>
  <c r="C320"/>
  <c r="D320" s="1"/>
  <c r="C318"/>
  <c r="D318" s="1"/>
  <c r="C316"/>
  <c r="D316" s="1"/>
  <c r="C313"/>
  <c r="D313" s="1"/>
  <c r="C311"/>
  <c r="D311" s="1"/>
  <c r="C309"/>
  <c r="D309" s="1"/>
  <c r="C307"/>
  <c r="D307" s="1"/>
  <c r="C305"/>
  <c r="D305" s="1"/>
  <c r="C303"/>
  <c r="D303" s="1"/>
  <c r="C301"/>
  <c r="D301" s="1"/>
  <c r="C299"/>
  <c r="D299" s="1"/>
  <c r="C297"/>
  <c r="D297" s="1"/>
  <c r="C295"/>
  <c r="D295" s="1"/>
  <c r="C293"/>
  <c r="D293" s="1"/>
  <c r="C291"/>
  <c r="D291" s="1"/>
  <c r="C288"/>
  <c r="D288" s="1"/>
  <c r="C286"/>
  <c r="D286" s="1"/>
  <c r="C284"/>
  <c r="D284" s="1"/>
  <c r="C282"/>
  <c r="D282" s="1"/>
  <c r="C280"/>
  <c r="D280" s="1"/>
  <c r="C278"/>
  <c r="D278" s="1"/>
  <c r="C276"/>
  <c r="D276" s="1"/>
  <c r="C274"/>
  <c r="D274" s="1"/>
  <c r="C271"/>
  <c r="D271" s="1"/>
  <c r="C269"/>
  <c r="D269" s="1"/>
  <c r="C267"/>
  <c r="D267" s="1"/>
  <c r="C265"/>
  <c r="D265" s="1"/>
  <c r="C262"/>
  <c r="D262" s="1"/>
  <c r="C260"/>
  <c r="D260" s="1"/>
  <c r="C258"/>
  <c r="D258" s="1"/>
  <c r="C256"/>
  <c r="D256" s="1"/>
  <c r="C254"/>
  <c r="D254" s="1"/>
  <c r="C252"/>
  <c r="D252" s="1"/>
  <c r="C250"/>
  <c r="D250" s="1"/>
  <c r="C247"/>
  <c r="D247" s="1"/>
  <c r="C245"/>
  <c r="D245" s="1"/>
  <c r="C243"/>
  <c r="D243" s="1"/>
  <c r="C241"/>
  <c r="D241" s="1"/>
  <c r="C238"/>
  <c r="D238" s="1"/>
  <c r="C236"/>
  <c r="D236" s="1"/>
  <c r="C234"/>
  <c r="D234" s="1"/>
  <c r="C232"/>
  <c r="D232" s="1"/>
  <c r="C230"/>
  <c r="D230" s="1"/>
  <c r="C227"/>
  <c r="D227" s="1"/>
  <c r="C225"/>
  <c r="D225" s="1"/>
  <c r="C223"/>
  <c r="D223" s="1"/>
  <c r="C221"/>
  <c r="D221" s="1"/>
  <c r="C219"/>
  <c r="D219" s="1"/>
  <c r="C217"/>
  <c r="D217" s="1"/>
  <c r="C214"/>
  <c r="D214" s="1"/>
  <c r="C212"/>
  <c r="D212" s="1"/>
  <c r="C210"/>
  <c r="D210" s="1"/>
  <c r="C208"/>
  <c r="D208" s="1"/>
  <c r="C206"/>
  <c r="D206" s="1"/>
  <c r="C204"/>
  <c r="D204" s="1"/>
  <c r="C201"/>
  <c r="D201" s="1"/>
  <c r="C199"/>
  <c r="D199" s="1"/>
  <c r="C197"/>
  <c r="D197" s="1"/>
  <c r="C195"/>
  <c r="D195" s="1"/>
  <c r="C193"/>
  <c r="D193" s="1"/>
  <c r="C191"/>
  <c r="D191" s="1"/>
  <c r="C189"/>
  <c r="D189" s="1"/>
  <c r="C186"/>
  <c r="D186" s="1"/>
  <c r="C184"/>
  <c r="D184" s="1"/>
  <c r="C182"/>
  <c r="D182" s="1"/>
  <c r="C179"/>
  <c r="D179" s="1"/>
  <c r="C177"/>
  <c r="D177" s="1"/>
  <c r="C175"/>
  <c r="D175" s="1"/>
  <c r="C173"/>
  <c r="D173" s="1"/>
  <c r="C171"/>
  <c r="D171" s="1"/>
  <c r="C169"/>
  <c r="D169" s="1"/>
  <c r="C166"/>
  <c r="D166" s="1"/>
  <c r="C164"/>
  <c r="D164" s="1"/>
  <c r="C162"/>
  <c r="D162" s="1"/>
  <c r="C160"/>
  <c r="D160" s="1"/>
  <c r="C158"/>
  <c r="D158" s="1"/>
  <c r="C156"/>
  <c r="D156" s="1"/>
  <c r="C153"/>
  <c r="D153" s="1"/>
  <c r="C151"/>
  <c r="D151" s="1"/>
  <c r="C149"/>
  <c r="D149" s="1"/>
  <c r="C146"/>
  <c r="D146" s="1"/>
  <c r="C144"/>
  <c r="D144" s="1"/>
  <c r="C142"/>
  <c r="D142" s="1"/>
  <c r="C140"/>
  <c r="D140" s="1"/>
  <c r="C137"/>
  <c r="D137" s="1"/>
  <c r="C135"/>
  <c r="D135" s="1"/>
  <c r="C133"/>
  <c r="D133" s="1"/>
  <c r="C131"/>
  <c r="D131" s="1"/>
  <c r="C128"/>
  <c r="D128" s="1"/>
  <c r="C126"/>
  <c r="D126" s="1"/>
  <c r="C124"/>
  <c r="D124" s="1"/>
  <c r="C122"/>
  <c r="D122" s="1"/>
  <c r="C120"/>
  <c r="D120" s="1"/>
  <c r="C118"/>
  <c r="D118" s="1"/>
  <c r="C116"/>
  <c r="D116" s="1"/>
  <c r="C113"/>
  <c r="D113" s="1"/>
  <c r="C111"/>
  <c r="D111" s="1"/>
  <c r="C109"/>
  <c r="D109" s="1"/>
  <c r="C107"/>
  <c r="D107" s="1"/>
  <c r="C105"/>
  <c r="D105" s="1"/>
  <c r="C103"/>
  <c r="D103" s="1"/>
  <c r="C101"/>
  <c r="D101" s="1"/>
  <c r="C98"/>
  <c r="D98" s="1"/>
  <c r="C96"/>
  <c r="D96" s="1"/>
  <c r="C94"/>
  <c r="D94" s="1"/>
  <c r="C92"/>
  <c r="D92" s="1"/>
  <c r="C89"/>
  <c r="D89" s="1"/>
  <c r="C87"/>
  <c r="D87" s="1"/>
  <c r="C85"/>
  <c r="D85" s="1"/>
  <c r="C83"/>
  <c r="D83" s="1"/>
  <c r="C80"/>
  <c r="D80" s="1"/>
  <c r="C78"/>
  <c r="D78" s="1"/>
  <c r="C76"/>
  <c r="D76" s="1"/>
  <c r="C73"/>
  <c r="D73" s="1"/>
  <c r="C71"/>
  <c r="D71" s="1"/>
  <c r="C69"/>
  <c r="D69" s="1"/>
  <c r="C67"/>
  <c r="D67" s="1"/>
  <c r="B67"/>
  <c r="C65"/>
  <c r="D65" s="1"/>
  <c r="C63"/>
  <c r="D63" s="1"/>
  <c r="C60"/>
  <c r="D60" s="1"/>
  <c r="C58"/>
  <c r="D58" s="1"/>
  <c r="C50"/>
  <c r="D50" s="1"/>
  <c r="C42"/>
  <c r="D42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52"/>
  <c r="D52" s="1"/>
  <c r="C48"/>
  <c r="D48" s="1"/>
  <c r="C46"/>
  <c r="D46" s="1"/>
  <c r="C44"/>
  <c r="D44" s="1"/>
  <c r="C40"/>
  <c r="D40" s="1"/>
  <c r="C38"/>
  <c r="D38" s="1"/>
  <c r="C36"/>
  <c r="D36" s="1"/>
  <c r="C34"/>
  <c r="D34" s="1"/>
  <c r="C32"/>
  <c r="D32" s="1"/>
  <c r="C30"/>
  <c r="D30" s="1"/>
  <c r="C54"/>
  <c r="D54" s="1"/>
  <c r="C15"/>
  <c r="D15" s="1"/>
  <c r="C13"/>
  <c r="D13" s="1"/>
  <c r="C11"/>
  <c r="D11" s="1"/>
  <c r="C9"/>
  <c r="D9" s="1"/>
  <c r="C16"/>
  <c r="D16" s="1"/>
  <c r="B16"/>
  <c r="C14"/>
  <c r="D14" s="1"/>
  <c r="C12"/>
  <c r="D12" s="1"/>
  <c r="C10"/>
  <c r="D10" s="1"/>
  <c r="C8"/>
  <c r="D8" s="1"/>
  <c r="T379" i="7"/>
  <c r="AQ6"/>
  <c r="AQ27"/>
  <c r="AQ55"/>
  <c r="AQ379" s="1"/>
  <c r="O27"/>
  <c r="N27"/>
  <c r="N6"/>
  <c r="O6"/>
  <c r="K379"/>
  <c r="J379"/>
  <c r="I51" i="8"/>
  <c r="J51" s="1"/>
  <c r="I48"/>
  <c r="J48" s="1"/>
  <c r="I49"/>
  <c r="J49" s="1"/>
  <c r="I50"/>
  <c r="J50" s="1"/>
  <c r="I52"/>
  <c r="J52" s="1"/>
  <c r="I53"/>
  <c r="J53" s="1"/>
  <c r="I41"/>
  <c r="J41" s="1"/>
  <c r="I42"/>
  <c r="J42" s="1"/>
  <c r="I43"/>
  <c r="J43" s="1"/>
  <c r="I44"/>
  <c r="J44" s="1"/>
  <c r="I45"/>
  <c r="J45" s="1"/>
  <c r="I46"/>
  <c r="J46" s="1"/>
  <c r="I47"/>
  <c r="J47" s="1"/>
  <c r="I35"/>
  <c r="J35" s="1"/>
  <c r="I36"/>
  <c r="J36" s="1"/>
  <c r="I37"/>
  <c r="J37" s="1"/>
  <c r="I38"/>
  <c r="J38" s="1"/>
  <c r="I39"/>
  <c r="J39" s="1"/>
  <c r="I40"/>
  <c r="J40" s="1"/>
  <c r="I29"/>
  <c r="J29" s="1"/>
  <c r="I30"/>
  <c r="J30" s="1"/>
  <c r="I31"/>
  <c r="J31" s="1"/>
  <c r="I32"/>
  <c r="J32" s="1"/>
  <c r="I33"/>
  <c r="J33" s="1"/>
  <c r="I34"/>
  <c r="J34" s="1"/>
  <c r="B28"/>
  <c r="BB6" i="7" l="1"/>
  <c r="BD6"/>
  <c r="BD17"/>
  <c r="BB17"/>
  <c r="BB379" s="1"/>
  <c r="Q17" i="8"/>
  <c r="Q379" s="1"/>
  <c r="B17"/>
  <c r="AT55" i="7"/>
  <c r="AS6"/>
  <c r="L379"/>
  <c r="L27"/>
  <c r="P6"/>
  <c r="N379"/>
  <c r="P27"/>
  <c r="O379"/>
  <c r="P379" s="1"/>
  <c r="AF17" i="8" l="1"/>
  <c r="BD379" i="7"/>
  <c r="AT27"/>
  <c r="AT379" s="1"/>
  <c r="B7" i="8"/>
  <c r="B57"/>
  <c r="O55" i="7"/>
  <c r="N55"/>
  <c r="P55" l="1"/>
  <c r="AR55" l="1"/>
  <c r="AR379" s="1"/>
  <c r="I7" i="8" l="1"/>
  <c r="J7" s="1"/>
  <c r="I28" l="1"/>
  <c r="J28" s="1"/>
  <c r="L7" l="1"/>
  <c r="M7" s="1"/>
  <c r="M9"/>
  <c r="M11"/>
  <c r="M13"/>
  <c r="M15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L50"/>
  <c r="M50" s="1"/>
  <c r="L52"/>
  <c r="M52" s="1"/>
  <c r="L54"/>
  <c r="M54" s="1"/>
  <c r="L58"/>
  <c r="M58" s="1"/>
  <c r="L60"/>
  <c r="M60" s="1"/>
  <c r="L63"/>
  <c r="M63" s="1"/>
  <c r="L65"/>
  <c r="M65" s="1"/>
  <c r="L67"/>
  <c r="M67" s="1"/>
  <c r="L68"/>
  <c r="M68" s="1"/>
  <c r="L70"/>
  <c r="M70" s="1"/>
  <c r="L72"/>
  <c r="M72" s="1"/>
  <c r="L74"/>
  <c r="M74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2"/>
  <c r="M102" s="1"/>
  <c r="L104"/>
  <c r="M104" s="1"/>
  <c r="L106"/>
  <c r="M106" s="1"/>
  <c r="L108"/>
  <c r="M108" s="1"/>
  <c r="L110"/>
  <c r="M110" s="1"/>
  <c r="L112"/>
  <c r="M112" s="1"/>
  <c r="L115"/>
  <c r="M115" s="1"/>
  <c r="L117"/>
  <c r="M117" s="1"/>
  <c r="L119"/>
  <c r="M119" s="1"/>
  <c r="L121"/>
  <c r="M121" s="1"/>
  <c r="L123"/>
  <c r="M123" s="1"/>
  <c r="L125"/>
  <c r="M125" s="1"/>
  <c r="L127"/>
  <c r="M127" s="1"/>
  <c r="L129"/>
  <c r="M129" s="1"/>
  <c r="L132"/>
  <c r="M132" s="1"/>
  <c r="L134"/>
  <c r="M134" s="1"/>
  <c r="L136"/>
  <c r="M136" s="1"/>
  <c r="L139"/>
  <c r="M139" s="1"/>
  <c r="L141"/>
  <c r="M141" s="1"/>
  <c r="L144"/>
  <c r="M144" s="1"/>
  <c r="L146"/>
  <c r="M146" s="1"/>
  <c r="L149"/>
  <c r="M149" s="1"/>
  <c r="L151"/>
  <c r="M151" s="1"/>
  <c r="L153"/>
  <c r="M153" s="1"/>
  <c r="L156"/>
  <c r="M156" s="1"/>
  <c r="L158"/>
  <c r="M158" s="1"/>
  <c r="L160"/>
  <c r="M160" s="1"/>
  <c r="L162"/>
  <c r="M162" s="1"/>
  <c r="L164"/>
  <c r="M164" s="1"/>
  <c r="L166"/>
  <c r="M166" s="1"/>
  <c r="L169"/>
  <c r="M169" s="1"/>
  <c r="L171"/>
  <c r="M171" s="1"/>
  <c r="L173"/>
  <c r="M173" s="1"/>
  <c r="L175"/>
  <c r="M175" s="1"/>
  <c r="L177"/>
  <c r="M177" s="1"/>
  <c r="L179"/>
  <c r="M179" s="1"/>
  <c r="L182"/>
  <c r="M182" s="1"/>
  <c r="L184"/>
  <c r="M184" s="1"/>
  <c r="L186"/>
  <c r="M186" s="1"/>
  <c r="L187"/>
  <c r="M187" s="1"/>
  <c r="L190"/>
  <c r="M190" s="1"/>
  <c r="L192"/>
  <c r="M192" s="1"/>
  <c r="L194"/>
  <c r="M194" s="1"/>
  <c r="L196"/>
  <c r="M196" s="1"/>
  <c r="L198"/>
  <c r="M198" s="1"/>
  <c r="L200"/>
  <c r="M200" s="1"/>
  <c r="L203"/>
  <c r="M203" s="1"/>
  <c r="L205"/>
  <c r="M205" s="1"/>
  <c r="L207"/>
  <c r="M207" s="1"/>
  <c r="L209"/>
  <c r="M209" s="1"/>
  <c r="L211"/>
  <c r="M211" s="1"/>
  <c r="L213"/>
  <c r="M213" s="1"/>
  <c r="L216"/>
  <c r="M216" s="1"/>
  <c r="L218"/>
  <c r="M218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9"/>
  <c r="M249" s="1"/>
  <c r="L251"/>
  <c r="M251" s="1"/>
  <c r="L253"/>
  <c r="M253" s="1"/>
  <c r="L255"/>
  <c r="M255" s="1"/>
  <c r="L257"/>
  <c r="M257" s="1"/>
  <c r="L259"/>
  <c r="M259" s="1"/>
  <c r="L261"/>
  <c r="M261" s="1"/>
  <c r="L263"/>
  <c r="M263" s="1"/>
  <c r="L266"/>
  <c r="M266" s="1"/>
  <c r="L268"/>
  <c r="M268" s="1"/>
  <c r="L270"/>
  <c r="M270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7"/>
  <c r="M287" s="1"/>
  <c r="L289"/>
  <c r="M289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2"/>
  <c r="M312" s="1"/>
  <c r="L314"/>
  <c r="M314" s="1"/>
  <c r="L317"/>
  <c r="M317" s="1"/>
  <c r="L319"/>
  <c r="M319" s="1"/>
  <c r="L321"/>
  <c r="M321" s="1"/>
  <c r="L323"/>
  <c r="M323" s="1"/>
  <c r="L325"/>
  <c r="M325" s="1"/>
  <c r="L327"/>
  <c r="M327" s="1"/>
  <c r="L329"/>
  <c r="M329" s="1"/>
  <c r="L332"/>
  <c r="M332" s="1"/>
  <c r="L334"/>
  <c r="M334" s="1"/>
  <c r="L336"/>
  <c r="M336" s="1"/>
  <c r="L338"/>
  <c r="M338" s="1"/>
  <c r="L340"/>
  <c r="M340" s="1"/>
  <c r="L342"/>
  <c r="M342" s="1"/>
  <c r="L345"/>
  <c r="M345" s="1"/>
  <c r="L347"/>
  <c r="M347" s="1"/>
  <c r="L349"/>
  <c r="M349" s="1"/>
  <c r="L351"/>
  <c r="M351" s="1"/>
  <c r="L353"/>
  <c r="M353" s="1"/>
  <c r="L356"/>
  <c r="M356" s="1"/>
  <c r="L358"/>
  <c r="M358" s="1"/>
  <c r="L360"/>
  <c r="M360" s="1"/>
  <c r="L361"/>
  <c r="M361" s="1"/>
  <c r="L363"/>
  <c r="M363" s="1"/>
  <c r="L365"/>
  <c r="M365" s="1"/>
  <c r="L368"/>
  <c r="M368" s="1"/>
  <c r="L370"/>
  <c r="M370" s="1"/>
  <c r="L372"/>
  <c r="M372" s="1"/>
  <c r="L374"/>
  <c r="M374" s="1"/>
  <c r="L376"/>
  <c r="M376" s="1"/>
  <c r="L378"/>
  <c r="M378" s="1"/>
  <c r="M8"/>
  <c r="M10"/>
  <c r="M12"/>
  <c r="M14"/>
  <c r="M16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7"/>
  <c r="M57" s="1"/>
  <c r="L59"/>
  <c r="M59" s="1"/>
  <c r="L61"/>
  <c r="M61" s="1"/>
  <c r="L64"/>
  <c r="M64" s="1"/>
  <c r="L66"/>
  <c r="M66" s="1"/>
  <c r="L69"/>
  <c r="M69" s="1"/>
  <c r="L71"/>
  <c r="M71" s="1"/>
  <c r="L73"/>
  <c r="M73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1"/>
  <c r="M101" s="1"/>
  <c r="L103"/>
  <c r="M103" s="1"/>
  <c r="L105"/>
  <c r="M105" s="1"/>
  <c r="L107"/>
  <c r="M107" s="1"/>
  <c r="L109"/>
  <c r="M109" s="1"/>
  <c r="L111"/>
  <c r="M111" s="1"/>
  <c r="L113"/>
  <c r="M113" s="1"/>
  <c r="L116"/>
  <c r="M116" s="1"/>
  <c r="L118"/>
  <c r="M118" s="1"/>
  <c r="L120"/>
  <c r="M120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3"/>
  <c r="M143" s="1"/>
  <c r="L145"/>
  <c r="M145" s="1"/>
  <c r="L148"/>
  <c r="M148" s="1"/>
  <c r="L150"/>
  <c r="M150" s="1"/>
  <c r="L152"/>
  <c r="M152" s="1"/>
  <c r="L155"/>
  <c r="M155" s="1"/>
  <c r="L157"/>
  <c r="M157" s="1"/>
  <c r="L159"/>
  <c r="M159" s="1"/>
  <c r="L161"/>
  <c r="M161" s="1"/>
  <c r="L163"/>
  <c r="M163" s="1"/>
  <c r="L165"/>
  <c r="M165" s="1"/>
  <c r="L168"/>
  <c r="M168" s="1"/>
  <c r="L170"/>
  <c r="M170" s="1"/>
  <c r="L172"/>
  <c r="M172" s="1"/>
  <c r="L174"/>
  <c r="M174" s="1"/>
  <c r="L176"/>
  <c r="M176" s="1"/>
  <c r="L178"/>
  <c r="M178" s="1"/>
  <c r="L180"/>
  <c r="M180" s="1"/>
  <c r="L183"/>
  <c r="M183" s="1"/>
  <c r="L185"/>
  <c r="M185" s="1"/>
  <c r="L189"/>
  <c r="M189" s="1"/>
  <c r="L191"/>
  <c r="M191" s="1"/>
  <c r="L193"/>
  <c r="M193" s="1"/>
  <c r="L195"/>
  <c r="M195" s="1"/>
  <c r="L197"/>
  <c r="M197" s="1"/>
  <c r="L199"/>
  <c r="M199" s="1"/>
  <c r="L201"/>
  <c r="M201" s="1"/>
  <c r="L204"/>
  <c r="M204" s="1"/>
  <c r="L206"/>
  <c r="M206" s="1"/>
  <c r="L208"/>
  <c r="M208" s="1"/>
  <c r="L210"/>
  <c r="M210" s="1"/>
  <c r="L212"/>
  <c r="M212" s="1"/>
  <c r="L214"/>
  <c r="M214" s="1"/>
  <c r="L217"/>
  <c r="M217" s="1"/>
  <c r="L219"/>
  <c r="M219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8"/>
  <c r="M238" s="1"/>
  <c r="L241"/>
  <c r="M241" s="1"/>
  <c r="L243"/>
  <c r="M243" s="1"/>
  <c r="L245"/>
  <c r="M245" s="1"/>
  <c r="L247"/>
  <c r="M247" s="1"/>
  <c r="L250"/>
  <c r="M250" s="1"/>
  <c r="L252"/>
  <c r="M252" s="1"/>
  <c r="L254"/>
  <c r="M254" s="1"/>
  <c r="L256"/>
  <c r="M256" s="1"/>
  <c r="L258"/>
  <c r="M258" s="1"/>
  <c r="L260"/>
  <c r="M260" s="1"/>
  <c r="L262"/>
  <c r="M262" s="1"/>
  <c r="L265"/>
  <c r="M265" s="1"/>
  <c r="L267"/>
  <c r="M267" s="1"/>
  <c r="L269"/>
  <c r="M269" s="1"/>
  <c r="L271"/>
  <c r="M271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8"/>
  <c r="M288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3"/>
  <c r="M313" s="1"/>
  <c r="L316"/>
  <c r="M316" s="1"/>
  <c r="L318"/>
  <c r="M318" s="1"/>
  <c r="L320"/>
  <c r="M320" s="1"/>
  <c r="L322"/>
  <c r="M322" s="1"/>
  <c r="L324"/>
  <c r="M324" s="1"/>
  <c r="L326"/>
  <c r="M326" s="1"/>
  <c r="L328"/>
  <c r="M328" s="1"/>
  <c r="L330"/>
  <c r="M330" s="1"/>
  <c r="L333"/>
  <c r="M333" s="1"/>
  <c r="L335"/>
  <c r="M335" s="1"/>
  <c r="L337"/>
  <c r="M337" s="1"/>
  <c r="L339"/>
  <c r="M339" s="1"/>
  <c r="L341"/>
  <c r="M341" s="1"/>
  <c r="L344"/>
  <c r="M344" s="1"/>
  <c r="L346"/>
  <c r="M346" s="1"/>
  <c r="L348"/>
  <c r="M348" s="1"/>
  <c r="L350"/>
  <c r="M350" s="1"/>
  <c r="L352"/>
  <c r="M352" s="1"/>
  <c r="L354"/>
  <c r="M354" s="1"/>
  <c r="L357"/>
  <c r="M357" s="1"/>
  <c r="L359"/>
  <c r="M359" s="1"/>
  <c r="L362"/>
  <c r="M362" s="1"/>
  <c r="L364"/>
  <c r="M364" s="1"/>
  <c r="L367"/>
  <c r="M367" s="1"/>
  <c r="L369"/>
  <c r="M369" s="1"/>
  <c r="L371"/>
  <c r="M371" s="1"/>
  <c r="L373"/>
  <c r="M373" s="1"/>
  <c r="L375"/>
  <c r="M375" s="1"/>
  <c r="L377"/>
  <c r="M377" s="1"/>
  <c r="C28"/>
  <c r="D28" s="1"/>
  <c r="C57"/>
  <c r="D57" s="1"/>
  <c r="D7"/>
  <c r="B377" l="1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B34"/>
  <c r="B13"/>
  <c r="B177"/>
  <c r="B156"/>
  <c r="B139"/>
  <c r="B125"/>
  <c r="B108"/>
  <c r="B91"/>
  <c r="B72"/>
  <c r="B60"/>
  <c r="B46"/>
  <c r="B30"/>
  <c r="B44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B41"/>
  <c r="B33"/>
  <c r="B14"/>
  <c r="B141"/>
  <c r="B119"/>
  <c r="B106"/>
  <c r="B88"/>
  <c r="B74"/>
  <c r="B58"/>
  <c r="B32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AS55" i="7"/>
  <c r="B47" i="8"/>
  <c r="B39"/>
  <c r="B3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B15"/>
  <c r="B40"/>
  <c r="B194"/>
  <c r="B164"/>
  <c r="B146"/>
  <c r="B129"/>
  <c r="B117"/>
  <c r="B99"/>
  <c r="B82"/>
  <c r="B54"/>
  <c r="B38"/>
  <c r="B11"/>
  <c r="AS27" i="7"/>
  <c r="B369" i="8"/>
  <c r="B352"/>
  <c r="B335"/>
  <c r="B318"/>
  <c r="B301"/>
  <c r="B284"/>
  <c r="B267"/>
  <c r="B250"/>
  <c r="B232"/>
  <c r="B214"/>
  <c r="B189"/>
  <c r="B176"/>
  <c r="B159"/>
  <c r="B142"/>
  <c r="B124"/>
  <c r="B107"/>
  <c r="B89"/>
  <c r="B80"/>
  <c r="B64"/>
  <c r="B53"/>
  <c r="B45"/>
  <c r="B37"/>
  <c r="B29"/>
  <c r="B10"/>
  <c r="B127"/>
  <c r="B115"/>
  <c r="B97"/>
  <c r="B79"/>
  <c r="B48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B43"/>
  <c r="B35"/>
  <c r="B8"/>
  <c r="AF15" l="1"/>
  <c r="T15"/>
  <c r="K15"/>
  <c r="E15"/>
  <c r="N15"/>
  <c r="H15"/>
  <c r="T8"/>
  <c r="N8"/>
  <c r="K8"/>
  <c r="H8"/>
  <c r="E8"/>
  <c r="AF8"/>
  <c r="AF27"/>
  <c r="AF6"/>
  <c r="AF379" s="1"/>
  <c r="AS379" i="7"/>
  <c r="B27" i="8"/>
  <c r="E7"/>
  <c r="AT6" i="7"/>
  <c r="B6" i="8" s="1"/>
  <c r="T55" l="1"/>
  <c r="T27"/>
  <c r="W55"/>
  <c r="T6"/>
  <c r="E55"/>
  <c r="AC27"/>
  <c r="AC379" s="1"/>
  <c r="W27"/>
  <c r="Z27"/>
  <c r="Z379" s="1"/>
  <c r="B55"/>
  <c r="B379" s="1"/>
  <c r="N6"/>
  <c r="K6"/>
  <c r="H6"/>
  <c r="E6"/>
  <c r="N27"/>
  <c r="K27"/>
  <c r="E27"/>
  <c r="N55"/>
  <c r="H27"/>
  <c r="W379" l="1"/>
  <c r="T379"/>
  <c r="N379"/>
  <c r="K379"/>
  <c r="E379"/>
  <c r="H379"/>
</calcChain>
</file>

<file path=xl/comments1.xml><?xml version="1.0" encoding="utf-8"?>
<comments xmlns="http://schemas.openxmlformats.org/spreadsheetml/2006/main">
  <authors>
    <author>Автор</author>
  </authors>
  <commentList>
    <comment ref="B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с.п. Макарьевка и с.п. Ольгино преобразованы в с.п. Ольгино (ЗСО № 38-ГД от 30.04.2015)</t>
        </r>
      </text>
    </comment>
    <comment ref="BH1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с.п. Мордово-Ишуткино и с.п. Мордово-Аделяково преобразовано в с.п. Мордово-Ишуткино (ЗСО № 38-ГД от 30.04.2015)</t>
        </r>
      </text>
    </comment>
    <comment ref="BH1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1) с.п. Борискино Игар и с.п. Старый Байтермиш преобразованы в с.п. Борискино-Игар
2) с.п. ст. Клявлино, с.п. Новые Сосны и с.п. Старые Сосны преобразованы с.п. ст. Клявлино
3) с.п. Назаровка и с.п. Русское Добрино преобразованы в с.п. Назаровка
4) с.п. Черный Ключ и с.п. Усакла преобразованы в с.п. Черный Ключ</t>
        </r>
      </text>
    </comment>
    <comment ref="BH3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с.п. Каменка т с.п. Новый Кувак преобразованы в с.п. Каменка</t>
        </r>
      </text>
    </comment>
  </commentList>
</comments>
</file>

<file path=xl/sharedStrings.xml><?xml version="1.0" encoding="utf-8"?>
<sst xmlns="http://schemas.openxmlformats.org/spreadsheetml/2006/main" count="14278" uniqueCount="445">
  <si>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</si>
  <si>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</si>
  <si>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</si>
  <si>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</si>
  <si>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</si>
  <si>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</si>
  <si>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</si>
  <si>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</si>
  <si>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</si>
  <si>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</si>
  <si>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</si>
  <si>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</si>
  <si>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</si>
  <si>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</si>
  <si>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</si>
  <si>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</si>
  <si>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</si>
  <si>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</si>
  <si>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</si>
  <si>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</si>
  <si>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</si>
  <si>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</si>
  <si>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</si>
  <si>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</si>
  <si>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</si>
  <si>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</si>
  <si>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</si>
  <si>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</si>
  <si>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</si>
  <si>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</si>
  <si>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</si>
  <si>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</si>
  <si>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</si>
  <si>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</si>
  <si>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</si>
  <si>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</si>
  <si>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</si>
  <si>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</si>
  <si>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</si>
  <si>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</si>
  <si>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</si>
  <si>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</si>
  <si>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</si>
  <si>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</si>
  <si>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</si>
  <si>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</si>
  <si>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</si>
  <si>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</si>
  <si>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</si>
  <si>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</si>
  <si>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</si>
  <si>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</si>
  <si>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</si>
  <si>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</si>
  <si>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</si>
  <si>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</si>
  <si>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</si>
  <si>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</si>
  <si>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</si>
  <si>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</si>
  <si>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</si>
  <si>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</si>
  <si>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</si>
  <si>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</si>
  <si>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</si>
  <si>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</si>
  <si>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</si>
  <si>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</si>
  <si>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</si>
  <si>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</si>
  <si>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</si>
  <si>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</si>
  <si>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</si>
  <si>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</si>
  <si>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</si>
  <si>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</si>
  <si>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</si>
  <si>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</si>
  <si>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</si>
  <si>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</si>
  <si>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</si>
  <si>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</si>
  <si>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</si>
  <si>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</si>
  <si>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</si>
  <si>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</si>
  <si>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</si>
  <si>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</si>
  <si>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</si>
  <si>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</si>
  <si>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</si>
  <si>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</si>
  <si>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</si>
  <si>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</si>
  <si>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</si>
  <si>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</si>
  <si>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</si>
  <si>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</si>
  <si>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</si>
  <si>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</si>
  <si>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</si>
  <si>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</si>
  <si>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</si>
  <si>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</si>
  <si>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</si>
  <si>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</si>
  <si>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</si>
  <si>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</si>
  <si>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</si>
  <si>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</si>
  <si>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</si>
  <si>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</si>
  <si>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</si>
  <si>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</si>
  <si>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</si>
  <si>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</si>
  <si>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</si>
  <si>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</si>
  <si>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</si>
  <si>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</si>
  <si>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</si>
  <si>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</si>
  <si>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</si>
  <si>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</si>
  <si>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</si>
  <si>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</si>
  <si>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</si>
  <si>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</si>
  <si>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</si>
  <si>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</si>
  <si>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</si>
  <si>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</si>
  <si>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</si>
  <si>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</si>
  <si>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</si>
  <si>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</si>
  <si>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</si>
  <si>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</si>
  <si>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</si>
  <si>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</si>
  <si>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</si>
  <si>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</si>
  <si>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</si>
  <si>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</si>
  <si>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</si>
  <si>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</si>
  <si>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</si>
  <si>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</si>
  <si>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</si>
  <si>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</si>
  <si>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</si>
  <si>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</si>
  <si>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</si>
  <si>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</si>
  <si>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</si>
  <si>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</si>
  <si>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</si>
  <si>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</si>
  <si>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</si>
  <si>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</si>
  <si>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</si>
  <si>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</si>
  <si>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</si>
  <si>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</si>
  <si>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</si>
  <si>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</si>
  <si>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</si>
  <si>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</si>
  <si>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</si>
  <si>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</si>
  <si>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</si>
  <si>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</si>
  <si>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</si>
  <si>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</si>
  <si>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</si>
  <si>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</si>
  <si>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</si>
  <si>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</si>
  <si>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</si>
  <si>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</si>
  <si>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</si>
  <si>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</si>
  <si>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</si>
  <si>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</si>
  <si>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</si>
  <si>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</si>
  <si>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</si>
  <si>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</si>
  <si>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</si>
  <si>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</si>
  <si>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</si>
  <si>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</si>
  <si>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</si>
  <si>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</si>
  <si>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</si>
  <si>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</si>
  <si>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</si>
  <si>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</si>
  <si>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</si>
  <si>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</si>
  <si>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</si>
  <si>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</si>
  <si>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</si>
  <si>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</si>
  <si>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</si>
  <si>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</si>
  <si>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</si>
  <si>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</si>
  <si>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</si>
  <si>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</si>
  <si>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</si>
  <si>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</si>
  <si>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</si>
  <si>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</si>
  <si>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</si>
  <si>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</si>
  <si>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</si>
  <si>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</si>
  <si>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</si>
  <si>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</si>
  <si>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</si>
  <si>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</si>
  <si>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</si>
  <si>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</si>
  <si>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</si>
  <si>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</si>
  <si>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</si>
  <si>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</si>
  <si>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</si>
  <si>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</si>
  <si>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</si>
  <si>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</si>
  <si>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</si>
  <si>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</si>
  <si>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</si>
  <si>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</si>
  <si>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</si>
  <si>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</si>
  <si>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</si>
  <si>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</si>
  <si>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</si>
  <si>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</si>
  <si>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</si>
  <si>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</si>
  <si>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</si>
  <si>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</si>
  <si>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</si>
  <si>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</si>
  <si>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</si>
  <si>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</si>
  <si>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</si>
  <si>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</si>
  <si>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</si>
  <si>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</si>
  <si>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</si>
  <si>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</si>
  <si>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</si>
  <si>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</si>
  <si>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</si>
  <si>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</si>
  <si>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</si>
  <si>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</si>
  <si>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</si>
  <si>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</si>
  <si>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</si>
  <si>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</si>
  <si>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</si>
  <si>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</si>
  <si>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</si>
  <si>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</si>
  <si>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</si>
  <si>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</si>
  <si>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</si>
  <si>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</si>
  <si>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</si>
  <si>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</si>
  <si>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</si>
  <si>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</si>
  <si>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</si>
  <si>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</si>
  <si>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</si>
  <si>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</si>
  <si>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</si>
  <si>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</si>
  <si>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</si>
  <si>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</si>
  <si>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</si>
  <si>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</si>
  <si>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</si>
  <si>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</si>
  <si>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</si>
  <si>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</si>
  <si>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</si>
  <si>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</si>
  <si>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</si>
  <si>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</si>
  <si>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</si>
  <si>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</si>
  <si>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</si>
  <si>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</si>
  <si>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</si>
  <si>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</si>
  <si>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</si>
  <si>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</si>
  <si>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</si>
  <si>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</si>
  <si>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</si>
  <si>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</si>
  <si>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</si>
  <si>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</si>
  <si>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</si>
  <si>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</si>
  <si>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</si>
  <si>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</si>
  <si>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</si>
  <si>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</si>
  <si>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</si>
  <si>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</si>
  <si>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</si>
  <si>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</si>
  <si>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</si>
  <si>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</si>
  <si>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</si>
  <si>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</si>
  <si>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</si>
  <si>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</si>
  <si>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</si>
  <si>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</si>
  <si>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</si>
  <si>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</si>
  <si>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</si>
  <si>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</si>
  <si>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</si>
  <si>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</si>
  <si>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</si>
  <si>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</si>
  <si>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</si>
  <si>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</si>
  <si>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</si>
  <si>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</si>
  <si>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</si>
  <si>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</si>
  <si>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</si>
  <si>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</si>
  <si>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</si>
  <si>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</si>
  <si>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</si>
  <si>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</si>
  <si>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</si>
  <si>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</si>
  <si>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</si>
  <si>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</si>
  <si>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</si>
  <si>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</si>
  <si>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</si>
  <si>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</si>
  <si>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</si>
  <si>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</si>
  <si>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</si>
  <si>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</si>
  <si>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</si>
  <si>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</si>
  <si>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</si>
  <si>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</si>
  <si>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</si>
  <si>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</si>
  <si>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</si>
  <si>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</si>
  <si>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</si>
  <si>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</si>
  <si>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</si>
  <si>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</si>
  <si>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</si>
  <si>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</si>
  <si>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</si>
  <si>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</si>
  <si>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</si>
  <si>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</si>
  <si>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</si>
  <si>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</si>
  <si>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</si>
  <si>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</si>
  <si>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</si>
  <si>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</si>
  <si>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</si>
  <si>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</si>
  <si>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</si>
  <si>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</si>
  <si>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</si>
  <si>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</si>
  <si>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</si>
  <si>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</si>
  <si>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</si>
  <si>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</si>
  <si>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</si>
  <si>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</si>
  <si>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Распределение за отчётный период с учетом корректировки</t>
  </si>
  <si>
    <t>Размер ежемесячного удержания субсидий в связи с исполнением показателей за 2016 год</t>
  </si>
  <si>
    <t>Оборот розничной торговли (тыс. рублей)</t>
  </si>
  <si>
    <t>Поголовье коров (голов)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</si>
  <si>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</si>
  <si>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</si>
  <si>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Эффективность муниципального земельного контроля (единиц)</t>
  </si>
  <si>
    <t>Ранее предоставленные субсидии</t>
  </si>
  <si>
    <t>За январь</t>
  </si>
  <si>
    <t>За февраль</t>
  </si>
  <si>
    <t>Удержано субсидий за февраль 2017 года в связи с исполнением показателей за 2016 год</t>
  </si>
  <si>
    <t>Распределение за отчётный период за вычетом предоставленных субсидий за январь-февраль 2017 года</t>
  </si>
  <si>
    <t>Нарушен норматив формирования расходов на содержание органов местного самоуправления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</si>
  <si>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</si>
  <si>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 xml:space="preserve">Корректировка распределения с учетом использования показателя "темп роста среднемесячной номинальной заработной платы" за февраль 2017 года </t>
  </si>
  <si>
    <t>За I квартал 2017 года</t>
  </si>
  <si>
    <t>Факторный анализ влияния отдельных показателей на итоговое распределение за I квартал 2017 года</t>
  </si>
  <si>
    <t>24=23/22</t>
  </si>
  <si>
    <t>28=27/26</t>
  </si>
  <si>
    <t>32=31/30</t>
  </si>
  <si>
    <t>36=35/34</t>
  </si>
  <si>
    <t>40=39/38</t>
  </si>
  <si>
    <t>44=43/11мес.*3мес.</t>
  </si>
  <si>
    <t>45=42*44</t>
  </si>
  <si>
    <t>46=45-44</t>
  </si>
  <si>
    <t>50=45-47-48-49</t>
  </si>
  <si>
    <t>54=52+53</t>
  </si>
  <si>
    <t>56=54-55</t>
  </si>
  <si>
    <t>Объем налоговых и неналоговых поступлений в бюджет внутригородского района</t>
  </si>
  <si>
    <t>Оборот розничной торговли</t>
  </si>
  <si>
    <t>Поголовье коров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</si>
  <si>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</si>
  <si>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</si>
  <si>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Эффективность муниципального земельного контроля</t>
  </si>
  <si>
    <t>Распределение за отчетный период</t>
  </si>
  <si>
    <t xml:space="preserve"> + / -
(5)=(2)*(4)/(33)</t>
  </si>
  <si>
    <t xml:space="preserve"> + / -
(8)=(2)*(7)/(33)</t>
  </si>
  <si>
    <t xml:space="preserve"> + / -
(11)=(2)*(10)/(33)</t>
  </si>
  <si>
    <t xml:space="preserve"> + / -
(14)=(2)*(13)/(33)</t>
  </si>
  <si>
    <t xml:space="preserve"> + / -
(17)=(2)*(16)/(33)</t>
  </si>
  <si>
    <t xml:space="preserve"> + / -
(20)=(2)*(19)/(33)</t>
  </si>
  <si>
    <t xml:space="preserve"> + / -
23)=(2)*(22)/(33)</t>
  </si>
  <si>
    <t xml:space="preserve"> + / -
(26)=(2)*(25)/(33)</t>
  </si>
  <si>
    <t xml:space="preserve"> + / -
(29)=(2)*(28)/(33)</t>
  </si>
  <si>
    <t xml:space="preserve"> + / -
(32)=(2)*(31)/(33)</t>
  </si>
  <si>
    <t>Распределение за отчётный период с учетом корректировки и удержания</t>
  </si>
  <si>
    <t>58=56-57</t>
  </si>
  <si>
    <t>Предоставлено субсидий 
за I квартал без учета показателей "темп роста среднемесячной номинальной заработной платы", "оборот розничной торговли" и "эффективность муниципального земельного контроля" за I квартал 2017 года</t>
  </si>
  <si>
    <t>Корректировка распределения стимулирующих субсидий за 
I квартал 2017 года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</si>
</sst>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  <numFmt numFmtId="170" formatCode="0.0"/>
  </numFmts>
  <fonts count="24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3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3" fontId="16" fillId="13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170" fontId="16" fillId="12" borderId="3" xfId="0" applyNumberFormat="1" applyFont="1" applyFill="1" applyBorder="1" applyAlignment="1">
      <alignment vertical="center"/>
    </xf>
    <xf numFmtId="170" fontId="14" fillId="0" borderId="3" xfId="0" applyNumberFormat="1" applyFont="1" applyFill="1" applyBorder="1" applyAlignment="1">
      <alignment horizontal="center" vertical="center"/>
    </xf>
    <xf numFmtId="168" fontId="0" fillId="0" borderId="0" xfId="0" applyNumberFormat="1" applyFont="1"/>
    <xf numFmtId="3" fontId="16" fillId="12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5" fillId="0" borderId="3" xfId="45" applyNumberFormat="1" applyFont="1" applyFill="1" applyBorder="1" applyAlignment="1">
      <alignment horizontal="center" vertical="top" wrapText="1"/>
    </xf>
    <xf numFmtId="3" fontId="16" fillId="13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CCFFCC"/>
  </sheetPr>
  <dimension ref="A1:HB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5.88671875" style="1" customWidth="1"/>
    <col min="3" max="3" width="16.33203125" style="1" customWidth="1"/>
    <col min="4" max="4" width="13" style="1" bestFit="1" customWidth="1"/>
    <col min="5" max="5" width="4.88671875" style="1" customWidth="1"/>
    <col min="6" max="6" width="10.4414062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8" width="10.33203125" style="1" customWidth="1"/>
    <col min="19" max="19" width="10.6640625" style="1" customWidth="1"/>
    <col min="20" max="20" width="13.44140625" style="1" customWidth="1"/>
    <col min="21" max="21" width="4.6640625" style="1" customWidth="1"/>
    <col min="22" max="23" width="16" style="1" bestFit="1" customWidth="1"/>
    <col min="24" max="24" width="13.6640625" style="1" customWidth="1"/>
    <col min="25" max="25" width="4.6640625" style="1" customWidth="1"/>
    <col min="26" max="27" width="10.5546875" style="1" customWidth="1"/>
    <col min="28" max="28" width="13.6640625" style="1" customWidth="1"/>
    <col min="29" max="29" width="4.6640625" style="1" customWidth="1"/>
    <col min="30" max="30" width="9.6640625" style="1" customWidth="1"/>
    <col min="31" max="31" width="10.6640625" style="1" customWidth="1"/>
    <col min="32" max="32" width="13.6640625" style="1" customWidth="1"/>
    <col min="33" max="33" width="4.6640625" style="1" customWidth="1"/>
    <col min="34" max="34" width="9.6640625" style="1" customWidth="1"/>
    <col min="35" max="35" width="10.6640625" style="1" customWidth="1"/>
    <col min="36" max="36" width="13.6640625" style="1" customWidth="1"/>
    <col min="37" max="37" width="4.6640625" style="1" customWidth="1"/>
    <col min="38" max="38" width="10.33203125" style="1" customWidth="1"/>
    <col min="39" max="39" width="10.6640625" style="1" customWidth="1"/>
    <col min="40" max="40" width="13.6640625" style="1" customWidth="1"/>
    <col min="41" max="41" width="4.6640625" style="1" customWidth="1"/>
    <col min="42" max="42" width="13" style="1" customWidth="1"/>
    <col min="43" max="43" width="11.6640625" style="1" customWidth="1"/>
    <col min="44" max="44" width="18.44140625" style="1" customWidth="1"/>
    <col min="45" max="45" width="13.5546875" style="1" customWidth="1"/>
    <col min="46" max="49" width="14.33203125" style="1" customWidth="1"/>
    <col min="50" max="50" width="15.5546875" style="1" customWidth="1"/>
    <col min="51" max="51" width="14.44140625" style="1" customWidth="1"/>
    <col min="52" max="52" width="14.6640625" style="1" customWidth="1"/>
    <col min="53" max="54" width="15.6640625" style="1" customWidth="1"/>
    <col min="55" max="55" width="14.6640625" style="1" customWidth="1"/>
    <col min="56" max="56" width="14.5546875" style="1" customWidth="1"/>
    <col min="57" max="57" width="21.88671875" style="1" customWidth="1"/>
    <col min="58" max="58" width="19" style="1" customWidth="1"/>
    <col min="59" max="59" width="9.109375" style="1"/>
    <col min="60" max="60" width="96.44140625" style="1" customWidth="1"/>
    <col min="61" max="16384" width="9.109375" style="1"/>
  </cols>
  <sheetData>
    <row r="1" spans="1:72" ht="21.75" customHeight="1">
      <c r="A1" s="88" t="s">
        <v>370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72" ht="15.55">
      <c r="A2" s="72" t="s">
        <v>411</v>
      </c>
      <c r="BF2" s="86" t="s">
        <v>378</v>
      </c>
    </row>
    <row r="3" spans="1:72" ht="134.5" customHeight="1">
      <c r="A3" s="87" t="s">
        <v>15</v>
      </c>
      <c r="B3" s="94" t="s">
        <v>382</v>
      </c>
      <c r="C3" s="94"/>
      <c r="D3" s="94"/>
      <c r="E3" s="94"/>
      <c r="F3" s="94" t="s">
        <v>371</v>
      </c>
      <c r="G3" s="94"/>
      <c r="H3" s="94"/>
      <c r="I3" s="94"/>
      <c r="J3" s="94" t="s">
        <v>380</v>
      </c>
      <c r="K3" s="94"/>
      <c r="L3" s="94"/>
      <c r="M3" s="94"/>
      <c r="N3" s="94" t="s">
        <v>373</v>
      </c>
      <c r="O3" s="94"/>
      <c r="P3" s="94"/>
      <c r="Q3" s="94"/>
      <c r="R3" s="94" t="s">
        <v>395</v>
      </c>
      <c r="S3" s="94"/>
      <c r="T3" s="94"/>
      <c r="U3" s="94"/>
      <c r="V3" s="89" t="s">
        <v>398</v>
      </c>
      <c r="W3" s="89"/>
      <c r="X3" s="89"/>
      <c r="Y3" s="89"/>
      <c r="Z3" s="89" t="s">
        <v>399</v>
      </c>
      <c r="AA3" s="89"/>
      <c r="AB3" s="89"/>
      <c r="AC3" s="89"/>
      <c r="AD3" s="89" t="s">
        <v>400</v>
      </c>
      <c r="AE3" s="89"/>
      <c r="AF3" s="89"/>
      <c r="AG3" s="89"/>
      <c r="AH3" s="89" t="s">
        <v>401</v>
      </c>
      <c r="AI3" s="89"/>
      <c r="AJ3" s="89"/>
      <c r="AK3" s="89"/>
      <c r="AL3" s="89" t="s">
        <v>402</v>
      </c>
      <c r="AM3" s="89"/>
      <c r="AN3" s="89"/>
      <c r="AO3" s="89"/>
      <c r="AP3" s="93" t="s">
        <v>383</v>
      </c>
      <c r="AQ3" s="92" t="s">
        <v>369</v>
      </c>
      <c r="AR3" s="87" t="s">
        <v>372</v>
      </c>
      <c r="AS3" s="87" t="s">
        <v>430</v>
      </c>
      <c r="AT3" s="87" t="s">
        <v>366</v>
      </c>
      <c r="AU3" s="90" t="s">
        <v>403</v>
      </c>
      <c r="AV3" s="91"/>
      <c r="AW3" s="87" t="s">
        <v>406</v>
      </c>
      <c r="AX3" s="87" t="s">
        <v>407</v>
      </c>
      <c r="AY3" s="87" t="s">
        <v>408</v>
      </c>
      <c r="AZ3" s="87" t="s">
        <v>409</v>
      </c>
      <c r="BA3" s="87" t="s">
        <v>410</v>
      </c>
      <c r="BB3" s="87" t="s">
        <v>396</v>
      </c>
      <c r="BC3" s="87" t="s">
        <v>397</v>
      </c>
      <c r="BD3" s="87" t="s">
        <v>441</v>
      </c>
      <c r="BE3" s="87" t="s">
        <v>443</v>
      </c>
      <c r="BF3" s="87" t="s">
        <v>444</v>
      </c>
    </row>
    <row r="4" spans="1:72" ht="42.05" customHeight="1">
      <c r="A4" s="87"/>
      <c r="B4" s="61" t="s">
        <v>358</v>
      </c>
      <c r="C4" s="61" t="s">
        <v>359</v>
      </c>
      <c r="D4" s="62" t="s">
        <v>384</v>
      </c>
      <c r="E4" s="61" t="s">
        <v>16</v>
      </c>
      <c r="F4" s="61" t="s">
        <v>358</v>
      </c>
      <c r="G4" s="61" t="s">
        <v>359</v>
      </c>
      <c r="H4" s="62" t="s">
        <v>384</v>
      </c>
      <c r="I4" s="61" t="s">
        <v>16</v>
      </c>
      <c r="J4" s="61" t="s">
        <v>358</v>
      </c>
      <c r="K4" s="61" t="s">
        <v>359</v>
      </c>
      <c r="L4" s="62" t="s">
        <v>384</v>
      </c>
      <c r="M4" s="61" t="s">
        <v>16</v>
      </c>
      <c r="N4" s="61" t="s">
        <v>358</v>
      </c>
      <c r="O4" s="61" t="s">
        <v>359</v>
      </c>
      <c r="P4" s="62" t="s">
        <v>384</v>
      </c>
      <c r="Q4" s="61" t="s">
        <v>16</v>
      </c>
      <c r="R4" s="61" t="s">
        <v>358</v>
      </c>
      <c r="S4" s="61" t="s">
        <v>359</v>
      </c>
      <c r="T4" s="62" t="s">
        <v>384</v>
      </c>
      <c r="U4" s="61" t="s">
        <v>16</v>
      </c>
      <c r="V4" s="70" t="s">
        <v>358</v>
      </c>
      <c r="W4" s="70" t="s">
        <v>359</v>
      </c>
      <c r="X4" s="70" t="s">
        <v>384</v>
      </c>
      <c r="Y4" s="70" t="s">
        <v>16</v>
      </c>
      <c r="Z4" s="70" t="s">
        <v>358</v>
      </c>
      <c r="AA4" s="70" t="s">
        <v>359</v>
      </c>
      <c r="AB4" s="70" t="s">
        <v>384</v>
      </c>
      <c r="AC4" s="70" t="s">
        <v>16</v>
      </c>
      <c r="AD4" s="70" t="s">
        <v>358</v>
      </c>
      <c r="AE4" s="70" t="s">
        <v>359</v>
      </c>
      <c r="AF4" s="70" t="s">
        <v>384</v>
      </c>
      <c r="AG4" s="70" t="s">
        <v>16</v>
      </c>
      <c r="AH4" s="70" t="s">
        <v>358</v>
      </c>
      <c r="AI4" s="70" t="s">
        <v>359</v>
      </c>
      <c r="AJ4" s="70" t="s">
        <v>384</v>
      </c>
      <c r="AK4" s="70" t="s">
        <v>16</v>
      </c>
      <c r="AL4" s="70" t="s">
        <v>358</v>
      </c>
      <c r="AM4" s="70" t="s">
        <v>359</v>
      </c>
      <c r="AN4" s="70" t="s">
        <v>384</v>
      </c>
      <c r="AO4" s="70" t="s">
        <v>16</v>
      </c>
      <c r="AP4" s="93"/>
      <c r="AQ4" s="92"/>
      <c r="AR4" s="87"/>
      <c r="AS4" s="87"/>
      <c r="AT4" s="87"/>
      <c r="AU4" s="71" t="s">
        <v>404</v>
      </c>
      <c r="AV4" s="71" t="s">
        <v>405</v>
      </c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72" s="19" customFormat="1" ht="14.15" customHeight="1">
      <c r="A5" s="25">
        <v>1</v>
      </c>
      <c r="B5" s="25">
        <v>2</v>
      </c>
      <c r="C5" s="25">
        <v>3</v>
      </c>
      <c r="D5" s="25" t="s">
        <v>374</v>
      </c>
      <c r="E5" s="25">
        <v>5</v>
      </c>
      <c r="F5" s="25">
        <v>6</v>
      </c>
      <c r="G5" s="25">
        <v>7</v>
      </c>
      <c r="H5" s="25" t="s">
        <v>375</v>
      </c>
      <c r="I5" s="25">
        <v>9</v>
      </c>
      <c r="J5" s="25">
        <v>10</v>
      </c>
      <c r="K5" s="25">
        <v>11</v>
      </c>
      <c r="L5" s="25" t="s">
        <v>376</v>
      </c>
      <c r="M5" s="25">
        <v>13</v>
      </c>
      <c r="N5" s="25">
        <v>14</v>
      </c>
      <c r="O5" s="25">
        <v>15</v>
      </c>
      <c r="P5" s="25" t="s">
        <v>377</v>
      </c>
      <c r="Q5" s="25">
        <v>17</v>
      </c>
      <c r="R5" s="25">
        <v>18</v>
      </c>
      <c r="S5" s="25">
        <v>19</v>
      </c>
      <c r="T5" s="25" t="s">
        <v>381</v>
      </c>
      <c r="U5" s="25">
        <v>21</v>
      </c>
      <c r="V5" s="25">
        <v>22</v>
      </c>
      <c r="W5" s="25">
        <v>23</v>
      </c>
      <c r="X5" s="25" t="s">
        <v>413</v>
      </c>
      <c r="Y5" s="25">
        <v>25</v>
      </c>
      <c r="Z5" s="25">
        <v>26</v>
      </c>
      <c r="AA5" s="25">
        <v>27</v>
      </c>
      <c r="AB5" s="25" t="s">
        <v>414</v>
      </c>
      <c r="AC5" s="25">
        <v>29</v>
      </c>
      <c r="AD5" s="25">
        <v>30</v>
      </c>
      <c r="AE5" s="25">
        <v>31</v>
      </c>
      <c r="AF5" s="25" t="s">
        <v>415</v>
      </c>
      <c r="AG5" s="25">
        <v>33</v>
      </c>
      <c r="AH5" s="25">
        <v>34</v>
      </c>
      <c r="AI5" s="25">
        <v>35</v>
      </c>
      <c r="AJ5" s="25" t="s">
        <v>416</v>
      </c>
      <c r="AK5" s="25">
        <v>37</v>
      </c>
      <c r="AL5" s="25">
        <v>38</v>
      </c>
      <c r="AM5" s="25">
        <v>39</v>
      </c>
      <c r="AN5" s="25" t="s">
        <v>417</v>
      </c>
      <c r="AO5" s="25">
        <v>41</v>
      </c>
      <c r="AP5" s="25">
        <v>42</v>
      </c>
      <c r="AQ5" s="25">
        <v>43</v>
      </c>
      <c r="AR5" s="25" t="s">
        <v>418</v>
      </c>
      <c r="AS5" s="25" t="s">
        <v>419</v>
      </c>
      <c r="AT5" s="25" t="s">
        <v>420</v>
      </c>
      <c r="AU5" s="25">
        <v>47</v>
      </c>
      <c r="AV5" s="25">
        <v>48</v>
      </c>
      <c r="AW5" s="25">
        <v>49</v>
      </c>
      <c r="AX5" s="25" t="s">
        <v>421</v>
      </c>
      <c r="AY5" s="25">
        <v>51</v>
      </c>
      <c r="AZ5" s="25">
        <v>52</v>
      </c>
      <c r="BA5" s="25">
        <v>53</v>
      </c>
      <c r="BB5" s="25" t="s">
        <v>422</v>
      </c>
      <c r="BC5" s="25">
        <v>55</v>
      </c>
      <c r="BD5" s="25" t="s">
        <v>423</v>
      </c>
      <c r="BE5" s="25">
        <v>57</v>
      </c>
      <c r="BF5" s="25" t="s">
        <v>442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3" customFormat="1" ht="17.149999999999999" customHeight="1">
      <c r="A6" s="36" t="s">
        <v>4</v>
      </c>
      <c r="B6" s="64">
        <f>SUM(B7:B16)</f>
        <v>204571262</v>
      </c>
      <c r="C6" s="64">
        <f>SUM(C7:C16)</f>
        <v>205136713.90000001</v>
      </c>
      <c r="D6" s="6">
        <f>IF(C6/B6&gt;1.2,IF((C6/B6-1.2)*0.1+1.2&gt;1.3,1.3,(C6/B6-1.2)*0.1+1.2),C6/B6)</f>
        <v>1.0027640827674027</v>
      </c>
      <c r="E6" s="21"/>
      <c r="F6" s="37"/>
      <c r="G6" s="37"/>
      <c r="H6" s="6"/>
      <c r="I6" s="21"/>
      <c r="J6" s="34">
        <f>SUM(J7:J16)</f>
        <v>19960</v>
      </c>
      <c r="K6" s="34">
        <f>SUM(K7:K16)</f>
        <v>15732</v>
      </c>
      <c r="L6" s="6">
        <f>IF(J6/K6&gt;1.2,IF((J6/K6-1)*0.1+1.2&gt;1.3,1.3,(J6/K6-1.2)*0.1+1.2),J6/K6)</f>
        <v>1.2068751589117721</v>
      </c>
      <c r="M6" s="21"/>
      <c r="N6" s="34">
        <f>SUM(N7:N16)</f>
        <v>4951769.2</v>
      </c>
      <c r="O6" s="34">
        <f>SUM(O7:O16)</f>
        <v>5137452.2000000011</v>
      </c>
      <c r="P6" s="6">
        <f>IF(O6/N6&gt;1.2,IF((O6/N6-1.2)*0.1+1.2&gt;1.3,1.3,(O6/N6-1.2)*0.1+1.2),O6/N6)</f>
        <v>1.0374983147437487</v>
      </c>
      <c r="Q6" s="21"/>
      <c r="R6" s="38"/>
      <c r="S6" s="38"/>
      <c r="T6" s="38"/>
      <c r="U6" s="21"/>
      <c r="V6" s="37">
        <f>SUM(V7:V16)</f>
        <v>115236621.09999999</v>
      </c>
      <c r="W6" s="81">
        <f>SUM(W7:W16)</f>
        <v>115326099</v>
      </c>
      <c r="X6" s="6">
        <f>IF(W6/V6&gt;1.2,IF((W6/V6-1.2)*0.1+1.2&gt;1.3,1.3,(W6/V6-1.2)*0.1+1.2),W6/V6)</f>
        <v>1.0007764710484035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34">
        <f>SUM(AL7:AL16)</f>
        <v>19735</v>
      </c>
      <c r="AM6" s="34">
        <f>SUM(AM7:AM16)</f>
        <v>17970</v>
      </c>
      <c r="AN6" s="6">
        <f>IF(AM6/AL6&gt;1.2,IF((AM6/AL6-1.2)*0.1+1.2&gt;1.3,1.3,(AM6/AL6-1.2)*0.1+1.2),AM6/AL6)</f>
        <v>0.91056498606536607</v>
      </c>
      <c r="AO6" s="21"/>
      <c r="AP6" s="22"/>
      <c r="AQ6" s="20">
        <f>SUM(AQ7:AQ16)</f>
        <v>1628490</v>
      </c>
      <c r="AR6" s="34">
        <f>SUM(AR7:AR16)</f>
        <v>444133.63636363635</v>
      </c>
      <c r="AS6" s="34">
        <f>SUM(AS7:AS16)</f>
        <v>448714.49999999988</v>
      </c>
      <c r="AT6" s="34">
        <f>SUM(AT7:AT16)</f>
        <v>4580.8636363636269</v>
      </c>
      <c r="AU6" s="34">
        <f t="shared" ref="AU6:AZ6" si="0">SUM(AU7:AU16)</f>
        <v>155968.20000000001</v>
      </c>
      <c r="AV6" s="34">
        <f t="shared" si="0"/>
        <v>137723.9</v>
      </c>
      <c r="AW6" s="34">
        <f t="shared" si="0"/>
        <v>2269.6999999999998</v>
      </c>
      <c r="AX6" s="34">
        <f t="shared" si="0"/>
        <v>152752.69999999998</v>
      </c>
      <c r="AY6" s="34"/>
      <c r="AZ6" s="34">
        <f t="shared" si="0"/>
        <v>152752.69999999998</v>
      </c>
      <c r="BA6" s="34">
        <f t="shared" ref="BA6:BF6" si="1">SUM(BA7:BA16)</f>
        <v>-1260.3</v>
      </c>
      <c r="BB6" s="34">
        <f t="shared" si="1"/>
        <v>151492.40000000002</v>
      </c>
      <c r="BC6" s="34">
        <f t="shared" si="1"/>
        <v>509.3</v>
      </c>
      <c r="BD6" s="34">
        <f t="shared" si="1"/>
        <v>150983.1</v>
      </c>
      <c r="BE6" s="34">
        <f t="shared" si="1"/>
        <v>151063.5</v>
      </c>
      <c r="BF6" s="34">
        <f t="shared" si="1"/>
        <v>-80.399999999999181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2" customFormat="1" ht="17.149999999999999" customHeight="1">
      <c r="A7" s="12" t="s">
        <v>5</v>
      </c>
      <c r="B7" s="63">
        <v>62575680</v>
      </c>
      <c r="C7" s="63">
        <v>65759929.799999997</v>
      </c>
      <c r="D7" s="4">
        <f>IF(E7=0,0,IF(B7=0,1,IF(C7&lt;0,0,IF(C7/B7&gt;1.2,IF((C7/B7-1.2)*0.1+1.2&gt;1.3,1.3,(C7/B7-1.2)*0.1+1.2),C7/B7))))</f>
        <v>1.0508863795007901</v>
      </c>
      <c r="E7" s="11">
        <v>5</v>
      </c>
      <c r="F7" s="57">
        <v>106.7</v>
      </c>
      <c r="G7" s="57">
        <v>105.1</v>
      </c>
      <c r="H7" s="4">
        <f>IF(I7=0,0,IF(F7=0,1,IF(G7&lt;0,0,IF(G7/F7&gt;1.2,IF((G7/F7-1.2)*0.1+1.2&gt;1.3,1.3,(G7/F7-1.2)*0.1+1.2),G7/F7))))</f>
        <v>0.98500468603561375</v>
      </c>
      <c r="I7" s="11">
        <v>10</v>
      </c>
      <c r="J7" s="44">
        <v>5900</v>
      </c>
      <c r="K7" s="44">
        <v>4322</v>
      </c>
      <c r="L7" s="4">
        <f>IF(M7=0,0,IF(J7=0,1,IF(K7&lt;0,0,IF(J7/K7&gt;1.2,IF((J7/K7-1.2)*0.1+1.2&gt;1.3,1.3,(J7/K7-1.2)*0.1+1.2),J7/K7))))</f>
        <v>1.2165108745950948</v>
      </c>
      <c r="M7" s="11">
        <v>5</v>
      </c>
      <c r="N7" s="35">
        <v>2693699.4</v>
      </c>
      <c r="O7" s="35">
        <v>2926277.5</v>
      </c>
      <c r="P7" s="4">
        <f>IF(Q7=0,0,IF(N7=0,1,IF(O7&lt;0,0,IF(O7/N7&gt;1.2,IF((O7/N7-1.2)*0.1+1.2&gt;1.3,1.3,(O7/N7-1.2)*0.1+1.2),O7/N7))))</f>
        <v>1.0863415197701718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82">
        <v>62008962</v>
      </c>
      <c r="W7" s="82">
        <v>61500013</v>
      </c>
      <c r="X7" s="4">
        <f>IF(Y7=0,0,IF(V7=0,1,IF(W7&lt;0,0,IF(W7/V7&gt;1.2,IF((W7/V7-1.2)*0.1+1.2&gt;1.3,1.3,(W7/V7-1.2)*0.1+1.2),W7/V7))))</f>
        <v>0.99179233156652424</v>
      </c>
      <c r="Y7" s="5">
        <v>15</v>
      </c>
      <c r="Z7" s="5" t="s">
        <v>360</v>
      </c>
      <c r="AA7" s="5" t="s">
        <v>360</v>
      </c>
      <c r="AB7" s="5" t="s">
        <v>360</v>
      </c>
      <c r="AC7" s="5" t="s">
        <v>360</v>
      </c>
      <c r="AD7" s="5" t="s">
        <v>360</v>
      </c>
      <c r="AE7" s="5" t="s">
        <v>360</v>
      </c>
      <c r="AF7" s="5" t="s">
        <v>360</v>
      </c>
      <c r="AG7" s="5" t="s">
        <v>360</v>
      </c>
      <c r="AH7" s="5" t="s">
        <v>360</v>
      </c>
      <c r="AI7" s="5" t="s">
        <v>360</v>
      </c>
      <c r="AJ7" s="5" t="s">
        <v>360</v>
      </c>
      <c r="AK7" s="5" t="s">
        <v>360</v>
      </c>
      <c r="AL7" s="5">
        <v>1794</v>
      </c>
      <c r="AM7" s="5">
        <v>1257</v>
      </c>
      <c r="AN7" s="4">
        <f>IF(AO7=0,0,IF(AL7=0,1,IF(AM7&lt;0,0,IF(AM7/AL7&gt;1.2,IF((AM7/AL7-1.2)*0.1+1.2&gt;1.3,1.3,(AM7/AL7-1.2)*0.1+1.2),AM7/AL7))))</f>
        <v>0.70066889632107021</v>
      </c>
      <c r="AO7" s="5">
        <v>15</v>
      </c>
      <c r="AP7" s="43">
        <f>(D7*E7+H7*I7+L7*M7+P7*Q7+X7*Y7+AN7*AO7)/(E7+I7+M7+Q7+Y7+AO7)</f>
        <v>0.9757254563507558</v>
      </c>
      <c r="AQ7" s="44">
        <v>462796</v>
      </c>
      <c r="AR7" s="35">
        <f>AQ7/11*3</f>
        <v>126217.09090909091</v>
      </c>
      <c r="AS7" s="35">
        <f>ROUND(AP7*AR7,1)</f>
        <v>123153.2</v>
      </c>
      <c r="AT7" s="35">
        <f>AS7-AR7</f>
        <v>-3063.8909090909146</v>
      </c>
      <c r="AU7" s="35">
        <v>49554</v>
      </c>
      <c r="AV7" s="35">
        <v>44489.4</v>
      </c>
      <c r="AW7" s="35"/>
      <c r="AX7" s="35">
        <f>ROUND(AS7-SUM(AU7:AW7),1)</f>
        <v>29109.8</v>
      </c>
      <c r="AY7" s="35"/>
      <c r="AZ7" s="35">
        <f>IF(OR(AX7&lt;0,AY7="+"),0,AX7)</f>
        <v>29109.8</v>
      </c>
      <c r="BA7" s="35">
        <v>-1420.4</v>
      </c>
      <c r="BB7" s="35">
        <f>ROUND(AZ7+BA7,1)</f>
        <v>27689.4</v>
      </c>
      <c r="BC7" s="35"/>
      <c r="BD7" s="35">
        <f>IF((BB7-BC7)&gt;0,ROUND(BB7-BC7,1),0)</f>
        <v>27689.4</v>
      </c>
      <c r="BE7" s="35">
        <v>43643.5</v>
      </c>
      <c r="BF7" s="35">
        <f>ROUND(BD7-BE7,1)</f>
        <v>-15954.1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" customFormat="1" ht="17.149999999999999" customHeight="1">
      <c r="A8" s="12" t="s">
        <v>6</v>
      </c>
      <c r="B8" s="63">
        <v>95696868</v>
      </c>
      <c r="C8" s="63">
        <v>97344227.299999997</v>
      </c>
      <c r="D8" s="4">
        <f t="shared" ref="D8:D16" si="2">IF(E8=0,0,IF(B8=0,1,IF(C8&lt;0,0,IF(C8/B8&gt;1.2,IF((C8/B8-1.2)*0.1+1.2&gt;1.3,1.3,(C8/B8-1.2)*0.1+1.2),C8/B8))))</f>
        <v>1.0172143491676238</v>
      </c>
      <c r="E8" s="11">
        <v>5</v>
      </c>
      <c r="F8" s="57">
        <v>103.3</v>
      </c>
      <c r="G8" s="57">
        <v>108</v>
      </c>
      <c r="H8" s="4">
        <f t="shared" ref="H8:H15" si="3">IF(I8=0,0,IF(F8=0,1,IF(G8&lt;0,0,IF(G8/F8&gt;1.2,IF((G8/F8-1.2)*0.1+1.2&gt;1.3,1.3,(G8/F8-1.2)*0.1+1.2),G8/F8))))</f>
        <v>1.0454985479186836</v>
      </c>
      <c r="I8" s="11">
        <v>10</v>
      </c>
      <c r="J8" s="44">
        <v>10000</v>
      </c>
      <c r="K8" s="44">
        <v>7666</v>
      </c>
      <c r="L8" s="4">
        <f t="shared" ref="L8:L15" si="4">IF(M8=0,0,IF(J8=0,1,IF(K8&lt;0,0,IF(J8/K8&gt;1.2,IF((J8/K8-1.2)*0.1+1.2&gt;1.3,1.3,(J8/K8-1.2)*0.1+1.2),J8/K8))))</f>
        <v>1.2104461257500652</v>
      </c>
      <c r="M8" s="11">
        <v>15</v>
      </c>
      <c r="N8" s="35">
        <v>1396754.1</v>
      </c>
      <c r="O8" s="35">
        <v>1272728.6000000001</v>
      </c>
      <c r="P8" s="4">
        <f t="shared" ref="P8:P16" si="5">IF(Q8=0,0,IF(N8=0,1,IF(O8&lt;0,0,IF(O8/N8&gt;1.2,IF((O8/N8-1.2)*0.1+1.2&gt;1.3,1.3,(O8/N8-1.2)*0.1+1.2),O8/N8))))</f>
        <v>0.91120448474072857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82">
        <v>42369793</v>
      </c>
      <c r="W8" s="82">
        <v>42994869</v>
      </c>
      <c r="X8" s="4">
        <f t="shared" ref="X8:X16" si="6">IF(Y8=0,0,IF(V8=0,1,IF(W8&lt;0,0,IF(W8/V8&gt;1.2,IF((W8/V8-1.2)*0.1+1.2&gt;1.3,1.3,(W8/V8-1.2)*0.1+1.2),W8/V8))))</f>
        <v>1.0147528688657979</v>
      </c>
      <c r="Y8" s="5">
        <v>15</v>
      </c>
      <c r="Z8" s="5" t="s">
        <v>360</v>
      </c>
      <c r="AA8" s="5" t="s">
        <v>360</v>
      </c>
      <c r="AB8" s="5" t="s">
        <v>360</v>
      </c>
      <c r="AC8" s="5" t="s">
        <v>360</v>
      </c>
      <c r="AD8" s="5" t="s">
        <v>360</v>
      </c>
      <c r="AE8" s="5" t="s">
        <v>360</v>
      </c>
      <c r="AF8" s="5" t="s">
        <v>360</v>
      </c>
      <c r="AG8" s="5" t="s">
        <v>360</v>
      </c>
      <c r="AH8" s="5" t="s">
        <v>360</v>
      </c>
      <c r="AI8" s="5" t="s">
        <v>360</v>
      </c>
      <c r="AJ8" s="5" t="s">
        <v>360</v>
      </c>
      <c r="AK8" s="5" t="s">
        <v>360</v>
      </c>
      <c r="AL8" s="5">
        <v>3589</v>
      </c>
      <c r="AM8" s="5">
        <v>3789</v>
      </c>
      <c r="AN8" s="4">
        <f t="shared" ref="AN8:AN54" si="7">IF(AO8=0,0,IF(AL8=0,1,IF(AM8&lt;0,0,IF(AM8/AL8&gt;1.2,IF((AM8/AL8-1.2)*0.1+1.2&gt;1.3,1.3,(AM8/AL8-1.2)*0.1+1.2),AM8/AL8))))</f>
        <v>1.0557258289217053</v>
      </c>
      <c r="AO8" s="5">
        <v>15</v>
      </c>
      <c r="AP8" s="43">
        <f t="shared" ref="AP8:AP15" si="8">(D8*E8+H8*I8+L8*M8+P8*Q8+X8*Y8+AN8*AO8)/(E8+I8+M8+Q8+Y8+AO8)</f>
        <v>1.0372377409112881</v>
      </c>
      <c r="AQ8" s="44">
        <v>431665</v>
      </c>
      <c r="AR8" s="35">
        <f t="shared" ref="AR8:AR54" si="9">AQ8/11*3</f>
        <v>117726.81818181818</v>
      </c>
      <c r="AS8" s="35">
        <f t="shared" ref="AS8:AS54" si="10">ROUND(AP8*AR8,1)</f>
        <v>122110.7</v>
      </c>
      <c r="AT8" s="35">
        <f t="shared" ref="AT8:AT54" si="11">AS8-AR8</f>
        <v>4383.8818181818206</v>
      </c>
      <c r="AU8" s="35">
        <v>32905.4</v>
      </c>
      <c r="AV8" s="35">
        <v>30518.1</v>
      </c>
      <c r="AW8" s="35"/>
      <c r="AX8" s="35">
        <f t="shared" ref="AX8:AX15" si="12">ROUND(AS8-SUM(AU8:AW8),1)</f>
        <v>58687.199999999997</v>
      </c>
      <c r="AY8" s="35"/>
      <c r="AZ8" s="35">
        <f t="shared" ref="AZ8:AZ54" si="13">IF(OR(AX8&lt;0,AY8="+"),0,AX8)</f>
        <v>58687.199999999997</v>
      </c>
      <c r="BA8" s="35">
        <v>42.8</v>
      </c>
      <c r="BB8" s="35">
        <f t="shared" ref="BB8:BB54" si="14">ROUND(AZ8+BA8,1)</f>
        <v>58730</v>
      </c>
      <c r="BC8" s="35"/>
      <c r="BD8" s="35">
        <f t="shared" ref="BD8:BD54" si="15">IF((BB8-BC8)&gt;0,ROUND(BB8-BC8,1),0)</f>
        <v>58730</v>
      </c>
      <c r="BE8" s="35">
        <v>33477</v>
      </c>
      <c r="BF8" s="35">
        <f t="shared" ref="BF8:BF54" si="16">ROUND(BD8-BE8,1)</f>
        <v>25253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2" customFormat="1" ht="17.149999999999999" customHeight="1">
      <c r="A9" s="12" t="s">
        <v>7</v>
      </c>
      <c r="B9" s="63">
        <v>10550447</v>
      </c>
      <c r="C9" s="63">
        <v>11034339</v>
      </c>
      <c r="D9" s="4">
        <f t="shared" si="2"/>
        <v>1.0458645970166003</v>
      </c>
      <c r="E9" s="11">
        <v>5</v>
      </c>
      <c r="F9" s="57">
        <v>104.2</v>
      </c>
      <c r="G9" s="57">
        <v>105.7</v>
      </c>
      <c r="H9" s="4">
        <f t="shared" si="3"/>
        <v>1.0143953934740884</v>
      </c>
      <c r="I9" s="11">
        <v>10</v>
      </c>
      <c r="J9" s="44">
        <v>800</v>
      </c>
      <c r="K9" s="44">
        <v>754</v>
      </c>
      <c r="L9" s="4">
        <f t="shared" si="4"/>
        <v>1.0610079575596818</v>
      </c>
      <c r="M9" s="11">
        <v>5</v>
      </c>
      <c r="N9" s="35">
        <v>289939.40000000002</v>
      </c>
      <c r="O9" s="35">
        <v>292619.7</v>
      </c>
      <c r="P9" s="4">
        <f t="shared" si="5"/>
        <v>1.0092443455425513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63">
        <v>3651852.8</v>
      </c>
      <c r="W9" s="82">
        <v>3918125</v>
      </c>
      <c r="X9" s="4">
        <f t="shared" si="6"/>
        <v>1.0729142751865575</v>
      </c>
      <c r="Y9" s="5">
        <v>15</v>
      </c>
      <c r="Z9" s="5" t="s">
        <v>360</v>
      </c>
      <c r="AA9" s="5" t="s">
        <v>360</v>
      </c>
      <c r="AB9" s="5" t="s">
        <v>360</v>
      </c>
      <c r="AC9" s="5" t="s">
        <v>360</v>
      </c>
      <c r="AD9" s="5" t="s">
        <v>360</v>
      </c>
      <c r="AE9" s="5" t="s">
        <v>360</v>
      </c>
      <c r="AF9" s="5" t="s">
        <v>360</v>
      </c>
      <c r="AG9" s="5" t="s">
        <v>360</v>
      </c>
      <c r="AH9" s="5" t="s">
        <v>360</v>
      </c>
      <c r="AI9" s="5" t="s">
        <v>360</v>
      </c>
      <c r="AJ9" s="5" t="s">
        <v>360</v>
      </c>
      <c r="AK9" s="5" t="s">
        <v>360</v>
      </c>
      <c r="AL9" s="5">
        <v>1794</v>
      </c>
      <c r="AM9" s="5">
        <v>1920</v>
      </c>
      <c r="AN9" s="4">
        <f t="shared" si="7"/>
        <v>1.0702341137123745</v>
      </c>
      <c r="AO9" s="5">
        <v>15</v>
      </c>
      <c r="AP9" s="43">
        <f t="shared" si="8"/>
        <v>1.0430061350279616</v>
      </c>
      <c r="AQ9" s="44">
        <v>192788</v>
      </c>
      <c r="AR9" s="35">
        <f t="shared" si="9"/>
        <v>52578.545454545456</v>
      </c>
      <c r="AS9" s="35">
        <f t="shared" si="10"/>
        <v>54839.7</v>
      </c>
      <c r="AT9" s="35">
        <f t="shared" si="11"/>
        <v>2261.1545454545412</v>
      </c>
      <c r="AU9" s="35">
        <v>19742.8</v>
      </c>
      <c r="AV9" s="35">
        <v>16459.2</v>
      </c>
      <c r="AW9" s="35"/>
      <c r="AX9" s="35">
        <f t="shared" si="12"/>
        <v>18637.7</v>
      </c>
      <c r="AY9" s="35"/>
      <c r="AZ9" s="35">
        <f t="shared" si="13"/>
        <v>18637.7</v>
      </c>
      <c r="BA9" s="35">
        <v>193.8</v>
      </c>
      <c r="BB9" s="35">
        <f t="shared" si="14"/>
        <v>18831.5</v>
      </c>
      <c r="BC9" s="35"/>
      <c r="BD9" s="35">
        <f t="shared" si="15"/>
        <v>18831.5</v>
      </c>
      <c r="BE9" s="35">
        <v>17830.900000000001</v>
      </c>
      <c r="BF9" s="35">
        <f t="shared" si="16"/>
        <v>1000.6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2" customFormat="1" ht="17.149999999999999" customHeight="1">
      <c r="A10" s="12" t="s">
        <v>8</v>
      </c>
      <c r="B10" s="63">
        <v>17546181</v>
      </c>
      <c r="C10" s="63">
        <v>13258111.4</v>
      </c>
      <c r="D10" s="4">
        <f t="shared" si="2"/>
        <v>0.75561236943811305</v>
      </c>
      <c r="E10" s="11">
        <v>5</v>
      </c>
      <c r="F10" s="57">
        <v>102.6</v>
      </c>
      <c r="G10" s="57">
        <v>104.8</v>
      </c>
      <c r="H10" s="4">
        <f t="shared" si="3"/>
        <v>1.0214424951267056</v>
      </c>
      <c r="I10" s="11">
        <v>10</v>
      </c>
      <c r="J10" s="44">
        <v>530</v>
      </c>
      <c r="K10" s="44">
        <v>459</v>
      </c>
      <c r="L10" s="4">
        <f t="shared" si="4"/>
        <v>1.1546840958605664</v>
      </c>
      <c r="M10" s="11">
        <v>10</v>
      </c>
      <c r="N10" s="35">
        <v>218726.1</v>
      </c>
      <c r="O10" s="35">
        <v>257529.7</v>
      </c>
      <c r="P10" s="4">
        <f t="shared" si="5"/>
        <v>1.1774072687255888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63">
        <v>2056088.6</v>
      </c>
      <c r="W10" s="82">
        <v>2061383</v>
      </c>
      <c r="X10" s="4">
        <f t="shared" si="6"/>
        <v>1.0025749863113875</v>
      </c>
      <c r="Y10" s="5">
        <v>15</v>
      </c>
      <c r="Z10" s="5" t="s">
        <v>360</v>
      </c>
      <c r="AA10" s="5" t="s">
        <v>360</v>
      </c>
      <c r="AB10" s="5" t="s">
        <v>360</v>
      </c>
      <c r="AC10" s="5" t="s">
        <v>360</v>
      </c>
      <c r="AD10" s="5" t="s">
        <v>360</v>
      </c>
      <c r="AE10" s="5" t="s">
        <v>360</v>
      </c>
      <c r="AF10" s="5" t="s">
        <v>360</v>
      </c>
      <c r="AG10" s="5" t="s">
        <v>360</v>
      </c>
      <c r="AH10" s="5" t="s">
        <v>360</v>
      </c>
      <c r="AI10" s="5" t="s">
        <v>360</v>
      </c>
      <c r="AJ10" s="5" t="s">
        <v>360</v>
      </c>
      <c r="AK10" s="5" t="s">
        <v>360</v>
      </c>
      <c r="AL10" s="5">
        <v>1794</v>
      </c>
      <c r="AM10" s="5">
        <v>1014</v>
      </c>
      <c r="AN10" s="4">
        <f t="shared" si="7"/>
        <v>0.56521739130434778</v>
      </c>
      <c r="AO10" s="5">
        <v>15</v>
      </c>
      <c r="AP10" s="43">
        <f t="shared" si="8"/>
        <v>0.96805811727748126</v>
      </c>
      <c r="AQ10" s="44">
        <v>68535</v>
      </c>
      <c r="AR10" s="35">
        <f t="shared" si="9"/>
        <v>18691.363636363636</v>
      </c>
      <c r="AS10" s="35">
        <f t="shared" si="10"/>
        <v>18094.3</v>
      </c>
      <c r="AT10" s="35">
        <f t="shared" si="11"/>
        <v>-597.06363636363676</v>
      </c>
      <c r="AU10" s="35">
        <v>7001.6</v>
      </c>
      <c r="AV10" s="35">
        <v>6343.6</v>
      </c>
      <c r="AW10" s="35"/>
      <c r="AX10" s="35">
        <f t="shared" si="12"/>
        <v>4749.1000000000004</v>
      </c>
      <c r="AY10" s="35"/>
      <c r="AZ10" s="35">
        <f t="shared" si="13"/>
        <v>4749.1000000000004</v>
      </c>
      <c r="BA10" s="35">
        <v>-15.8</v>
      </c>
      <c r="BB10" s="35">
        <f t="shared" si="14"/>
        <v>4733.3</v>
      </c>
      <c r="BC10" s="35"/>
      <c r="BD10" s="35">
        <f t="shared" si="15"/>
        <v>4733.3</v>
      </c>
      <c r="BE10" s="35">
        <v>7398.7</v>
      </c>
      <c r="BF10" s="35">
        <f t="shared" si="16"/>
        <v>-2665.4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7.149999999999999" customHeight="1">
      <c r="A11" s="12" t="s">
        <v>9</v>
      </c>
      <c r="B11" s="63">
        <v>2526856</v>
      </c>
      <c r="C11" s="63">
        <v>3086846.7</v>
      </c>
      <c r="D11" s="4">
        <f t="shared" si="2"/>
        <v>1.2021615596614923</v>
      </c>
      <c r="E11" s="11">
        <v>5</v>
      </c>
      <c r="F11" s="57">
        <v>106</v>
      </c>
      <c r="G11" s="57">
        <v>105.6</v>
      </c>
      <c r="H11" s="4">
        <f t="shared" si="3"/>
        <v>0.99622641509433962</v>
      </c>
      <c r="I11" s="11">
        <v>10</v>
      </c>
      <c r="J11" s="44">
        <v>400</v>
      </c>
      <c r="K11" s="44">
        <v>382</v>
      </c>
      <c r="L11" s="4">
        <f t="shared" si="4"/>
        <v>1.0471204188481675</v>
      </c>
      <c r="M11" s="11">
        <v>10</v>
      </c>
      <c r="N11" s="35">
        <v>62958.5</v>
      </c>
      <c r="O11" s="35">
        <v>75919.8</v>
      </c>
      <c r="P11" s="4">
        <f t="shared" si="5"/>
        <v>1.2005870533764305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63">
        <v>1346622.7</v>
      </c>
      <c r="W11" s="82">
        <v>1182456</v>
      </c>
      <c r="X11" s="4">
        <f t="shared" si="6"/>
        <v>0.87809005447479838</v>
      </c>
      <c r="Y11" s="5">
        <v>15</v>
      </c>
      <c r="Z11" s="5" t="s">
        <v>360</v>
      </c>
      <c r="AA11" s="5" t="s">
        <v>360</v>
      </c>
      <c r="AB11" s="5" t="s">
        <v>360</v>
      </c>
      <c r="AC11" s="5" t="s">
        <v>360</v>
      </c>
      <c r="AD11" s="5" t="s">
        <v>360</v>
      </c>
      <c r="AE11" s="5" t="s">
        <v>360</v>
      </c>
      <c r="AF11" s="5" t="s">
        <v>360</v>
      </c>
      <c r="AG11" s="5" t="s">
        <v>360</v>
      </c>
      <c r="AH11" s="5" t="s">
        <v>360</v>
      </c>
      <c r="AI11" s="5" t="s">
        <v>360</v>
      </c>
      <c r="AJ11" s="5" t="s">
        <v>360</v>
      </c>
      <c r="AK11" s="5" t="s">
        <v>360</v>
      </c>
      <c r="AL11" s="5">
        <v>1794</v>
      </c>
      <c r="AM11" s="5">
        <v>1853</v>
      </c>
      <c r="AN11" s="4">
        <f t="shared" si="7"/>
        <v>1.0328874024526198</v>
      </c>
      <c r="AO11" s="5">
        <v>15</v>
      </c>
      <c r="AP11" s="43">
        <f t="shared" si="8"/>
        <v>1.0549423874556323</v>
      </c>
      <c r="AQ11" s="44">
        <v>104788</v>
      </c>
      <c r="AR11" s="35">
        <f t="shared" si="9"/>
        <v>28578.545454545456</v>
      </c>
      <c r="AS11" s="35">
        <f t="shared" si="10"/>
        <v>30148.7</v>
      </c>
      <c r="AT11" s="35">
        <f t="shared" si="11"/>
        <v>1570.1545454545449</v>
      </c>
      <c r="AU11" s="35">
        <v>11099.5</v>
      </c>
      <c r="AV11" s="35">
        <v>9982.9</v>
      </c>
      <c r="AW11" s="35"/>
      <c r="AX11" s="35">
        <f t="shared" si="12"/>
        <v>9066.2999999999993</v>
      </c>
      <c r="AY11" s="35"/>
      <c r="AZ11" s="35">
        <f t="shared" si="13"/>
        <v>9066.2999999999993</v>
      </c>
      <c r="BA11" s="35">
        <v>-144.30000000000001</v>
      </c>
      <c r="BB11" s="35">
        <f t="shared" si="14"/>
        <v>8922</v>
      </c>
      <c r="BC11" s="35"/>
      <c r="BD11" s="35">
        <f t="shared" si="15"/>
        <v>8922</v>
      </c>
      <c r="BE11" s="35">
        <v>11837.7</v>
      </c>
      <c r="BF11" s="35">
        <f t="shared" si="16"/>
        <v>-2915.7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7.149999999999999" customHeight="1">
      <c r="A12" s="12" t="s">
        <v>10</v>
      </c>
      <c r="B12" s="63">
        <v>4820251</v>
      </c>
      <c r="C12" s="63">
        <v>4307810.4000000004</v>
      </c>
      <c r="D12" s="4">
        <f t="shared" si="2"/>
        <v>0.8936900588786767</v>
      </c>
      <c r="E12" s="11">
        <v>5</v>
      </c>
      <c r="F12" s="57">
        <v>104.5</v>
      </c>
      <c r="G12" s="57">
        <v>108.5</v>
      </c>
      <c r="H12" s="4">
        <f t="shared" si="3"/>
        <v>1.0382775119617225</v>
      </c>
      <c r="I12" s="11">
        <v>10</v>
      </c>
      <c r="J12" s="44">
        <v>340</v>
      </c>
      <c r="K12" s="44">
        <v>351</v>
      </c>
      <c r="L12" s="4">
        <f t="shared" si="4"/>
        <v>0.96866096866096862</v>
      </c>
      <c r="M12" s="11">
        <v>15</v>
      </c>
      <c r="N12" s="35">
        <v>80437.899999999994</v>
      </c>
      <c r="O12" s="35">
        <v>86916.4</v>
      </c>
      <c r="P12" s="4">
        <f t="shared" si="5"/>
        <v>1.0805403920291305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82">
        <v>1158232</v>
      </c>
      <c r="W12" s="82">
        <v>1084881</v>
      </c>
      <c r="X12" s="4">
        <f t="shared" si="6"/>
        <v>0.93666985543483516</v>
      </c>
      <c r="Y12" s="5">
        <v>15</v>
      </c>
      <c r="Z12" s="5" t="s">
        <v>360</v>
      </c>
      <c r="AA12" s="5" t="s">
        <v>360</v>
      </c>
      <c r="AB12" s="5" t="s">
        <v>360</v>
      </c>
      <c r="AC12" s="5" t="s">
        <v>360</v>
      </c>
      <c r="AD12" s="5" t="s">
        <v>360</v>
      </c>
      <c r="AE12" s="5" t="s">
        <v>360</v>
      </c>
      <c r="AF12" s="5" t="s">
        <v>360</v>
      </c>
      <c r="AG12" s="5" t="s">
        <v>360</v>
      </c>
      <c r="AH12" s="5" t="s">
        <v>360</v>
      </c>
      <c r="AI12" s="5" t="s">
        <v>360</v>
      </c>
      <c r="AJ12" s="5" t="s">
        <v>360</v>
      </c>
      <c r="AK12" s="5" t="s">
        <v>360</v>
      </c>
      <c r="AL12" s="5">
        <v>1794</v>
      </c>
      <c r="AM12" s="5">
        <v>1863</v>
      </c>
      <c r="AN12" s="4">
        <f t="shared" si="7"/>
        <v>1.0384615384615385</v>
      </c>
      <c r="AO12" s="5">
        <v>15</v>
      </c>
      <c r="AP12" s="43">
        <f t="shared" si="8"/>
        <v>1.0077364836619169</v>
      </c>
      <c r="AQ12" s="44">
        <v>49642</v>
      </c>
      <c r="AR12" s="35">
        <f t="shared" si="9"/>
        <v>13538.727272727272</v>
      </c>
      <c r="AS12" s="35">
        <f t="shared" si="10"/>
        <v>13643.5</v>
      </c>
      <c r="AT12" s="35">
        <f t="shared" si="11"/>
        <v>104.77272727272793</v>
      </c>
      <c r="AU12" s="35">
        <v>5090.8</v>
      </c>
      <c r="AV12" s="35">
        <v>3861.5</v>
      </c>
      <c r="AW12" s="35"/>
      <c r="AX12" s="35">
        <f t="shared" si="12"/>
        <v>4691.2</v>
      </c>
      <c r="AY12" s="35"/>
      <c r="AZ12" s="35">
        <f t="shared" si="13"/>
        <v>4691.2</v>
      </c>
      <c r="BA12" s="35">
        <v>163.9</v>
      </c>
      <c r="BB12" s="35">
        <f t="shared" si="14"/>
        <v>4855.1000000000004</v>
      </c>
      <c r="BC12" s="35"/>
      <c r="BD12" s="35">
        <f t="shared" si="15"/>
        <v>4855.1000000000004</v>
      </c>
      <c r="BE12" s="35">
        <v>4956.5</v>
      </c>
      <c r="BF12" s="35">
        <f t="shared" si="16"/>
        <v>-101.4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2" customFormat="1" ht="17.149999999999999" customHeight="1">
      <c r="A13" s="12" t="s">
        <v>11</v>
      </c>
      <c r="B13" s="63">
        <v>9369673</v>
      </c>
      <c r="C13" s="63">
        <v>8465928.4000000004</v>
      </c>
      <c r="D13" s="4">
        <f t="shared" si="2"/>
        <v>0.9035457694201281</v>
      </c>
      <c r="E13" s="11">
        <v>5</v>
      </c>
      <c r="F13" s="57">
        <v>104.4</v>
      </c>
      <c r="G13" s="57">
        <v>103.1</v>
      </c>
      <c r="H13" s="4">
        <f t="shared" si="3"/>
        <v>0.98754789272030641</v>
      </c>
      <c r="I13" s="11">
        <v>10</v>
      </c>
      <c r="J13" s="44">
        <v>930</v>
      </c>
      <c r="K13" s="44">
        <v>781</v>
      </c>
      <c r="L13" s="4">
        <f t="shared" si="4"/>
        <v>1.1907810499359794</v>
      </c>
      <c r="M13" s="11">
        <v>10</v>
      </c>
      <c r="N13" s="35">
        <v>73503.199999999997</v>
      </c>
      <c r="O13" s="35">
        <v>92097.4</v>
      </c>
      <c r="P13" s="4">
        <f t="shared" si="5"/>
        <v>1.2052971299208741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82">
        <v>794682</v>
      </c>
      <c r="W13" s="82">
        <v>789156</v>
      </c>
      <c r="X13" s="4">
        <f t="shared" si="6"/>
        <v>0.99304627511381915</v>
      </c>
      <c r="Y13" s="5">
        <v>15</v>
      </c>
      <c r="Z13" s="5" t="s">
        <v>360</v>
      </c>
      <c r="AA13" s="5" t="s">
        <v>360</v>
      </c>
      <c r="AB13" s="5" t="s">
        <v>360</v>
      </c>
      <c r="AC13" s="5" t="s">
        <v>360</v>
      </c>
      <c r="AD13" s="5" t="s">
        <v>360</v>
      </c>
      <c r="AE13" s="5" t="s">
        <v>360</v>
      </c>
      <c r="AF13" s="5" t="s">
        <v>360</v>
      </c>
      <c r="AG13" s="5" t="s">
        <v>360</v>
      </c>
      <c r="AH13" s="5" t="s">
        <v>360</v>
      </c>
      <c r="AI13" s="5" t="s">
        <v>360</v>
      </c>
      <c r="AJ13" s="5" t="s">
        <v>360</v>
      </c>
      <c r="AK13" s="5" t="s">
        <v>360</v>
      </c>
      <c r="AL13" s="5">
        <v>1794</v>
      </c>
      <c r="AM13" s="5">
        <v>1441</v>
      </c>
      <c r="AN13" s="4">
        <f t="shared" si="7"/>
        <v>0.80323299888517274</v>
      </c>
      <c r="AO13" s="5">
        <v>15</v>
      </c>
      <c r="AP13" s="43">
        <f t="shared" si="8"/>
        <v>1.0313486664275449</v>
      </c>
      <c r="AQ13" s="44">
        <v>92987</v>
      </c>
      <c r="AR13" s="35">
        <f t="shared" si="9"/>
        <v>25360.090909090908</v>
      </c>
      <c r="AS13" s="35">
        <f t="shared" si="10"/>
        <v>26155.1</v>
      </c>
      <c r="AT13" s="35">
        <f t="shared" si="11"/>
        <v>795.00909090909045</v>
      </c>
      <c r="AU13" s="35">
        <v>10032.200000000001</v>
      </c>
      <c r="AV13" s="35">
        <v>7244.8</v>
      </c>
      <c r="AW13" s="35"/>
      <c r="AX13" s="35">
        <f t="shared" si="12"/>
        <v>8878.1</v>
      </c>
      <c r="AY13" s="35"/>
      <c r="AZ13" s="35">
        <f t="shared" si="13"/>
        <v>8878.1</v>
      </c>
      <c r="BA13" s="35">
        <v>167.1</v>
      </c>
      <c r="BB13" s="35">
        <f t="shared" si="14"/>
        <v>9045.2000000000007</v>
      </c>
      <c r="BC13" s="35"/>
      <c r="BD13" s="35">
        <f t="shared" si="15"/>
        <v>9045.2000000000007</v>
      </c>
      <c r="BE13" s="35">
        <v>12258.2</v>
      </c>
      <c r="BF13" s="35">
        <f t="shared" si="16"/>
        <v>-3213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67" customFormat="1" ht="17.149999999999999" customHeight="1">
      <c r="A14" s="68" t="s">
        <v>12</v>
      </c>
      <c r="B14" s="63">
        <v>146350</v>
      </c>
      <c r="C14" s="63">
        <v>163958.79999999999</v>
      </c>
      <c r="D14" s="4">
        <f t="shared" si="2"/>
        <v>1.1203197813460881</v>
      </c>
      <c r="E14" s="11">
        <v>5</v>
      </c>
      <c r="F14" s="57">
        <v>104.2</v>
      </c>
      <c r="G14" s="57">
        <v>106.5</v>
      </c>
      <c r="H14" s="4">
        <f t="shared" si="3"/>
        <v>1.0220729366602688</v>
      </c>
      <c r="I14" s="11">
        <v>10</v>
      </c>
      <c r="J14" s="44">
        <v>400</v>
      </c>
      <c r="K14" s="44">
        <v>387</v>
      </c>
      <c r="L14" s="4">
        <f t="shared" si="4"/>
        <v>1.0335917312661498</v>
      </c>
      <c r="M14" s="11">
        <v>15</v>
      </c>
      <c r="N14" s="35">
        <v>25647.599999999999</v>
      </c>
      <c r="O14" s="35">
        <v>25749.5</v>
      </c>
      <c r="P14" s="4">
        <f t="shared" si="5"/>
        <v>1.0039730813019543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82">
        <v>294579</v>
      </c>
      <c r="W14" s="82">
        <v>283050</v>
      </c>
      <c r="X14" s="4">
        <f t="shared" si="6"/>
        <v>0.96086279062662305</v>
      </c>
      <c r="Y14" s="5">
        <v>15</v>
      </c>
      <c r="Z14" s="5" t="s">
        <v>360</v>
      </c>
      <c r="AA14" s="5" t="s">
        <v>360</v>
      </c>
      <c r="AB14" s="5" t="s">
        <v>360</v>
      </c>
      <c r="AC14" s="5" t="s">
        <v>360</v>
      </c>
      <c r="AD14" s="5" t="s">
        <v>360</v>
      </c>
      <c r="AE14" s="5" t="s">
        <v>360</v>
      </c>
      <c r="AF14" s="5" t="s">
        <v>360</v>
      </c>
      <c r="AG14" s="5" t="s">
        <v>360</v>
      </c>
      <c r="AH14" s="5" t="s">
        <v>360</v>
      </c>
      <c r="AI14" s="5" t="s">
        <v>360</v>
      </c>
      <c r="AJ14" s="5" t="s">
        <v>360</v>
      </c>
      <c r="AK14" s="5" t="s">
        <v>360</v>
      </c>
      <c r="AL14" s="5">
        <v>1794</v>
      </c>
      <c r="AM14" s="5">
        <v>1228</v>
      </c>
      <c r="AN14" s="4">
        <f t="shared" si="7"/>
        <v>0.68450390189520627</v>
      </c>
      <c r="AO14" s="5">
        <v>15</v>
      </c>
      <c r="AP14" s="43">
        <f t="shared" si="8"/>
        <v>0.95107707820239873</v>
      </c>
      <c r="AQ14" s="44">
        <v>68711</v>
      </c>
      <c r="AR14" s="35">
        <f t="shared" si="9"/>
        <v>18739.363636363636</v>
      </c>
      <c r="AS14" s="35">
        <f t="shared" si="10"/>
        <v>17822.599999999999</v>
      </c>
      <c r="AT14" s="35">
        <f t="shared" si="11"/>
        <v>-916.76363636363749</v>
      </c>
      <c r="AU14" s="35">
        <v>6326</v>
      </c>
      <c r="AV14" s="35">
        <v>6580.3</v>
      </c>
      <c r="AW14" s="35"/>
      <c r="AX14" s="35">
        <f t="shared" si="12"/>
        <v>4916.3</v>
      </c>
      <c r="AY14" s="35"/>
      <c r="AZ14" s="35">
        <f t="shared" si="13"/>
        <v>4916.3</v>
      </c>
      <c r="BA14" s="35">
        <v>-118.6</v>
      </c>
      <c r="BB14" s="35">
        <f t="shared" si="14"/>
        <v>4797.7</v>
      </c>
      <c r="BC14" s="35"/>
      <c r="BD14" s="35">
        <f t="shared" si="15"/>
        <v>4797.7</v>
      </c>
      <c r="BE14" s="35">
        <v>6269.6</v>
      </c>
      <c r="BF14" s="35">
        <f t="shared" si="16"/>
        <v>-1471.9</v>
      </c>
      <c r="BG14" s="66"/>
      <c r="BH14" s="1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</row>
    <row r="15" spans="1:72" s="2" customFormat="1" ht="17.149999999999999" customHeight="1">
      <c r="A15" s="12" t="s">
        <v>13</v>
      </c>
      <c r="B15" s="63">
        <v>1106764</v>
      </c>
      <c r="C15" s="63">
        <v>1501247.7</v>
      </c>
      <c r="D15" s="4">
        <f t="shared" si="2"/>
        <v>1.2156429826051443</v>
      </c>
      <c r="E15" s="11">
        <v>5</v>
      </c>
      <c r="F15" s="57">
        <v>104.4</v>
      </c>
      <c r="G15" s="57">
        <v>105.5</v>
      </c>
      <c r="H15" s="4">
        <f t="shared" si="3"/>
        <v>1.0105363984674329</v>
      </c>
      <c r="I15" s="11">
        <v>10</v>
      </c>
      <c r="J15" s="44">
        <v>450</v>
      </c>
      <c r="K15" s="44">
        <v>427</v>
      </c>
      <c r="L15" s="4">
        <f t="shared" si="4"/>
        <v>1.053864168618267</v>
      </c>
      <c r="M15" s="11">
        <v>10</v>
      </c>
      <c r="N15" s="35">
        <v>71017.899999999994</v>
      </c>
      <c r="O15" s="35">
        <v>66056.399999999994</v>
      </c>
      <c r="P15" s="4">
        <f t="shared" si="5"/>
        <v>0.93013733157415246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82">
        <v>997359</v>
      </c>
      <c r="W15" s="82">
        <v>960765</v>
      </c>
      <c r="X15" s="4">
        <f t="shared" si="6"/>
        <v>0.96330909933133402</v>
      </c>
      <c r="Y15" s="5">
        <v>15</v>
      </c>
      <c r="Z15" s="5" t="s">
        <v>360</v>
      </c>
      <c r="AA15" s="5" t="s">
        <v>360</v>
      </c>
      <c r="AB15" s="5" t="s">
        <v>360</v>
      </c>
      <c r="AC15" s="5" t="s">
        <v>360</v>
      </c>
      <c r="AD15" s="5" t="s">
        <v>360</v>
      </c>
      <c r="AE15" s="5" t="s">
        <v>360</v>
      </c>
      <c r="AF15" s="5" t="s">
        <v>360</v>
      </c>
      <c r="AG15" s="5" t="s">
        <v>360</v>
      </c>
      <c r="AH15" s="5" t="s">
        <v>360</v>
      </c>
      <c r="AI15" s="5" t="s">
        <v>360</v>
      </c>
      <c r="AJ15" s="5" t="s">
        <v>360</v>
      </c>
      <c r="AK15" s="5" t="s">
        <v>360</v>
      </c>
      <c r="AL15" s="5">
        <v>1794</v>
      </c>
      <c r="AM15" s="5">
        <v>1755</v>
      </c>
      <c r="AN15" s="4">
        <f t="shared" si="7"/>
        <v>0.97826086956521741</v>
      </c>
      <c r="AO15" s="5">
        <v>15</v>
      </c>
      <c r="AP15" s="43">
        <f t="shared" si="8"/>
        <v>0.99264688998418726</v>
      </c>
      <c r="AQ15" s="44">
        <v>106645</v>
      </c>
      <c r="AR15" s="35">
        <f t="shared" si="9"/>
        <v>29085</v>
      </c>
      <c r="AS15" s="35">
        <f t="shared" si="10"/>
        <v>28871.1</v>
      </c>
      <c r="AT15" s="35">
        <f t="shared" si="11"/>
        <v>-213.90000000000146</v>
      </c>
      <c r="AU15" s="35">
        <v>9251.4</v>
      </c>
      <c r="AV15" s="35">
        <v>10081.1</v>
      </c>
      <c r="AW15" s="35"/>
      <c r="AX15" s="35">
        <f t="shared" si="12"/>
        <v>9538.6</v>
      </c>
      <c r="AY15" s="35"/>
      <c r="AZ15" s="35">
        <f t="shared" si="13"/>
        <v>9538.6</v>
      </c>
      <c r="BA15" s="35">
        <v>-124.1</v>
      </c>
      <c r="BB15" s="35">
        <f t="shared" si="14"/>
        <v>9414.5</v>
      </c>
      <c r="BC15" s="35"/>
      <c r="BD15" s="35">
        <f t="shared" si="15"/>
        <v>9414.5</v>
      </c>
      <c r="BE15" s="35">
        <v>9207.9</v>
      </c>
      <c r="BF15" s="35">
        <f t="shared" si="16"/>
        <v>206.6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 ht="17.149999999999999" customHeight="1">
      <c r="A16" s="12" t="s">
        <v>14</v>
      </c>
      <c r="B16" s="63">
        <v>232192</v>
      </c>
      <c r="C16" s="63">
        <v>214314.4</v>
      </c>
      <c r="D16" s="4">
        <f t="shared" si="2"/>
        <v>0.92300509922822493</v>
      </c>
      <c r="E16" s="11">
        <v>5</v>
      </c>
      <c r="F16" s="57">
        <v>105.3</v>
      </c>
      <c r="G16" s="57">
        <v>104.4</v>
      </c>
      <c r="H16" s="4">
        <f>IF(I16=0,0,IF(F16=0,1,IF(G16&lt;0,0,IF(G16/F16&gt;1.2,IF((G16/F16-1.2)*0.1+1.2&gt;1.3,1.3,(G16/F16-1.2)*0.1+1.2),G16/F16))))</f>
        <v>0.99145299145299148</v>
      </c>
      <c r="I16" s="11">
        <v>10</v>
      </c>
      <c r="J16" s="44">
        <v>210</v>
      </c>
      <c r="K16" s="44">
        <v>203</v>
      </c>
      <c r="L16" s="4">
        <f>IF(M16=0,0,IF(J16=0,1,IF(K16&lt;0,0,IF(J16/K16&gt;1.2,IF((J16/K16-1.2)*0.1+1.2&gt;1.3,1.3,(J16/K16-1.2)*0.1+1.2),J16/K16))))</f>
        <v>1.0344827586206897</v>
      </c>
      <c r="M16" s="11">
        <v>10</v>
      </c>
      <c r="N16" s="35">
        <v>39085.1</v>
      </c>
      <c r="O16" s="35">
        <v>41557.199999999997</v>
      </c>
      <c r="P16" s="4">
        <f t="shared" si="5"/>
        <v>1.0632491665621937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82">
        <v>558450</v>
      </c>
      <c r="W16" s="82">
        <v>551401</v>
      </c>
      <c r="X16" s="4">
        <f t="shared" si="6"/>
        <v>0.98737756289730505</v>
      </c>
      <c r="Y16" s="5">
        <v>15</v>
      </c>
      <c r="Z16" s="5" t="s">
        <v>360</v>
      </c>
      <c r="AA16" s="5" t="s">
        <v>360</v>
      </c>
      <c r="AB16" s="5" t="s">
        <v>360</v>
      </c>
      <c r="AC16" s="5" t="s">
        <v>360</v>
      </c>
      <c r="AD16" s="5" t="s">
        <v>360</v>
      </c>
      <c r="AE16" s="5" t="s">
        <v>360</v>
      </c>
      <c r="AF16" s="5" t="s">
        <v>360</v>
      </c>
      <c r="AG16" s="5" t="s">
        <v>360</v>
      </c>
      <c r="AH16" s="5" t="s">
        <v>360</v>
      </c>
      <c r="AI16" s="5" t="s">
        <v>360</v>
      </c>
      <c r="AJ16" s="5" t="s">
        <v>360</v>
      </c>
      <c r="AK16" s="5" t="s">
        <v>360</v>
      </c>
      <c r="AL16" s="5">
        <v>1794</v>
      </c>
      <c r="AM16" s="5">
        <v>1850</v>
      </c>
      <c r="AN16" s="4">
        <f t="shared" si="7"/>
        <v>1.0312151616499443</v>
      </c>
      <c r="AO16" s="5">
        <v>15</v>
      </c>
      <c r="AP16" s="43">
        <f>(D16*E16+H16*I16+L16*M16+P16*Q16+X16*Y16+AN16*AO16)/(E16+I16+M16+Q16+Y16+AO16)</f>
        <v>1.018910095951074</v>
      </c>
      <c r="AQ16" s="44">
        <v>49933</v>
      </c>
      <c r="AR16" s="35">
        <f t="shared" si="9"/>
        <v>13618.090909090908</v>
      </c>
      <c r="AS16" s="35">
        <f t="shared" si="10"/>
        <v>13875.6</v>
      </c>
      <c r="AT16" s="35">
        <f t="shared" si="11"/>
        <v>257.50909090909227</v>
      </c>
      <c r="AU16" s="35">
        <v>4964.5</v>
      </c>
      <c r="AV16" s="35">
        <v>2163</v>
      </c>
      <c r="AW16" s="35">
        <v>2269.6999999999998</v>
      </c>
      <c r="AX16" s="35">
        <f>ROUND(AS16-SUM(AU16:AW16),1)</f>
        <v>4478.3999999999996</v>
      </c>
      <c r="AY16" s="35"/>
      <c r="AZ16" s="35">
        <f t="shared" si="13"/>
        <v>4478.3999999999996</v>
      </c>
      <c r="BA16" s="35">
        <v>-4.7</v>
      </c>
      <c r="BB16" s="35">
        <f t="shared" si="14"/>
        <v>4473.7</v>
      </c>
      <c r="BC16" s="35">
        <f>MIN(BB16,509.3)</f>
        <v>509.3</v>
      </c>
      <c r="BD16" s="35">
        <f t="shared" si="15"/>
        <v>3964.4</v>
      </c>
      <c r="BE16" s="35">
        <v>4183.5</v>
      </c>
      <c r="BF16" s="35">
        <f t="shared" si="16"/>
        <v>-219.1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2" customFormat="1" ht="17.149999999999999" customHeight="1">
      <c r="A17" s="36" t="s">
        <v>385</v>
      </c>
      <c r="B17" s="65"/>
      <c r="C17" s="6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28825</v>
      </c>
      <c r="S17" s="34">
        <f>SUM(S18:S26)</f>
        <v>94428.799999999988</v>
      </c>
      <c r="T17" s="6">
        <f>IF(S17/R17&gt;1.2,IF((S17/R17-1.2)*0.1+1.2&gt;1.3,1.3,(S17/R17-1.2)*0.1+1.2),S17/R17)</f>
        <v>1.3</v>
      </c>
      <c r="U17" s="37"/>
      <c r="V17" s="81"/>
      <c r="W17" s="81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4">
        <f>SUM(AL18:AL26)</f>
        <v>1794</v>
      </c>
      <c r="AM17" s="34">
        <f>SUM(AM18:AM26)</f>
        <v>1257</v>
      </c>
      <c r="AN17" s="6">
        <f>IF(AM17/AL17&gt;1.2,IF((AM17/AL17-1.2)*0.1+1.2&gt;1.3,1.3,(AM17/AL17-1.2)*0.1+1.2),AM17/AL17)</f>
        <v>0.70066889632107021</v>
      </c>
      <c r="AO17" s="37"/>
      <c r="AP17" s="37"/>
      <c r="AQ17" s="20">
        <f>SUM(AQ18:AQ26)</f>
        <v>28395</v>
      </c>
      <c r="AR17" s="34">
        <f>SUM(AR18:AR26)</f>
        <v>7744.090909090909</v>
      </c>
      <c r="AS17" s="34">
        <f>SUM(AS18:AS26)</f>
        <v>8170.7999999999993</v>
      </c>
      <c r="AT17" s="34">
        <f>SUM(AT18:AT26)</f>
        <v>426.70909090909123</v>
      </c>
      <c r="AU17" s="34">
        <f t="shared" ref="AU17:AZ17" si="17">SUM(AU18:AU26)</f>
        <v>3343.8</v>
      </c>
      <c r="AV17" s="34">
        <f t="shared" si="17"/>
        <v>3339.7</v>
      </c>
      <c r="AW17" s="34">
        <f t="shared" si="17"/>
        <v>0</v>
      </c>
      <c r="AX17" s="34">
        <f>SUM(AX18:AX26)</f>
        <v>1487.3</v>
      </c>
      <c r="AY17" s="34"/>
      <c r="AZ17" s="34">
        <f t="shared" si="17"/>
        <v>1558.5</v>
      </c>
      <c r="BA17" s="34">
        <f t="shared" ref="BA17:BF17" si="18">SUM(BA18:BA26)</f>
        <v>0</v>
      </c>
      <c r="BB17" s="34">
        <f t="shared" si="18"/>
        <v>1558.5</v>
      </c>
      <c r="BC17" s="34">
        <f t="shared" si="18"/>
        <v>0</v>
      </c>
      <c r="BD17" s="34">
        <f t="shared" si="18"/>
        <v>1558.5</v>
      </c>
      <c r="BE17" s="34">
        <f t="shared" si="18"/>
        <v>3352.6000000000004</v>
      </c>
      <c r="BF17" s="34">
        <f t="shared" si="18"/>
        <v>-1794.1000000000001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2" customFormat="1" ht="17.149999999999999" customHeight="1">
      <c r="A18" s="12" t="s">
        <v>386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35">
        <v>3777</v>
      </c>
      <c r="S18" s="35">
        <v>10048.9</v>
      </c>
      <c r="T18" s="4">
        <f>IF(U18=0,0,IF(R18=0,1,IF(S18&lt;0,0,IF(S18/R18&gt;1.2,IF((S18/R18-1.2)*0.1+1.2&gt;1.3,1.3,(S18/R18-1.2)*0.1+1.2),S18/R18))))</f>
        <v>1.3</v>
      </c>
      <c r="U18" s="5">
        <v>20</v>
      </c>
      <c r="V18" s="5" t="s">
        <v>360</v>
      </c>
      <c r="W18" s="5" t="s">
        <v>360</v>
      </c>
      <c r="X18" s="5" t="s">
        <v>360</v>
      </c>
      <c r="Y18" s="5" t="s">
        <v>360</v>
      </c>
      <c r="Z18" s="5" t="s">
        <v>360</v>
      </c>
      <c r="AA18" s="5" t="s">
        <v>360</v>
      </c>
      <c r="AB18" s="5" t="s">
        <v>360</v>
      </c>
      <c r="AC18" s="5" t="s">
        <v>360</v>
      </c>
      <c r="AD18" s="5" t="s">
        <v>360</v>
      </c>
      <c r="AE18" s="5" t="s">
        <v>360</v>
      </c>
      <c r="AF18" s="5" t="s">
        <v>360</v>
      </c>
      <c r="AG18" s="5" t="s">
        <v>360</v>
      </c>
      <c r="AH18" s="5" t="s">
        <v>360</v>
      </c>
      <c r="AI18" s="5" t="s">
        <v>360</v>
      </c>
      <c r="AJ18" s="5" t="s">
        <v>360</v>
      </c>
      <c r="AK18" s="5" t="s">
        <v>360</v>
      </c>
      <c r="AL18" s="5">
        <v>139</v>
      </c>
      <c r="AM18" s="5">
        <v>349</v>
      </c>
      <c r="AN18" s="4">
        <f t="shared" si="7"/>
        <v>1.3</v>
      </c>
      <c r="AO18" s="5">
        <v>15</v>
      </c>
      <c r="AP18" s="43">
        <f>(T18*U18+AN18*AO18)/(U18+AO18)</f>
        <v>1.3</v>
      </c>
      <c r="AQ18" s="44">
        <v>2303</v>
      </c>
      <c r="AR18" s="35">
        <f t="shared" si="9"/>
        <v>628.09090909090912</v>
      </c>
      <c r="AS18" s="35">
        <f t="shared" si="10"/>
        <v>816.5</v>
      </c>
      <c r="AT18" s="35">
        <f t="shared" si="11"/>
        <v>188.40909090909088</v>
      </c>
      <c r="AU18" s="35">
        <v>263.10000000000002</v>
      </c>
      <c r="AV18" s="35">
        <v>272.2</v>
      </c>
      <c r="AW18" s="35"/>
      <c r="AX18" s="35">
        <f>ROUND(AS18-SUM(AU18:AW18),1)</f>
        <v>281.2</v>
      </c>
      <c r="AY18" s="35"/>
      <c r="AZ18" s="35">
        <f t="shared" si="13"/>
        <v>281.2</v>
      </c>
      <c r="BA18" s="35">
        <v>0</v>
      </c>
      <c r="BB18" s="35">
        <f t="shared" si="14"/>
        <v>281.2</v>
      </c>
      <c r="BC18" s="35"/>
      <c r="BD18" s="35">
        <f t="shared" si="15"/>
        <v>281.2</v>
      </c>
      <c r="BE18" s="35">
        <v>281.2</v>
      </c>
      <c r="BF18" s="35">
        <f t="shared" si="16"/>
        <v>0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2" customFormat="1" ht="17.149999999999999" customHeight="1">
      <c r="A19" s="12" t="s">
        <v>387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35">
        <v>4895</v>
      </c>
      <c r="S19" s="35">
        <v>16736.5</v>
      </c>
      <c r="T19" s="4">
        <f t="shared" ref="T19:T26" si="19">IF(U19=0,0,IF(R19=0,1,IF(S19&lt;0,0,IF(S19/R19&gt;1.2,IF((S19/R19-1.2)*0.1+1.2&gt;1.3,1.3,(S19/R19-1.2)*0.1+1.2),S19/R19))))</f>
        <v>1.3</v>
      </c>
      <c r="U19" s="5">
        <v>20</v>
      </c>
      <c r="V19" s="5" t="s">
        <v>360</v>
      </c>
      <c r="W19" s="5" t="s">
        <v>360</v>
      </c>
      <c r="X19" s="5" t="s">
        <v>360</v>
      </c>
      <c r="Y19" s="5" t="s">
        <v>360</v>
      </c>
      <c r="Z19" s="5" t="s">
        <v>360</v>
      </c>
      <c r="AA19" s="5" t="s">
        <v>360</v>
      </c>
      <c r="AB19" s="5" t="s">
        <v>360</v>
      </c>
      <c r="AC19" s="5" t="s">
        <v>360</v>
      </c>
      <c r="AD19" s="5" t="s">
        <v>360</v>
      </c>
      <c r="AE19" s="5" t="s">
        <v>360</v>
      </c>
      <c r="AF19" s="5" t="s">
        <v>360</v>
      </c>
      <c r="AG19" s="5" t="s">
        <v>360</v>
      </c>
      <c r="AH19" s="5" t="s">
        <v>360</v>
      </c>
      <c r="AI19" s="5" t="s">
        <v>360</v>
      </c>
      <c r="AJ19" s="5" t="s">
        <v>360</v>
      </c>
      <c r="AK19" s="5" t="s">
        <v>360</v>
      </c>
      <c r="AL19" s="5">
        <v>446</v>
      </c>
      <c r="AM19" s="5">
        <v>377</v>
      </c>
      <c r="AN19" s="4">
        <f t="shared" si="7"/>
        <v>0.8452914798206278</v>
      </c>
      <c r="AO19" s="5">
        <v>15</v>
      </c>
      <c r="AP19" s="43">
        <f t="shared" ref="AP19:AP25" si="20">(T19*U19+AN19*AO19)/(U19+AO19)</f>
        <v>1.1051249199231263</v>
      </c>
      <c r="AQ19" s="44">
        <v>7178</v>
      </c>
      <c r="AR19" s="35">
        <f t="shared" si="9"/>
        <v>1957.6363636363635</v>
      </c>
      <c r="AS19" s="35">
        <f t="shared" si="10"/>
        <v>2163.4</v>
      </c>
      <c r="AT19" s="35">
        <f t="shared" si="11"/>
        <v>205.76363636363658</v>
      </c>
      <c r="AU19" s="35">
        <v>848.3</v>
      </c>
      <c r="AV19" s="35">
        <v>848.3</v>
      </c>
      <c r="AW19" s="35"/>
      <c r="AX19" s="35">
        <f t="shared" ref="AX19:AX26" si="21">ROUND(AS19-SUM(AU19:AW19),1)</f>
        <v>466.8</v>
      </c>
      <c r="AY19" s="35"/>
      <c r="AZ19" s="35">
        <f t="shared" si="13"/>
        <v>466.8</v>
      </c>
      <c r="BA19" s="35">
        <v>0</v>
      </c>
      <c r="BB19" s="35">
        <f t="shared" si="14"/>
        <v>466.8</v>
      </c>
      <c r="BC19" s="35"/>
      <c r="BD19" s="35">
        <f t="shared" si="15"/>
        <v>466.8</v>
      </c>
      <c r="BE19" s="35">
        <v>848.3</v>
      </c>
      <c r="BF19" s="35">
        <f t="shared" si="16"/>
        <v>-381.5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2" customFormat="1" ht="17.149999999999999" customHeight="1">
      <c r="A20" s="12" t="s">
        <v>388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35">
        <v>3079</v>
      </c>
      <c r="S20" s="35">
        <v>5495.6</v>
      </c>
      <c r="T20" s="4">
        <f t="shared" si="19"/>
        <v>1.2584865215979213</v>
      </c>
      <c r="U20" s="5">
        <v>20</v>
      </c>
      <c r="V20" s="5" t="s">
        <v>360</v>
      </c>
      <c r="W20" s="5" t="s">
        <v>360</v>
      </c>
      <c r="X20" s="5" t="s">
        <v>360</v>
      </c>
      <c r="Y20" s="5" t="s">
        <v>360</v>
      </c>
      <c r="Z20" s="5" t="s">
        <v>360</v>
      </c>
      <c r="AA20" s="5" t="s">
        <v>360</v>
      </c>
      <c r="AB20" s="5" t="s">
        <v>360</v>
      </c>
      <c r="AC20" s="5" t="s">
        <v>360</v>
      </c>
      <c r="AD20" s="5" t="s">
        <v>360</v>
      </c>
      <c r="AE20" s="5" t="s">
        <v>360</v>
      </c>
      <c r="AF20" s="5" t="s">
        <v>360</v>
      </c>
      <c r="AG20" s="5" t="s">
        <v>360</v>
      </c>
      <c r="AH20" s="5" t="s">
        <v>360</v>
      </c>
      <c r="AI20" s="5" t="s">
        <v>360</v>
      </c>
      <c r="AJ20" s="5" t="s">
        <v>360</v>
      </c>
      <c r="AK20" s="5" t="s">
        <v>360</v>
      </c>
      <c r="AL20" s="5">
        <v>436</v>
      </c>
      <c r="AM20" s="5">
        <v>24</v>
      </c>
      <c r="AN20" s="4">
        <f t="shared" si="7"/>
        <v>5.5045871559633031E-2</v>
      </c>
      <c r="AO20" s="5">
        <v>15</v>
      </c>
      <c r="AP20" s="43">
        <f t="shared" si="20"/>
        <v>0.7427262430100835</v>
      </c>
      <c r="AQ20" s="44">
        <v>1519</v>
      </c>
      <c r="AR20" s="35">
        <f t="shared" si="9"/>
        <v>414.27272727272725</v>
      </c>
      <c r="AS20" s="35">
        <f t="shared" si="10"/>
        <v>307.7</v>
      </c>
      <c r="AT20" s="35">
        <f t="shared" si="11"/>
        <v>-106.57272727272726</v>
      </c>
      <c r="AU20" s="35">
        <v>179.5</v>
      </c>
      <c r="AV20" s="35">
        <v>166.4</v>
      </c>
      <c r="AW20" s="35"/>
      <c r="AX20" s="35">
        <f t="shared" si="21"/>
        <v>-38.200000000000003</v>
      </c>
      <c r="AY20" s="35"/>
      <c r="AZ20" s="35">
        <f t="shared" si="13"/>
        <v>0</v>
      </c>
      <c r="BA20" s="35">
        <v>0</v>
      </c>
      <c r="BB20" s="35">
        <f t="shared" si="14"/>
        <v>0</v>
      </c>
      <c r="BC20" s="35"/>
      <c r="BD20" s="35">
        <f t="shared" si="15"/>
        <v>0</v>
      </c>
      <c r="BE20" s="35">
        <v>175.5</v>
      </c>
      <c r="BF20" s="35">
        <f t="shared" si="16"/>
        <v>-175.5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2" customFormat="1" ht="17.149999999999999" customHeight="1">
      <c r="A21" s="12" t="s">
        <v>389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35">
        <v>3879</v>
      </c>
      <c r="S21" s="35">
        <v>6987</v>
      </c>
      <c r="T21" s="4">
        <f t="shared" si="19"/>
        <v>1.2601237432327919</v>
      </c>
      <c r="U21" s="5">
        <v>20</v>
      </c>
      <c r="V21" s="5" t="s">
        <v>360</v>
      </c>
      <c r="W21" s="5" t="s">
        <v>360</v>
      </c>
      <c r="X21" s="5" t="s">
        <v>360</v>
      </c>
      <c r="Y21" s="5" t="s">
        <v>360</v>
      </c>
      <c r="Z21" s="5" t="s">
        <v>360</v>
      </c>
      <c r="AA21" s="5" t="s">
        <v>360</v>
      </c>
      <c r="AB21" s="5" t="s">
        <v>360</v>
      </c>
      <c r="AC21" s="5" t="s">
        <v>360</v>
      </c>
      <c r="AD21" s="5" t="s">
        <v>360</v>
      </c>
      <c r="AE21" s="5" t="s">
        <v>360</v>
      </c>
      <c r="AF21" s="5" t="s">
        <v>360</v>
      </c>
      <c r="AG21" s="5" t="s">
        <v>360</v>
      </c>
      <c r="AH21" s="5" t="s">
        <v>360</v>
      </c>
      <c r="AI21" s="5" t="s">
        <v>360</v>
      </c>
      <c r="AJ21" s="5" t="s">
        <v>360</v>
      </c>
      <c r="AK21" s="5" t="s">
        <v>360</v>
      </c>
      <c r="AL21" s="5">
        <v>171</v>
      </c>
      <c r="AM21" s="5">
        <v>15</v>
      </c>
      <c r="AN21" s="4">
        <f t="shared" si="7"/>
        <v>8.771929824561403E-2</v>
      </c>
      <c r="AO21" s="5">
        <v>15</v>
      </c>
      <c r="AP21" s="43">
        <f t="shared" si="20"/>
        <v>0.75766469538114423</v>
      </c>
      <c r="AQ21" s="44">
        <v>1290</v>
      </c>
      <c r="AR21" s="35">
        <f t="shared" si="9"/>
        <v>351.81818181818181</v>
      </c>
      <c r="AS21" s="35">
        <f t="shared" si="10"/>
        <v>266.60000000000002</v>
      </c>
      <c r="AT21" s="35">
        <f t="shared" si="11"/>
        <v>-85.21818181818179</v>
      </c>
      <c r="AU21" s="35">
        <v>149.6</v>
      </c>
      <c r="AV21" s="35">
        <v>150</v>
      </c>
      <c r="AW21" s="35"/>
      <c r="AX21" s="35">
        <f t="shared" si="21"/>
        <v>-33</v>
      </c>
      <c r="AY21" s="35"/>
      <c r="AZ21" s="35">
        <f t="shared" si="13"/>
        <v>0</v>
      </c>
      <c r="BA21" s="35">
        <v>0</v>
      </c>
      <c r="BB21" s="35">
        <f t="shared" si="14"/>
        <v>0</v>
      </c>
      <c r="BC21" s="35"/>
      <c r="BD21" s="35">
        <f t="shared" si="15"/>
        <v>0</v>
      </c>
      <c r="BE21" s="35">
        <v>143.69999999999999</v>
      </c>
      <c r="BF21" s="35">
        <f t="shared" si="16"/>
        <v>-143.69999999999999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2" customFormat="1" ht="17.149999999999999" customHeight="1">
      <c r="A22" s="12" t="s">
        <v>390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35">
        <v>879</v>
      </c>
      <c r="S22" s="35">
        <v>5366.1</v>
      </c>
      <c r="T22" s="4">
        <f t="shared" si="19"/>
        <v>1.3</v>
      </c>
      <c r="U22" s="5">
        <v>20</v>
      </c>
      <c r="V22" s="5" t="s">
        <v>360</v>
      </c>
      <c r="W22" s="5" t="s">
        <v>360</v>
      </c>
      <c r="X22" s="5" t="s">
        <v>360</v>
      </c>
      <c r="Y22" s="5" t="s">
        <v>360</v>
      </c>
      <c r="Z22" s="5" t="s">
        <v>360</v>
      </c>
      <c r="AA22" s="5" t="s">
        <v>360</v>
      </c>
      <c r="AB22" s="5" t="s">
        <v>360</v>
      </c>
      <c r="AC22" s="5" t="s">
        <v>360</v>
      </c>
      <c r="AD22" s="5" t="s">
        <v>360</v>
      </c>
      <c r="AE22" s="5" t="s">
        <v>360</v>
      </c>
      <c r="AF22" s="5" t="s">
        <v>360</v>
      </c>
      <c r="AG22" s="5" t="s">
        <v>360</v>
      </c>
      <c r="AH22" s="5" t="s">
        <v>360</v>
      </c>
      <c r="AI22" s="5" t="s">
        <v>360</v>
      </c>
      <c r="AJ22" s="5" t="s">
        <v>360</v>
      </c>
      <c r="AK22" s="5" t="s">
        <v>360</v>
      </c>
      <c r="AL22" s="5">
        <v>41</v>
      </c>
      <c r="AM22" s="5">
        <v>34</v>
      </c>
      <c r="AN22" s="4">
        <f t="shared" si="7"/>
        <v>0.82926829268292679</v>
      </c>
      <c r="AO22" s="5">
        <v>15</v>
      </c>
      <c r="AP22" s="43">
        <f t="shared" si="20"/>
        <v>1.0982578397212543</v>
      </c>
      <c r="AQ22" s="44">
        <v>1030</v>
      </c>
      <c r="AR22" s="35">
        <f t="shared" si="9"/>
        <v>280.90909090909093</v>
      </c>
      <c r="AS22" s="35">
        <f t="shared" si="10"/>
        <v>308.5</v>
      </c>
      <c r="AT22" s="35">
        <f t="shared" si="11"/>
        <v>27.590909090909065</v>
      </c>
      <c r="AU22" s="35">
        <v>121.7</v>
      </c>
      <c r="AV22" s="35">
        <v>121.7</v>
      </c>
      <c r="AW22" s="35"/>
      <c r="AX22" s="35">
        <f t="shared" si="21"/>
        <v>65.099999999999994</v>
      </c>
      <c r="AY22" s="35"/>
      <c r="AZ22" s="35">
        <f t="shared" si="13"/>
        <v>65.099999999999994</v>
      </c>
      <c r="BA22" s="35">
        <v>0</v>
      </c>
      <c r="BB22" s="35">
        <f t="shared" si="14"/>
        <v>65.099999999999994</v>
      </c>
      <c r="BC22" s="35"/>
      <c r="BD22" s="35">
        <f t="shared" si="15"/>
        <v>65.099999999999994</v>
      </c>
      <c r="BE22" s="35">
        <v>121.8</v>
      </c>
      <c r="BF22" s="35">
        <f t="shared" si="16"/>
        <v>-56.7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2" customFormat="1" ht="17.149999999999999" customHeight="1">
      <c r="A23" s="12" t="s">
        <v>391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35">
        <v>3829</v>
      </c>
      <c r="S23" s="35">
        <v>12625.6</v>
      </c>
      <c r="T23" s="4">
        <f t="shared" si="19"/>
        <v>1.3</v>
      </c>
      <c r="U23" s="5">
        <v>20</v>
      </c>
      <c r="V23" s="5" t="s">
        <v>360</v>
      </c>
      <c r="W23" s="5" t="s">
        <v>360</v>
      </c>
      <c r="X23" s="5" t="s">
        <v>360</v>
      </c>
      <c r="Y23" s="5" t="s">
        <v>360</v>
      </c>
      <c r="Z23" s="5" t="s">
        <v>360</v>
      </c>
      <c r="AA23" s="5" t="s">
        <v>360</v>
      </c>
      <c r="AB23" s="5" t="s">
        <v>360</v>
      </c>
      <c r="AC23" s="5" t="s">
        <v>360</v>
      </c>
      <c r="AD23" s="5" t="s">
        <v>360</v>
      </c>
      <c r="AE23" s="5" t="s">
        <v>360</v>
      </c>
      <c r="AF23" s="5" t="s">
        <v>360</v>
      </c>
      <c r="AG23" s="5" t="s">
        <v>360</v>
      </c>
      <c r="AH23" s="5" t="s">
        <v>360</v>
      </c>
      <c r="AI23" s="5" t="s">
        <v>360</v>
      </c>
      <c r="AJ23" s="5" t="s">
        <v>360</v>
      </c>
      <c r="AK23" s="5" t="s">
        <v>360</v>
      </c>
      <c r="AL23" s="5">
        <v>144</v>
      </c>
      <c r="AM23" s="5">
        <v>57</v>
      </c>
      <c r="AN23" s="4">
        <f t="shared" si="7"/>
        <v>0.39583333333333331</v>
      </c>
      <c r="AO23" s="5">
        <v>15</v>
      </c>
      <c r="AP23" s="43">
        <f t="shared" si="20"/>
        <v>0.91249999999999998</v>
      </c>
      <c r="AQ23" s="44">
        <v>1706</v>
      </c>
      <c r="AR23" s="35">
        <f t="shared" si="9"/>
        <v>465.27272727272725</v>
      </c>
      <c r="AS23" s="35">
        <f t="shared" si="10"/>
        <v>424.6</v>
      </c>
      <c r="AT23" s="35">
        <f t="shared" si="11"/>
        <v>-40.672727272727229</v>
      </c>
      <c r="AU23" s="35">
        <v>201.6</v>
      </c>
      <c r="AV23" s="35">
        <v>201.1</v>
      </c>
      <c r="AW23" s="35"/>
      <c r="AX23" s="35">
        <f t="shared" si="21"/>
        <v>21.9</v>
      </c>
      <c r="AY23" s="35"/>
      <c r="AZ23" s="35">
        <f t="shared" si="13"/>
        <v>21.9</v>
      </c>
      <c r="BA23" s="35">
        <v>0</v>
      </c>
      <c r="BB23" s="35">
        <f t="shared" si="14"/>
        <v>21.9</v>
      </c>
      <c r="BC23" s="35"/>
      <c r="BD23" s="35">
        <f t="shared" si="15"/>
        <v>21.9</v>
      </c>
      <c r="BE23" s="35">
        <v>202.2</v>
      </c>
      <c r="BF23" s="35">
        <f t="shared" si="16"/>
        <v>-180.3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2" customFormat="1" ht="17.149999999999999" customHeight="1">
      <c r="A24" s="12" t="s">
        <v>392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35">
        <v>3599</v>
      </c>
      <c r="S24" s="35">
        <v>18959</v>
      </c>
      <c r="T24" s="4">
        <f t="shared" si="19"/>
        <v>1.3</v>
      </c>
      <c r="U24" s="5">
        <v>20</v>
      </c>
      <c r="V24" s="5" t="s">
        <v>360</v>
      </c>
      <c r="W24" s="5" t="s">
        <v>360</v>
      </c>
      <c r="X24" s="5" t="s">
        <v>360</v>
      </c>
      <c r="Y24" s="5" t="s">
        <v>360</v>
      </c>
      <c r="Z24" s="5" t="s">
        <v>360</v>
      </c>
      <c r="AA24" s="5" t="s">
        <v>360</v>
      </c>
      <c r="AB24" s="5" t="s">
        <v>360</v>
      </c>
      <c r="AC24" s="5" t="s">
        <v>360</v>
      </c>
      <c r="AD24" s="5" t="s">
        <v>360</v>
      </c>
      <c r="AE24" s="5" t="s">
        <v>360</v>
      </c>
      <c r="AF24" s="5" t="s">
        <v>360</v>
      </c>
      <c r="AG24" s="5" t="s">
        <v>360</v>
      </c>
      <c r="AH24" s="5" t="s">
        <v>360</v>
      </c>
      <c r="AI24" s="5" t="s">
        <v>360</v>
      </c>
      <c r="AJ24" s="5" t="s">
        <v>360</v>
      </c>
      <c r="AK24" s="5" t="s">
        <v>360</v>
      </c>
      <c r="AL24" s="5">
        <v>248</v>
      </c>
      <c r="AM24" s="5">
        <v>101</v>
      </c>
      <c r="AN24" s="4">
        <f t="shared" si="7"/>
        <v>0.40725806451612906</v>
      </c>
      <c r="AO24" s="5">
        <v>15</v>
      </c>
      <c r="AP24" s="43">
        <f t="shared" si="20"/>
        <v>0.91739631336405536</v>
      </c>
      <c r="AQ24" s="44">
        <v>8074</v>
      </c>
      <c r="AR24" s="35">
        <f t="shared" si="9"/>
        <v>2202</v>
      </c>
      <c r="AS24" s="35">
        <f t="shared" si="10"/>
        <v>2020.1</v>
      </c>
      <c r="AT24" s="35">
        <f t="shared" si="11"/>
        <v>-181.90000000000009</v>
      </c>
      <c r="AU24" s="35">
        <v>954.2</v>
      </c>
      <c r="AV24" s="35">
        <v>954.2</v>
      </c>
      <c r="AW24" s="35"/>
      <c r="AX24" s="35">
        <f t="shared" si="21"/>
        <v>111.7</v>
      </c>
      <c r="AY24" s="35"/>
      <c r="AZ24" s="35">
        <f t="shared" si="13"/>
        <v>111.7</v>
      </c>
      <c r="BA24" s="35">
        <v>0</v>
      </c>
      <c r="BB24" s="35">
        <f t="shared" si="14"/>
        <v>111.7</v>
      </c>
      <c r="BC24" s="35"/>
      <c r="BD24" s="35">
        <f t="shared" si="15"/>
        <v>111.7</v>
      </c>
      <c r="BE24" s="35">
        <v>954.2</v>
      </c>
      <c r="BF24" s="35">
        <f t="shared" si="16"/>
        <v>-842.5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2" customFormat="1" ht="17.149999999999999" customHeight="1">
      <c r="A25" s="12" t="s">
        <v>394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35">
        <v>632</v>
      </c>
      <c r="S25" s="35">
        <v>2387.6999999999998</v>
      </c>
      <c r="T25" s="4">
        <f t="shared" si="19"/>
        <v>1.3</v>
      </c>
      <c r="U25" s="5">
        <v>20</v>
      </c>
      <c r="V25" s="5" t="s">
        <v>360</v>
      </c>
      <c r="W25" s="5" t="s">
        <v>360</v>
      </c>
      <c r="X25" s="5" t="s">
        <v>360</v>
      </c>
      <c r="Y25" s="5" t="s">
        <v>360</v>
      </c>
      <c r="Z25" s="5" t="s">
        <v>360</v>
      </c>
      <c r="AA25" s="5" t="s">
        <v>360</v>
      </c>
      <c r="AB25" s="5" t="s">
        <v>360</v>
      </c>
      <c r="AC25" s="5" t="s">
        <v>360</v>
      </c>
      <c r="AD25" s="5" t="s">
        <v>360</v>
      </c>
      <c r="AE25" s="5" t="s">
        <v>360</v>
      </c>
      <c r="AF25" s="5" t="s">
        <v>360</v>
      </c>
      <c r="AG25" s="5" t="s">
        <v>360</v>
      </c>
      <c r="AH25" s="5" t="s">
        <v>360</v>
      </c>
      <c r="AI25" s="5" t="s">
        <v>360</v>
      </c>
      <c r="AJ25" s="5" t="s">
        <v>360</v>
      </c>
      <c r="AK25" s="5" t="s">
        <v>360</v>
      </c>
      <c r="AL25" s="5">
        <v>49</v>
      </c>
      <c r="AM25" s="5">
        <v>63</v>
      </c>
      <c r="AN25" s="4">
        <f t="shared" si="7"/>
        <v>1.2085714285714286</v>
      </c>
      <c r="AO25" s="5">
        <v>15</v>
      </c>
      <c r="AP25" s="43">
        <f t="shared" si="20"/>
        <v>1.2608163265306125</v>
      </c>
      <c r="AQ25" s="44">
        <v>0</v>
      </c>
      <c r="AR25" s="35">
        <f t="shared" si="9"/>
        <v>0</v>
      </c>
      <c r="AS25" s="35">
        <f t="shared" si="10"/>
        <v>0</v>
      </c>
      <c r="AT25" s="35">
        <f t="shared" si="11"/>
        <v>0</v>
      </c>
      <c r="AU25" s="35">
        <v>0</v>
      </c>
      <c r="AV25" s="35">
        <v>0</v>
      </c>
      <c r="AW25" s="35"/>
      <c r="AX25" s="35">
        <f t="shared" si="21"/>
        <v>0</v>
      </c>
      <c r="AY25" s="35"/>
      <c r="AZ25" s="35">
        <f t="shared" si="13"/>
        <v>0</v>
      </c>
      <c r="BA25" s="35">
        <v>0</v>
      </c>
      <c r="BB25" s="35">
        <f t="shared" si="14"/>
        <v>0</v>
      </c>
      <c r="BC25" s="35"/>
      <c r="BD25" s="35">
        <f t="shared" si="15"/>
        <v>0</v>
      </c>
      <c r="BE25" s="35">
        <v>0</v>
      </c>
      <c r="BF25" s="35">
        <f t="shared" si="16"/>
        <v>0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2" customFormat="1" ht="17.149999999999999" customHeight="1">
      <c r="A26" s="12" t="s">
        <v>393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35">
        <v>4256</v>
      </c>
      <c r="S26" s="35">
        <v>15822.4</v>
      </c>
      <c r="T26" s="4">
        <f t="shared" si="19"/>
        <v>1.3</v>
      </c>
      <c r="U26" s="5">
        <v>20</v>
      </c>
      <c r="V26" s="5" t="s">
        <v>360</v>
      </c>
      <c r="W26" s="5" t="s">
        <v>360</v>
      </c>
      <c r="X26" s="5" t="s">
        <v>360</v>
      </c>
      <c r="Y26" s="5" t="s">
        <v>360</v>
      </c>
      <c r="Z26" s="5" t="s">
        <v>360</v>
      </c>
      <c r="AA26" s="5" t="s">
        <v>360</v>
      </c>
      <c r="AB26" s="5" t="s">
        <v>360</v>
      </c>
      <c r="AC26" s="5" t="s">
        <v>360</v>
      </c>
      <c r="AD26" s="5" t="s">
        <v>360</v>
      </c>
      <c r="AE26" s="5" t="s">
        <v>360</v>
      </c>
      <c r="AF26" s="5" t="s">
        <v>360</v>
      </c>
      <c r="AG26" s="5" t="s">
        <v>360</v>
      </c>
      <c r="AH26" s="5" t="s">
        <v>360</v>
      </c>
      <c r="AI26" s="5" t="s">
        <v>360</v>
      </c>
      <c r="AJ26" s="5" t="s">
        <v>360</v>
      </c>
      <c r="AK26" s="5" t="s">
        <v>360</v>
      </c>
      <c r="AL26" s="5">
        <v>120</v>
      </c>
      <c r="AM26" s="5">
        <v>237</v>
      </c>
      <c r="AN26" s="4">
        <f t="shared" si="7"/>
        <v>1.2774999999999999</v>
      </c>
      <c r="AO26" s="5">
        <v>15</v>
      </c>
      <c r="AP26" s="43">
        <f>(T26*U26+AN26*AO26)/(U26+AO26)</f>
        <v>1.2903571428571428</v>
      </c>
      <c r="AQ26" s="44">
        <v>5295</v>
      </c>
      <c r="AR26" s="35">
        <f t="shared" si="9"/>
        <v>1444.090909090909</v>
      </c>
      <c r="AS26" s="35">
        <f t="shared" si="10"/>
        <v>1863.4</v>
      </c>
      <c r="AT26" s="35">
        <f t="shared" si="11"/>
        <v>419.30909090909108</v>
      </c>
      <c r="AU26" s="35">
        <v>625.79999999999995</v>
      </c>
      <c r="AV26" s="35">
        <v>625.79999999999995</v>
      </c>
      <c r="AW26" s="35"/>
      <c r="AX26" s="35">
        <f t="shared" si="21"/>
        <v>611.79999999999995</v>
      </c>
      <c r="AY26" s="35"/>
      <c r="AZ26" s="35">
        <f t="shared" si="13"/>
        <v>611.79999999999995</v>
      </c>
      <c r="BA26" s="35">
        <v>0</v>
      </c>
      <c r="BB26" s="35">
        <f t="shared" si="14"/>
        <v>611.79999999999995</v>
      </c>
      <c r="BC26" s="35"/>
      <c r="BD26" s="35">
        <f t="shared" si="15"/>
        <v>611.79999999999995</v>
      </c>
      <c r="BE26" s="35">
        <v>625.70000000000005</v>
      </c>
      <c r="BF26" s="35">
        <f t="shared" si="16"/>
        <v>-13.9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2" customFormat="1" ht="16.600000000000001" customHeight="1">
      <c r="A27" s="15" t="s">
        <v>18</v>
      </c>
      <c r="B27" s="34">
        <f>SUM(B28:B54)</f>
        <v>25719983</v>
      </c>
      <c r="C27" s="34">
        <f>SUM(C28:C54)</f>
        <v>26168635.000000004</v>
      </c>
      <c r="D27" s="6">
        <f>IF(C27/B27&gt;1.2,IF((C27/B27-1.2)*0.1+1.2&gt;1.3,1.3,(C27/B27-1.2)*0.1+1.2),C27/B27)</f>
        <v>1.0174437129293594</v>
      </c>
      <c r="E27" s="21"/>
      <c r="F27" s="20"/>
      <c r="G27" s="20"/>
      <c r="H27" s="6"/>
      <c r="I27" s="21"/>
      <c r="J27" s="34">
        <f>SUM(J28:J54)</f>
        <v>6855</v>
      </c>
      <c r="K27" s="34">
        <f>SUM(K28:K54)</f>
        <v>6144</v>
      </c>
      <c r="L27" s="6">
        <f>IF(J27/K27&gt;1.2,IF((J27/K27-1)*0.1+1.2&gt;1.3,1.3,(J27/K27-1.2)*0.1+1.2),J27/K27)</f>
        <v>1.11572265625</v>
      </c>
      <c r="M27" s="21"/>
      <c r="N27" s="34">
        <f>SUM(N28:N54)</f>
        <v>1062228.7</v>
      </c>
      <c r="O27" s="34">
        <f>SUM(O28:O54)</f>
        <v>1081431.2999999998</v>
      </c>
      <c r="P27" s="6">
        <f>IF(O27/N27&gt;1.2,IF((O27/N27-1.2)*0.1+1.2&gt;1.3,1.3,(O27/N27-1.2)*0.1+1.2),O27/N27)</f>
        <v>1.0180776512628589</v>
      </c>
      <c r="Q27" s="21"/>
      <c r="R27" s="34"/>
      <c r="S27" s="34"/>
      <c r="T27" s="6"/>
      <c r="U27" s="21"/>
      <c r="V27" s="81">
        <f>SUM(V28:V54)</f>
        <v>10276134.899999999</v>
      </c>
      <c r="W27" s="81">
        <f>SUM(W28:W54)</f>
        <v>10389441</v>
      </c>
      <c r="X27" s="6">
        <f>IF(W27/V27&gt;1.2,IF((W27/V27-1.2)*0.1+1.2&gt;1.3,1.3,(W27/V27-1.2)*0.1+1.2),W27/V27)</f>
        <v>1.011026139798924</v>
      </c>
      <c r="Y27" s="21"/>
      <c r="Z27" s="20">
        <f>SUM(Z28:Z54)</f>
        <v>106983</v>
      </c>
      <c r="AA27" s="20">
        <f>SUM(AA28:AA54)</f>
        <v>108327</v>
      </c>
      <c r="AB27" s="6">
        <f>IF(AA27/Z27&gt;1.2,IF((AA27/Z27-1.2)*0.1+1.2&gt;1.3,1.3,(AA27/Z27-1.2)*0.1+1.2),AA27/Z27)</f>
        <v>1.0125627436134712</v>
      </c>
      <c r="AC27" s="21"/>
      <c r="AD27" s="78">
        <f>SUM(AD28:AD54)</f>
        <v>93500.5</v>
      </c>
      <c r="AE27" s="78">
        <f>SUM(AE28:AE54)</f>
        <v>99005.799999999988</v>
      </c>
      <c r="AF27" s="6">
        <f>IF(AE27/AD27&gt;1.2,IF((AE27/AD27-1.2)*0.1+1.2&gt;1.3,1.3,(AE27/AD27-1.2)*0.1+1.2),AE27/AD27)</f>
        <v>1.0588798990379729</v>
      </c>
      <c r="AG27" s="21"/>
      <c r="AH27" s="78">
        <f>SUM(AH28:AH54)</f>
        <v>33629.899999999994</v>
      </c>
      <c r="AI27" s="78">
        <f>SUM(AI28:AI54)</f>
        <v>41425.599999999999</v>
      </c>
      <c r="AJ27" s="6">
        <f>IF(AI27/AH27&gt;1.2,IF((AI27/AH27-1.2)*0.1+1.2&gt;1.3,1.3,(AI27/AH27-1.2)*0.1+1.2),AI27/AH27)</f>
        <v>1.2031808598895626</v>
      </c>
      <c r="AK27" s="21"/>
      <c r="AL27" s="78">
        <f>SUM(AL28:AL54)</f>
        <v>8235</v>
      </c>
      <c r="AM27" s="78">
        <f>SUM(AM28:AM54)</f>
        <v>10887</v>
      </c>
      <c r="AN27" s="6">
        <f>IF(AM27/AL27&gt;1.2,IF((AM27/AL27-1.2)*0.1+1.2&gt;1.3,1.3,(AM27/AL27-1.2)*0.1+1.2),AM27/AL27)</f>
        <v>1.2122040072859745</v>
      </c>
      <c r="AO27" s="37"/>
      <c r="AP27" s="22"/>
      <c r="AQ27" s="20">
        <f>SUM(AQ28:AQ54)</f>
        <v>825602</v>
      </c>
      <c r="AR27" s="34">
        <f>SUM(AR28:AR54)</f>
        <v>225164.18181818182</v>
      </c>
      <c r="AS27" s="34">
        <f>SUM(AS28:AS54)</f>
        <v>236055.40000000002</v>
      </c>
      <c r="AT27" s="34">
        <f>SUM(AT28:AT54)</f>
        <v>10891.218181818185</v>
      </c>
      <c r="AU27" s="34">
        <f t="shared" ref="AU27:AX27" si="22">SUM(AU28:AU54)</f>
        <v>76317.400000000009</v>
      </c>
      <c r="AV27" s="34">
        <f t="shared" si="22"/>
        <v>70731.399999999994</v>
      </c>
      <c r="AW27" s="34">
        <f t="shared" si="22"/>
        <v>3917.5</v>
      </c>
      <c r="AX27" s="34">
        <f t="shared" si="22"/>
        <v>85089.099999999991</v>
      </c>
      <c r="AY27" s="34"/>
      <c r="AZ27" s="34">
        <f>SUM(AZ28:AZ54)</f>
        <v>85089.099999999991</v>
      </c>
      <c r="BA27" s="34">
        <f t="shared" ref="BA27:BF27" si="23">SUM(BA28:BA54)</f>
        <v>-66.599999999999994</v>
      </c>
      <c r="BB27" s="34">
        <f t="shared" si="23"/>
        <v>85022.499999999985</v>
      </c>
      <c r="BC27" s="34">
        <f t="shared" si="23"/>
        <v>2149.8000000000002</v>
      </c>
      <c r="BD27" s="34">
        <f t="shared" si="23"/>
        <v>82872.699999999983</v>
      </c>
      <c r="BE27" s="34">
        <f t="shared" si="23"/>
        <v>85699.1</v>
      </c>
      <c r="BF27" s="34">
        <f t="shared" si="23"/>
        <v>-2826.400000000001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2" customFormat="1" ht="17.149999999999999" customHeight="1">
      <c r="A28" s="13" t="s">
        <v>0</v>
      </c>
      <c r="B28" s="63">
        <v>20857</v>
      </c>
      <c r="C28" s="63">
        <v>21641.3</v>
      </c>
      <c r="D28" s="4">
        <f t="shared" ref="D28:D54" si="24">IF(E28=0,0,IF(B28=0,1,IF(C28&lt;0,0,IF(C28/B28&gt;1.2,IF((C28/B28-1.2)*0.1+1.2&gt;1.3,1.3,(C28/B28-1.2)*0.1+1.2),C28/B28))))</f>
        <v>1.0376036822170014</v>
      </c>
      <c r="E28" s="11">
        <v>5</v>
      </c>
      <c r="F28" s="57">
        <v>103.7</v>
      </c>
      <c r="G28" s="57">
        <v>107.7</v>
      </c>
      <c r="H28" s="4">
        <f t="shared" ref="H28:H54" si="25">IF(I28=0,0,IF(F28=0,1,IF(G28&lt;0,0,IF(G28/F28&gt;1.2,IF((G28/F28-1.2)*0.1+1.2&gt;1.3,1.3,(G28/F28-1.2)*0.1+1.2),G28/F28))))</f>
        <v>1.038572806171649</v>
      </c>
      <c r="I28" s="11">
        <v>5</v>
      </c>
      <c r="J28" s="44">
        <v>160</v>
      </c>
      <c r="K28" s="44">
        <v>165</v>
      </c>
      <c r="L28" s="4">
        <f t="shared" ref="L28:L54" si="26">IF(M28=0,0,IF(J28=0,1,IF(K28&lt;0,0,IF(J28/K28&gt;1.2,IF((J28/K28-1.2)*0.1+1.2&gt;1.3,1.3,(J28/K28-1.2)*0.1+1.2),J28/K28))))</f>
        <v>0.96969696969696972</v>
      </c>
      <c r="M28" s="11">
        <v>15</v>
      </c>
      <c r="N28" s="35">
        <v>9102</v>
      </c>
      <c r="O28" s="35">
        <v>10510.2</v>
      </c>
      <c r="P28" s="4">
        <f t="shared" ref="P28:P54" si="27">IF(Q28=0,0,IF(N28=0,1,IF(O28&lt;0,0,IF(O28/N28&gt;1.2,IF((O28/N28-1.2)*0.1+1.2&gt;1.3,1.3,(O28/N28-1.2)*0.1+1.2),O28/N28))))</f>
        <v>1.1547132498352011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82">
        <v>97200</v>
      </c>
      <c r="W28" s="82">
        <v>97412</v>
      </c>
      <c r="X28" s="4">
        <f t="shared" ref="X28:X54" si="28">IF(Y28=0,0,IF(V28=0,1,IF(W28&lt;0,0,IF(W28/V28&gt;1.2,IF((W28/V28-1.2)*0.1+1.2&gt;1.3,1.3,(W28/V28-1.2)*0.1+1.2),W28/V28))))</f>
        <v>1.0021810699588478</v>
      </c>
      <c r="Y28" s="5">
        <v>5</v>
      </c>
      <c r="Z28" s="5">
        <v>4190</v>
      </c>
      <c r="AA28" s="5">
        <v>4354</v>
      </c>
      <c r="AB28" s="4">
        <f>IF(AC28=0,0,IF(Z28=0,1,IF(AA28&lt;0,0,IF(AA28/Z28&gt;1.2,IF((AA28/Z28-1.2)*0.1+1.2&gt;1.3,1.3,(AA28/Z28-1.2)*0.1+1.2),AA28/Z28))))</f>
        <v>1.0391408114558474</v>
      </c>
      <c r="AC28" s="5">
        <v>15</v>
      </c>
      <c r="AD28" s="79">
        <v>2910</v>
      </c>
      <c r="AE28" s="79">
        <v>2998.1</v>
      </c>
      <c r="AF28" s="4">
        <f>IF(AG28=0,0,IF(AD28=0,1,IF(AE28&lt;0,0,IF(AE28/AD28&gt;1.2,IF((AE28/AD28-1.2)*0.1+1.2&gt;1.3,1.3,(AE28/AD28-1.2)*0.1+1.2),AE28/AD28))))</f>
        <v>1.030274914089347</v>
      </c>
      <c r="AG28" s="5">
        <v>10</v>
      </c>
      <c r="AH28" s="79">
        <v>1545</v>
      </c>
      <c r="AI28" s="79">
        <v>952</v>
      </c>
      <c r="AJ28" s="4">
        <f>IF(AK28=0,0,IF(AH28=0,1,IF(AI28&lt;0,0,IF(AI28/AH28&gt;1.2,IF((AI28/AH28-1.2)*0.1+1.2&gt;1.3,1.3,(AI28/AH28-1.2)*0.1+1.2),AI28/AH28))))</f>
        <v>0.61618122977346279</v>
      </c>
      <c r="AK28" s="5">
        <v>10</v>
      </c>
      <c r="AL28" s="5">
        <v>305</v>
      </c>
      <c r="AM28" s="5">
        <v>17</v>
      </c>
      <c r="AN28" s="4">
        <f t="shared" si="7"/>
        <v>5.5737704918032788E-2</v>
      </c>
      <c r="AO28" s="5">
        <v>15</v>
      </c>
      <c r="AP28" s="43">
        <f>(D28*E28+H28*I28+L28*M28+P28*Q28+X28*Y28+AB28*AC28+AF28*AG28+AJ28*AK28+AN28*AO28)/(E28+I28+M28+Q28+Y28+AC28+AG28+AK28+AO28)</f>
        <v>0.85919246518132353</v>
      </c>
      <c r="AQ28" s="44">
        <v>24411</v>
      </c>
      <c r="AR28" s="35">
        <f t="shared" si="9"/>
        <v>6657.545454545454</v>
      </c>
      <c r="AS28" s="35">
        <f t="shared" si="10"/>
        <v>5720.1</v>
      </c>
      <c r="AT28" s="35">
        <f t="shared" si="11"/>
        <v>-937.44545454545369</v>
      </c>
      <c r="AU28" s="35">
        <v>2282</v>
      </c>
      <c r="AV28" s="35">
        <v>2425.1999999999998</v>
      </c>
      <c r="AW28" s="35"/>
      <c r="AX28" s="35">
        <f>ROUND(AS28-SUM(AU28:AW28),1)</f>
        <v>1012.9</v>
      </c>
      <c r="AY28" s="35"/>
      <c r="AZ28" s="35">
        <f t="shared" si="13"/>
        <v>1012.9</v>
      </c>
      <c r="BA28" s="35">
        <v>-18.3</v>
      </c>
      <c r="BB28" s="35">
        <f t="shared" si="14"/>
        <v>994.6</v>
      </c>
      <c r="BC28" s="35"/>
      <c r="BD28" s="35">
        <f t="shared" si="15"/>
        <v>994.6</v>
      </c>
      <c r="BE28" s="35">
        <v>1921.3</v>
      </c>
      <c r="BF28" s="35">
        <f t="shared" si="16"/>
        <v>-926.7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2" customFormat="1" ht="17.149999999999999" customHeight="1">
      <c r="A29" s="13" t="s">
        <v>19</v>
      </c>
      <c r="B29" s="63">
        <v>2889618</v>
      </c>
      <c r="C29" s="63">
        <v>2526820.4</v>
      </c>
      <c r="D29" s="4">
        <f t="shared" si="24"/>
        <v>0.87444790280237727</v>
      </c>
      <c r="E29" s="11">
        <v>5</v>
      </c>
      <c r="F29" s="57">
        <v>104.5</v>
      </c>
      <c r="G29" s="57">
        <v>106.5</v>
      </c>
      <c r="H29" s="4">
        <f t="shared" si="25"/>
        <v>1.0191387559808613</v>
      </c>
      <c r="I29" s="11">
        <v>5</v>
      </c>
      <c r="J29" s="44">
        <v>250</v>
      </c>
      <c r="K29" s="44">
        <v>180</v>
      </c>
      <c r="L29" s="4">
        <f t="shared" si="26"/>
        <v>1.2188888888888889</v>
      </c>
      <c r="M29" s="11">
        <v>5</v>
      </c>
      <c r="N29" s="35">
        <v>47094.8</v>
      </c>
      <c r="O29" s="35">
        <v>49736.5</v>
      </c>
      <c r="P29" s="4">
        <f t="shared" si="27"/>
        <v>1.0560932417167075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82">
        <v>660929</v>
      </c>
      <c r="W29" s="82">
        <v>705542</v>
      </c>
      <c r="X29" s="4">
        <f t="shared" si="28"/>
        <v>1.067500442558883</v>
      </c>
      <c r="Y29" s="5">
        <v>5</v>
      </c>
      <c r="Z29" s="5">
        <v>4371</v>
      </c>
      <c r="AA29" s="5">
        <v>4450</v>
      </c>
      <c r="AB29" s="4">
        <f t="shared" ref="AB29:AB54" si="29">IF(AC29=0,0,IF(Z29=0,1,IF(AA29&lt;0,0,IF(AA29/Z29&gt;1.2,IF((AA29/Z29-1.2)*0.1+1.2&gt;1.3,1.3,(AA29/Z29-1.2)*0.1+1.2),AA29/Z29))))</f>
        <v>1.0180736673530084</v>
      </c>
      <c r="AC29" s="5">
        <v>20</v>
      </c>
      <c r="AD29" s="79">
        <v>4450</v>
      </c>
      <c r="AE29" s="79">
        <v>4690.2</v>
      </c>
      <c r="AF29" s="4">
        <f t="shared" ref="AF29:AF54" si="30">IF(AG29=0,0,IF(AD29=0,1,IF(AE29&lt;0,0,IF(AE29/AD29&gt;1.2,IF((AE29/AD29-1.2)*0.1+1.2&gt;1.3,1.3,(AE29/AD29-1.2)*0.1+1.2),AE29/AD29))))</f>
        <v>1.0539775280898875</v>
      </c>
      <c r="AG29" s="5">
        <v>15</v>
      </c>
      <c r="AH29" s="79">
        <v>820</v>
      </c>
      <c r="AI29" s="79">
        <v>794.2</v>
      </c>
      <c r="AJ29" s="4">
        <f t="shared" ref="AJ29:AJ54" si="31">IF(AK29=0,0,IF(AH29=0,1,IF(AI29&lt;0,0,IF(AI29/AH29&gt;1.2,IF((AI29/AH29-1.2)*0.1+1.2&gt;1.3,1.3,(AI29/AH29-1.2)*0.1+1.2),AI29/AH29))))</f>
        <v>0.96853658536585374</v>
      </c>
      <c r="AK29" s="5">
        <v>5</v>
      </c>
      <c r="AL29" s="5">
        <v>305</v>
      </c>
      <c r="AM29" s="5">
        <v>478</v>
      </c>
      <c r="AN29" s="4">
        <f t="shared" si="7"/>
        <v>1.2367213114754099</v>
      </c>
      <c r="AO29" s="5">
        <v>15</v>
      </c>
      <c r="AP29" s="43">
        <f t="shared" ref="AP29:AP53" si="32">(D29*E29+H29*I29+L29*M29+P29*Q29+X29*Y29+AB29*AC29+AF29*AG29+AJ29*AK29+AN29*AO29)/(E29+I29+M29+Q29+Y29+AC29+AG29+AK29+AO29)</f>
        <v>1.0693303542406116</v>
      </c>
      <c r="AQ29" s="44">
        <v>36132</v>
      </c>
      <c r="AR29" s="35">
        <f t="shared" si="9"/>
        <v>9854.181818181818</v>
      </c>
      <c r="AS29" s="35">
        <f t="shared" si="10"/>
        <v>10537.4</v>
      </c>
      <c r="AT29" s="35">
        <f t="shared" si="11"/>
        <v>683.21818181818162</v>
      </c>
      <c r="AU29" s="35">
        <v>3199.3</v>
      </c>
      <c r="AV29" s="35">
        <v>3207.6</v>
      </c>
      <c r="AW29" s="35"/>
      <c r="AX29" s="35">
        <f t="shared" ref="AX29:AX54" si="33">ROUND(AS29-SUM(AU29:AW29),1)</f>
        <v>4130.5</v>
      </c>
      <c r="AY29" s="35"/>
      <c r="AZ29" s="35">
        <f t="shared" si="13"/>
        <v>4130.5</v>
      </c>
      <c r="BA29" s="35">
        <v>11.5</v>
      </c>
      <c r="BB29" s="35">
        <f t="shared" si="14"/>
        <v>4142</v>
      </c>
      <c r="BC29" s="35"/>
      <c r="BD29" s="35">
        <f t="shared" si="15"/>
        <v>4142</v>
      </c>
      <c r="BE29" s="35">
        <v>3825.1</v>
      </c>
      <c r="BF29" s="35">
        <f t="shared" si="16"/>
        <v>316.89999999999998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2" customFormat="1" ht="17.149999999999999" customHeight="1">
      <c r="A30" s="13" t="s">
        <v>20</v>
      </c>
      <c r="B30" s="63">
        <v>566592</v>
      </c>
      <c r="C30" s="63">
        <v>791420.1</v>
      </c>
      <c r="D30" s="4">
        <f t="shared" si="24"/>
        <v>1.2196807755845476</v>
      </c>
      <c r="E30" s="11">
        <v>5</v>
      </c>
      <c r="F30" s="57">
        <v>106.3</v>
      </c>
      <c r="G30" s="57">
        <v>102.5</v>
      </c>
      <c r="H30" s="4">
        <f t="shared" si="25"/>
        <v>0.96425211665098776</v>
      </c>
      <c r="I30" s="11">
        <v>5</v>
      </c>
      <c r="J30" s="44">
        <v>130</v>
      </c>
      <c r="K30" s="44">
        <v>125</v>
      </c>
      <c r="L30" s="4">
        <f t="shared" si="26"/>
        <v>1.04</v>
      </c>
      <c r="M30" s="11">
        <v>10</v>
      </c>
      <c r="N30" s="35">
        <v>16692.900000000001</v>
      </c>
      <c r="O30" s="35">
        <v>21385.200000000001</v>
      </c>
      <c r="P30" s="4">
        <f t="shared" si="27"/>
        <v>1.2081095555595491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82">
        <v>203541</v>
      </c>
      <c r="W30" s="82">
        <v>205001</v>
      </c>
      <c r="X30" s="4">
        <f t="shared" si="28"/>
        <v>1.007173001999597</v>
      </c>
      <c r="Y30" s="5">
        <v>5</v>
      </c>
      <c r="Z30" s="5">
        <v>3072</v>
      </c>
      <c r="AA30" s="5">
        <v>3072</v>
      </c>
      <c r="AB30" s="4">
        <f t="shared" si="29"/>
        <v>1</v>
      </c>
      <c r="AC30" s="5">
        <v>20</v>
      </c>
      <c r="AD30" s="79">
        <v>3700</v>
      </c>
      <c r="AE30" s="79">
        <v>3730.3</v>
      </c>
      <c r="AF30" s="4">
        <f t="shared" si="30"/>
        <v>1.0081891891891892</v>
      </c>
      <c r="AG30" s="5">
        <v>20</v>
      </c>
      <c r="AH30" s="79">
        <v>1087</v>
      </c>
      <c r="AI30" s="79">
        <v>999.3</v>
      </c>
      <c r="AJ30" s="4">
        <f t="shared" si="31"/>
        <v>0.91931922723091075</v>
      </c>
      <c r="AK30" s="5">
        <v>5</v>
      </c>
      <c r="AL30" s="5">
        <v>305</v>
      </c>
      <c r="AM30" s="5">
        <v>390</v>
      </c>
      <c r="AN30" s="4">
        <f t="shared" si="7"/>
        <v>1.2078688524590164</v>
      </c>
      <c r="AO30" s="5">
        <v>15</v>
      </c>
      <c r="AP30" s="43">
        <f t="shared" si="32"/>
        <v>1.0799631741827642</v>
      </c>
      <c r="AQ30" s="44">
        <v>24285</v>
      </c>
      <c r="AR30" s="35">
        <f t="shared" si="9"/>
        <v>6623.181818181818</v>
      </c>
      <c r="AS30" s="35">
        <f t="shared" si="10"/>
        <v>7152.8</v>
      </c>
      <c r="AT30" s="35">
        <f t="shared" si="11"/>
        <v>529.61818181818217</v>
      </c>
      <c r="AU30" s="35">
        <v>2562.6</v>
      </c>
      <c r="AV30" s="35">
        <v>2385</v>
      </c>
      <c r="AW30" s="35"/>
      <c r="AX30" s="35">
        <f t="shared" si="33"/>
        <v>2205.1999999999998</v>
      </c>
      <c r="AY30" s="35"/>
      <c r="AZ30" s="35">
        <f t="shared" si="13"/>
        <v>2205.1999999999998</v>
      </c>
      <c r="BA30" s="35">
        <v>-33.799999999999997</v>
      </c>
      <c r="BB30" s="35">
        <f t="shared" si="14"/>
        <v>2171.4</v>
      </c>
      <c r="BC30" s="35"/>
      <c r="BD30" s="35">
        <f t="shared" si="15"/>
        <v>2171.4</v>
      </c>
      <c r="BE30" s="35">
        <v>2090.6</v>
      </c>
      <c r="BF30" s="35">
        <f t="shared" si="16"/>
        <v>80.8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" customFormat="1" ht="17.149999999999999" customHeight="1">
      <c r="A31" s="13" t="s">
        <v>21</v>
      </c>
      <c r="B31" s="63">
        <v>61996</v>
      </c>
      <c r="C31" s="63">
        <v>64555</v>
      </c>
      <c r="D31" s="4">
        <f t="shared" si="24"/>
        <v>1.0412768565713917</v>
      </c>
      <c r="E31" s="11">
        <v>5</v>
      </c>
      <c r="F31" s="57">
        <v>106.7</v>
      </c>
      <c r="G31" s="57">
        <v>97.4</v>
      </c>
      <c r="H31" s="4">
        <f t="shared" si="25"/>
        <v>0.91283973758200565</v>
      </c>
      <c r="I31" s="11">
        <v>5</v>
      </c>
      <c r="J31" s="44">
        <v>380</v>
      </c>
      <c r="K31" s="44">
        <v>358</v>
      </c>
      <c r="L31" s="4">
        <f t="shared" si="26"/>
        <v>1.0614525139664805</v>
      </c>
      <c r="M31" s="11">
        <v>10</v>
      </c>
      <c r="N31" s="35">
        <v>24075.3</v>
      </c>
      <c r="O31" s="35">
        <v>31328.1</v>
      </c>
      <c r="P31" s="4">
        <f t="shared" si="27"/>
        <v>1.2101254813024136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82">
        <v>181344</v>
      </c>
      <c r="W31" s="82">
        <v>208796</v>
      </c>
      <c r="X31" s="4">
        <f t="shared" si="28"/>
        <v>1.1513808011293454</v>
      </c>
      <c r="Y31" s="5">
        <v>5</v>
      </c>
      <c r="Z31" s="5">
        <v>4750</v>
      </c>
      <c r="AA31" s="5">
        <v>4833</v>
      </c>
      <c r="AB31" s="4">
        <f t="shared" si="29"/>
        <v>1.0174736842105263</v>
      </c>
      <c r="AC31" s="5">
        <v>15</v>
      </c>
      <c r="AD31" s="79">
        <v>3500</v>
      </c>
      <c r="AE31" s="79">
        <v>3420.2</v>
      </c>
      <c r="AF31" s="4">
        <f t="shared" si="30"/>
        <v>0.97719999999999996</v>
      </c>
      <c r="AG31" s="5">
        <v>10</v>
      </c>
      <c r="AH31" s="79">
        <v>580</v>
      </c>
      <c r="AI31" s="79">
        <v>907.5</v>
      </c>
      <c r="AJ31" s="4">
        <f t="shared" si="31"/>
        <v>1.2364655172413792</v>
      </c>
      <c r="AK31" s="5">
        <v>10</v>
      </c>
      <c r="AL31" s="5">
        <v>305</v>
      </c>
      <c r="AM31" s="5">
        <v>147</v>
      </c>
      <c r="AN31" s="4">
        <f t="shared" si="7"/>
        <v>0.4819672131147541</v>
      </c>
      <c r="AO31" s="5">
        <v>15</v>
      </c>
      <c r="AP31" s="43">
        <f t="shared" si="32"/>
        <v>0.99971358288862944</v>
      </c>
      <c r="AQ31" s="44">
        <v>29449</v>
      </c>
      <c r="AR31" s="35">
        <f t="shared" si="9"/>
        <v>8031.545454545454</v>
      </c>
      <c r="AS31" s="35">
        <f t="shared" si="10"/>
        <v>8029.2</v>
      </c>
      <c r="AT31" s="35">
        <f t="shared" si="11"/>
        <v>-2.3454545454542313</v>
      </c>
      <c r="AU31" s="35">
        <v>2540.5</v>
      </c>
      <c r="AV31" s="35">
        <v>1945.9</v>
      </c>
      <c r="AW31" s="35">
        <v>1035.5</v>
      </c>
      <c r="AX31" s="35">
        <f t="shared" si="33"/>
        <v>2507.3000000000002</v>
      </c>
      <c r="AY31" s="35"/>
      <c r="AZ31" s="35">
        <f t="shared" si="13"/>
        <v>2507.3000000000002</v>
      </c>
      <c r="BA31" s="35">
        <v>-40.6</v>
      </c>
      <c r="BB31" s="35">
        <f t="shared" si="14"/>
        <v>2466.6999999999998</v>
      </c>
      <c r="BC31" s="35"/>
      <c r="BD31" s="35">
        <f t="shared" si="15"/>
        <v>2466.6999999999998</v>
      </c>
      <c r="BE31" s="35">
        <v>3320.6</v>
      </c>
      <c r="BF31" s="35">
        <f t="shared" si="16"/>
        <v>-853.9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2" customFormat="1" ht="17.149999999999999" customHeight="1">
      <c r="A32" s="13" t="s">
        <v>22</v>
      </c>
      <c r="B32" s="63">
        <v>76190</v>
      </c>
      <c r="C32" s="63">
        <v>90146.3</v>
      </c>
      <c r="D32" s="4">
        <f t="shared" si="24"/>
        <v>1.1831775823598898</v>
      </c>
      <c r="E32" s="11">
        <v>5</v>
      </c>
      <c r="F32" s="57">
        <v>105.4</v>
      </c>
      <c r="G32" s="57">
        <v>108.8</v>
      </c>
      <c r="H32" s="4">
        <f t="shared" si="25"/>
        <v>1.032258064516129</v>
      </c>
      <c r="I32" s="11">
        <v>5</v>
      </c>
      <c r="J32" s="44">
        <v>370</v>
      </c>
      <c r="K32" s="44">
        <v>331</v>
      </c>
      <c r="L32" s="4">
        <f t="shared" si="26"/>
        <v>1.1178247734138973</v>
      </c>
      <c r="M32" s="11">
        <v>10</v>
      </c>
      <c r="N32" s="35">
        <v>18825.2</v>
      </c>
      <c r="O32" s="35">
        <v>20543.8</v>
      </c>
      <c r="P32" s="4">
        <f t="shared" si="27"/>
        <v>1.0912925227886023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82">
        <v>111310</v>
      </c>
      <c r="W32" s="82">
        <v>234916</v>
      </c>
      <c r="X32" s="4">
        <f t="shared" si="28"/>
        <v>1.2910466265384961</v>
      </c>
      <c r="Y32" s="5">
        <v>5</v>
      </c>
      <c r="Z32" s="5">
        <v>10532</v>
      </c>
      <c r="AA32" s="5">
        <v>10650</v>
      </c>
      <c r="AB32" s="4">
        <f t="shared" si="29"/>
        <v>1.0112039498670717</v>
      </c>
      <c r="AC32" s="5">
        <v>20</v>
      </c>
      <c r="AD32" s="79">
        <v>5596</v>
      </c>
      <c r="AE32" s="79">
        <v>5862.3</v>
      </c>
      <c r="AF32" s="4">
        <f t="shared" si="30"/>
        <v>1.0475875625446749</v>
      </c>
      <c r="AG32" s="5">
        <v>10</v>
      </c>
      <c r="AH32" s="79">
        <v>576</v>
      </c>
      <c r="AI32" s="79">
        <v>1578.6</v>
      </c>
      <c r="AJ32" s="4">
        <f t="shared" si="31"/>
        <v>1.3</v>
      </c>
      <c r="AK32" s="5">
        <v>10</v>
      </c>
      <c r="AL32" s="5">
        <v>305</v>
      </c>
      <c r="AM32" s="5">
        <v>132</v>
      </c>
      <c r="AN32" s="4">
        <f t="shared" si="7"/>
        <v>0.43278688524590164</v>
      </c>
      <c r="AO32" s="5">
        <v>15</v>
      </c>
      <c r="AP32" s="43">
        <f t="shared" si="32"/>
        <v>1.0072826745846031</v>
      </c>
      <c r="AQ32" s="44">
        <v>36357</v>
      </c>
      <c r="AR32" s="35">
        <f t="shared" si="9"/>
        <v>9915.545454545454</v>
      </c>
      <c r="AS32" s="35">
        <f t="shared" si="10"/>
        <v>9987.7999999999993</v>
      </c>
      <c r="AT32" s="35">
        <f t="shared" si="11"/>
        <v>72.254545454545223</v>
      </c>
      <c r="AU32" s="35">
        <v>3486.1</v>
      </c>
      <c r="AV32" s="35">
        <v>3388.3</v>
      </c>
      <c r="AW32" s="35"/>
      <c r="AX32" s="35">
        <f t="shared" si="33"/>
        <v>3113.4</v>
      </c>
      <c r="AY32" s="35"/>
      <c r="AZ32" s="35">
        <f t="shared" si="13"/>
        <v>3113.4</v>
      </c>
      <c r="BA32" s="35">
        <v>-14.4</v>
      </c>
      <c r="BB32" s="35">
        <f t="shared" si="14"/>
        <v>3099</v>
      </c>
      <c r="BC32" s="35"/>
      <c r="BD32" s="35">
        <f t="shared" si="15"/>
        <v>3099</v>
      </c>
      <c r="BE32" s="35">
        <v>4034.2</v>
      </c>
      <c r="BF32" s="35">
        <f t="shared" si="16"/>
        <v>-935.2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2" customFormat="1" ht="17.149999999999999" customHeight="1">
      <c r="A33" s="13" t="s">
        <v>23</v>
      </c>
      <c r="B33" s="63">
        <v>75998</v>
      </c>
      <c r="C33" s="63">
        <v>60304.6</v>
      </c>
      <c r="D33" s="4">
        <f t="shared" si="24"/>
        <v>0.79350246059106821</v>
      </c>
      <c r="E33" s="11">
        <v>5</v>
      </c>
      <c r="F33" s="57">
        <v>104.5</v>
      </c>
      <c r="G33" s="57">
        <v>114</v>
      </c>
      <c r="H33" s="4">
        <f t="shared" si="25"/>
        <v>1.0909090909090908</v>
      </c>
      <c r="I33" s="11">
        <v>5</v>
      </c>
      <c r="J33" s="44">
        <v>280</v>
      </c>
      <c r="K33" s="44">
        <v>263</v>
      </c>
      <c r="L33" s="4">
        <f t="shared" si="26"/>
        <v>1.064638783269962</v>
      </c>
      <c r="M33" s="11">
        <v>15</v>
      </c>
      <c r="N33" s="35">
        <v>17361.099999999999</v>
      </c>
      <c r="O33" s="35">
        <v>20561.099999999999</v>
      </c>
      <c r="P33" s="4">
        <f t="shared" si="27"/>
        <v>1.1843201179648755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63">
        <v>286142.09999999998</v>
      </c>
      <c r="W33" s="82">
        <v>256971</v>
      </c>
      <c r="X33" s="4">
        <f t="shared" si="28"/>
        <v>0.89805379914385197</v>
      </c>
      <c r="Y33" s="5">
        <v>5</v>
      </c>
      <c r="Z33" s="5">
        <v>4266</v>
      </c>
      <c r="AA33" s="5">
        <v>4266</v>
      </c>
      <c r="AB33" s="4">
        <f t="shared" si="29"/>
        <v>1</v>
      </c>
      <c r="AC33" s="5">
        <v>20</v>
      </c>
      <c r="AD33" s="79">
        <v>3635</v>
      </c>
      <c r="AE33" s="79">
        <v>2944.4</v>
      </c>
      <c r="AF33" s="4">
        <f t="shared" si="30"/>
        <v>0.8100137551581843</v>
      </c>
      <c r="AG33" s="5">
        <v>10</v>
      </c>
      <c r="AH33" s="79">
        <v>729.5</v>
      </c>
      <c r="AI33" s="79">
        <v>1133.8</v>
      </c>
      <c r="AJ33" s="4">
        <f t="shared" si="31"/>
        <v>1.2354215215901303</v>
      </c>
      <c r="AK33" s="5">
        <v>10</v>
      </c>
      <c r="AL33" s="5">
        <v>305</v>
      </c>
      <c r="AM33" s="5">
        <v>326</v>
      </c>
      <c r="AN33" s="4">
        <f t="shared" si="7"/>
        <v>1.0688524590163935</v>
      </c>
      <c r="AO33" s="5">
        <v>15</v>
      </c>
      <c r="AP33" s="43">
        <f t="shared" si="32"/>
        <v>1.0481471477552005</v>
      </c>
      <c r="AQ33" s="44">
        <v>34149</v>
      </c>
      <c r="AR33" s="35">
        <f t="shared" si="9"/>
        <v>9313.363636363636</v>
      </c>
      <c r="AS33" s="35">
        <f t="shared" si="10"/>
        <v>9761.7999999999993</v>
      </c>
      <c r="AT33" s="35">
        <f t="shared" si="11"/>
        <v>448.43636363636324</v>
      </c>
      <c r="AU33" s="35">
        <v>3327.1</v>
      </c>
      <c r="AV33" s="35">
        <v>2763.4</v>
      </c>
      <c r="AW33" s="35"/>
      <c r="AX33" s="35">
        <f t="shared" si="33"/>
        <v>3671.3</v>
      </c>
      <c r="AY33" s="35"/>
      <c r="AZ33" s="35">
        <f t="shared" si="13"/>
        <v>3671.3</v>
      </c>
      <c r="BA33" s="35">
        <v>66.900000000000006</v>
      </c>
      <c r="BB33" s="35">
        <f t="shared" si="14"/>
        <v>3738.2</v>
      </c>
      <c r="BC33" s="35"/>
      <c r="BD33" s="35">
        <f t="shared" si="15"/>
        <v>3738.2</v>
      </c>
      <c r="BE33" s="35">
        <v>3764.5</v>
      </c>
      <c r="BF33" s="35">
        <f t="shared" si="16"/>
        <v>-26.3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2" customFormat="1" ht="17.149999999999999" customHeight="1">
      <c r="A34" s="13" t="s">
        <v>24</v>
      </c>
      <c r="B34" s="63">
        <v>5328280</v>
      </c>
      <c r="C34" s="63">
        <v>5917404.4000000004</v>
      </c>
      <c r="D34" s="4">
        <f t="shared" si="24"/>
        <v>1.1105655858926333</v>
      </c>
      <c r="E34" s="11">
        <v>5</v>
      </c>
      <c r="F34" s="57">
        <v>106</v>
      </c>
      <c r="G34" s="57">
        <v>105.4</v>
      </c>
      <c r="H34" s="4">
        <f t="shared" si="25"/>
        <v>0.99433962264150944</v>
      </c>
      <c r="I34" s="11">
        <v>5</v>
      </c>
      <c r="J34" s="44">
        <v>195</v>
      </c>
      <c r="K34" s="44">
        <v>171</v>
      </c>
      <c r="L34" s="4">
        <f t="shared" si="26"/>
        <v>1.1403508771929824</v>
      </c>
      <c r="M34" s="11">
        <v>5</v>
      </c>
      <c r="N34" s="35">
        <v>219047.7</v>
      </c>
      <c r="O34" s="35">
        <v>204424.3</v>
      </c>
      <c r="P34" s="4">
        <f t="shared" si="27"/>
        <v>0.93324102467179515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82">
        <v>1964032</v>
      </c>
      <c r="W34" s="82">
        <v>1962928</v>
      </c>
      <c r="X34" s="4">
        <f t="shared" si="28"/>
        <v>0.99943789103232539</v>
      </c>
      <c r="Y34" s="5">
        <v>10</v>
      </c>
      <c r="Z34" s="5">
        <v>4707</v>
      </c>
      <c r="AA34" s="5">
        <v>4492</v>
      </c>
      <c r="AB34" s="4">
        <f t="shared" si="29"/>
        <v>0.95432334820480136</v>
      </c>
      <c r="AC34" s="5">
        <v>20</v>
      </c>
      <c r="AD34" s="79">
        <v>3290</v>
      </c>
      <c r="AE34" s="79">
        <v>3762.4</v>
      </c>
      <c r="AF34" s="4">
        <f t="shared" si="30"/>
        <v>1.1435866261398178</v>
      </c>
      <c r="AG34" s="5">
        <v>15</v>
      </c>
      <c r="AH34" s="79">
        <v>1020</v>
      </c>
      <c r="AI34" s="79">
        <v>1199.9000000000001</v>
      </c>
      <c r="AJ34" s="4">
        <f t="shared" si="31"/>
        <v>1.176372549019608</v>
      </c>
      <c r="AK34" s="5">
        <v>10</v>
      </c>
      <c r="AL34" s="5">
        <v>305</v>
      </c>
      <c r="AM34" s="5">
        <v>52</v>
      </c>
      <c r="AN34" s="4">
        <f t="shared" si="7"/>
        <v>0.17049180327868851</v>
      </c>
      <c r="AO34" s="5">
        <v>15</v>
      </c>
      <c r="AP34" s="43">
        <f t="shared" si="32"/>
        <v>0.90901760693299516</v>
      </c>
      <c r="AQ34" s="44">
        <v>27280</v>
      </c>
      <c r="AR34" s="35">
        <f t="shared" si="9"/>
        <v>7440</v>
      </c>
      <c r="AS34" s="35">
        <f t="shared" si="10"/>
        <v>6763.1</v>
      </c>
      <c r="AT34" s="35">
        <f t="shared" si="11"/>
        <v>-676.89999999999964</v>
      </c>
      <c r="AU34" s="35">
        <v>2598</v>
      </c>
      <c r="AV34" s="35">
        <v>1037.0999999999999</v>
      </c>
      <c r="AW34" s="35">
        <v>1240</v>
      </c>
      <c r="AX34" s="35">
        <f t="shared" si="33"/>
        <v>1888</v>
      </c>
      <c r="AY34" s="35"/>
      <c r="AZ34" s="35">
        <f t="shared" si="13"/>
        <v>1888</v>
      </c>
      <c r="BA34" s="35">
        <v>5.5</v>
      </c>
      <c r="BB34" s="35">
        <f t="shared" si="14"/>
        <v>1893.5</v>
      </c>
      <c r="BC34" s="35">
        <f>MIN(BB34,507.8)</f>
        <v>507.8</v>
      </c>
      <c r="BD34" s="35">
        <f t="shared" si="15"/>
        <v>1385.7</v>
      </c>
      <c r="BE34" s="35">
        <v>2352.6</v>
      </c>
      <c r="BF34" s="35">
        <f t="shared" si="16"/>
        <v>-966.9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2" customFormat="1" ht="17.149999999999999" customHeight="1">
      <c r="A35" s="13" t="s">
        <v>25</v>
      </c>
      <c r="B35" s="63">
        <v>51617</v>
      </c>
      <c r="C35" s="63">
        <v>84433.9</v>
      </c>
      <c r="D35" s="4">
        <f t="shared" si="24"/>
        <v>1.243577697270279</v>
      </c>
      <c r="E35" s="11">
        <v>5</v>
      </c>
      <c r="F35" s="57">
        <v>104</v>
      </c>
      <c r="G35" s="57">
        <v>101.7</v>
      </c>
      <c r="H35" s="4">
        <f t="shared" si="25"/>
        <v>0.97788461538461546</v>
      </c>
      <c r="I35" s="11">
        <v>5</v>
      </c>
      <c r="J35" s="44">
        <v>85</v>
      </c>
      <c r="K35" s="44">
        <v>81</v>
      </c>
      <c r="L35" s="4">
        <f t="shared" si="26"/>
        <v>1.0493827160493827</v>
      </c>
      <c r="M35" s="11">
        <v>10</v>
      </c>
      <c r="N35" s="35">
        <v>9476.2000000000007</v>
      </c>
      <c r="O35" s="35">
        <v>8304.9</v>
      </c>
      <c r="P35" s="4">
        <f t="shared" si="27"/>
        <v>0.87639560161246055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82">
        <v>78000</v>
      </c>
      <c r="W35" s="82">
        <v>80158</v>
      </c>
      <c r="X35" s="4">
        <f t="shared" si="28"/>
        <v>1.0276666666666667</v>
      </c>
      <c r="Y35" s="5">
        <v>5</v>
      </c>
      <c r="Z35" s="5">
        <v>1305</v>
      </c>
      <c r="AA35" s="5">
        <v>1305</v>
      </c>
      <c r="AB35" s="4">
        <f t="shared" si="29"/>
        <v>1</v>
      </c>
      <c r="AC35" s="5">
        <v>20</v>
      </c>
      <c r="AD35" s="79">
        <v>1280</v>
      </c>
      <c r="AE35" s="79">
        <v>1570.4</v>
      </c>
      <c r="AF35" s="4">
        <f t="shared" si="30"/>
        <v>1.2026874999999999</v>
      </c>
      <c r="AG35" s="5">
        <v>10</v>
      </c>
      <c r="AH35" s="79">
        <v>226</v>
      </c>
      <c r="AI35" s="79">
        <v>391.3</v>
      </c>
      <c r="AJ35" s="4">
        <f t="shared" si="31"/>
        <v>1.253141592920354</v>
      </c>
      <c r="AK35" s="5">
        <v>5</v>
      </c>
      <c r="AL35" s="5">
        <v>305</v>
      </c>
      <c r="AM35" s="5">
        <v>224</v>
      </c>
      <c r="AN35" s="4">
        <f t="shared" si="7"/>
        <v>0.73442622950819669</v>
      </c>
      <c r="AO35" s="5">
        <v>15</v>
      </c>
      <c r="AP35" s="43">
        <f t="shared" si="32"/>
        <v>0.98501432101658515</v>
      </c>
      <c r="AQ35" s="44">
        <v>17421</v>
      </c>
      <c r="AR35" s="35">
        <f t="shared" si="9"/>
        <v>4751.181818181818</v>
      </c>
      <c r="AS35" s="35">
        <f t="shared" si="10"/>
        <v>4680</v>
      </c>
      <c r="AT35" s="35">
        <f t="shared" si="11"/>
        <v>-71.181818181818016</v>
      </c>
      <c r="AU35" s="35">
        <v>1373.6</v>
      </c>
      <c r="AV35" s="35">
        <v>1604.9</v>
      </c>
      <c r="AW35" s="35"/>
      <c r="AX35" s="35">
        <f t="shared" si="33"/>
        <v>1701.5</v>
      </c>
      <c r="AY35" s="35"/>
      <c r="AZ35" s="35">
        <f t="shared" si="13"/>
        <v>1701.5</v>
      </c>
      <c r="BA35" s="35">
        <v>-2.5</v>
      </c>
      <c r="BB35" s="35">
        <f t="shared" si="14"/>
        <v>1699</v>
      </c>
      <c r="BC35" s="35"/>
      <c r="BD35" s="35">
        <f t="shared" si="15"/>
        <v>1699</v>
      </c>
      <c r="BE35" s="35">
        <v>1942.1</v>
      </c>
      <c r="BF35" s="35">
        <f t="shared" si="16"/>
        <v>-243.1</v>
      </c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2" customFormat="1" ht="17.149999999999999" customHeight="1">
      <c r="A36" s="13" t="s">
        <v>26</v>
      </c>
      <c r="B36" s="63">
        <v>23742</v>
      </c>
      <c r="C36" s="63">
        <v>24214.7</v>
      </c>
      <c r="D36" s="4">
        <f t="shared" si="24"/>
        <v>1.0199098643753686</v>
      </c>
      <c r="E36" s="11">
        <v>5</v>
      </c>
      <c r="F36" s="57">
        <v>105.4</v>
      </c>
      <c r="G36" s="57">
        <v>107.5</v>
      </c>
      <c r="H36" s="4">
        <f t="shared" si="25"/>
        <v>1.0199240986717266</v>
      </c>
      <c r="I36" s="11">
        <v>5</v>
      </c>
      <c r="J36" s="44">
        <v>230</v>
      </c>
      <c r="K36" s="44">
        <v>191</v>
      </c>
      <c r="L36" s="4">
        <f t="shared" si="26"/>
        <v>1.2004188481675393</v>
      </c>
      <c r="M36" s="11">
        <v>15</v>
      </c>
      <c r="N36" s="35">
        <v>16608.3</v>
      </c>
      <c r="O36" s="35">
        <v>15213</v>
      </c>
      <c r="P36" s="4">
        <f t="shared" si="27"/>
        <v>0.91598778923791124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82">
        <v>130264</v>
      </c>
      <c r="W36" s="82">
        <v>137038</v>
      </c>
      <c r="X36" s="4">
        <f t="shared" si="28"/>
        <v>1.0520020880673095</v>
      </c>
      <c r="Y36" s="5">
        <v>5</v>
      </c>
      <c r="Z36" s="5">
        <v>4994</v>
      </c>
      <c r="AA36" s="5">
        <v>5022</v>
      </c>
      <c r="AB36" s="4">
        <f t="shared" si="29"/>
        <v>1.0056067280736884</v>
      </c>
      <c r="AC36" s="5">
        <v>15</v>
      </c>
      <c r="AD36" s="79">
        <v>5345</v>
      </c>
      <c r="AE36" s="79">
        <v>5718.5</v>
      </c>
      <c r="AF36" s="4">
        <f t="shared" si="30"/>
        <v>1.0698783910196445</v>
      </c>
      <c r="AG36" s="5">
        <v>20</v>
      </c>
      <c r="AH36" s="79">
        <v>650</v>
      </c>
      <c r="AI36" s="79">
        <v>845.1</v>
      </c>
      <c r="AJ36" s="4">
        <f t="shared" si="31"/>
        <v>1.2100153846153845</v>
      </c>
      <c r="AK36" s="5">
        <v>5</v>
      </c>
      <c r="AL36" s="5">
        <v>305</v>
      </c>
      <c r="AM36" s="5">
        <v>581</v>
      </c>
      <c r="AN36" s="4">
        <f t="shared" si="7"/>
        <v>1.2704918032786885</v>
      </c>
      <c r="AO36" s="5">
        <v>15</v>
      </c>
      <c r="AP36" s="43">
        <f t="shared" si="32"/>
        <v>1.0797556331104647</v>
      </c>
      <c r="AQ36" s="44">
        <v>31614</v>
      </c>
      <c r="AR36" s="35">
        <f t="shared" si="9"/>
        <v>8622</v>
      </c>
      <c r="AS36" s="35">
        <f t="shared" si="10"/>
        <v>9309.7000000000007</v>
      </c>
      <c r="AT36" s="35">
        <f t="shared" si="11"/>
        <v>687.70000000000073</v>
      </c>
      <c r="AU36" s="35">
        <v>2770.8</v>
      </c>
      <c r="AV36" s="35">
        <v>3190.3</v>
      </c>
      <c r="AW36" s="35"/>
      <c r="AX36" s="35">
        <f t="shared" si="33"/>
        <v>3348.6</v>
      </c>
      <c r="AY36" s="35"/>
      <c r="AZ36" s="35">
        <f t="shared" si="13"/>
        <v>3348.6</v>
      </c>
      <c r="BA36" s="35">
        <v>-19.7</v>
      </c>
      <c r="BB36" s="35">
        <f t="shared" si="14"/>
        <v>3328.9</v>
      </c>
      <c r="BC36" s="35"/>
      <c r="BD36" s="35">
        <f t="shared" si="15"/>
        <v>3328.9</v>
      </c>
      <c r="BE36" s="35">
        <v>3067.7</v>
      </c>
      <c r="BF36" s="35">
        <f t="shared" si="16"/>
        <v>261.2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2" customFormat="1" ht="17.149999999999999" customHeight="1">
      <c r="A37" s="13" t="s">
        <v>27</v>
      </c>
      <c r="B37" s="63">
        <v>15497</v>
      </c>
      <c r="C37" s="63">
        <v>15361.5</v>
      </c>
      <c r="D37" s="4">
        <f t="shared" si="24"/>
        <v>0.99125637220107121</v>
      </c>
      <c r="E37" s="11">
        <v>5</v>
      </c>
      <c r="F37" s="57">
        <v>103.6</v>
      </c>
      <c r="G37" s="57">
        <v>104.6</v>
      </c>
      <c r="H37" s="4">
        <f t="shared" si="25"/>
        <v>1.0096525096525097</v>
      </c>
      <c r="I37" s="11">
        <v>5</v>
      </c>
      <c r="J37" s="44">
        <v>135</v>
      </c>
      <c r="K37" s="44">
        <v>148</v>
      </c>
      <c r="L37" s="4">
        <f t="shared" si="26"/>
        <v>0.91216216216216217</v>
      </c>
      <c r="M37" s="11">
        <v>15</v>
      </c>
      <c r="N37" s="35">
        <v>8936.1</v>
      </c>
      <c r="O37" s="35">
        <v>8611</v>
      </c>
      <c r="P37" s="4">
        <f t="shared" si="27"/>
        <v>0.96361947605778808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82">
        <v>140687</v>
      </c>
      <c r="W37" s="82">
        <v>140859</v>
      </c>
      <c r="X37" s="4">
        <f t="shared" si="28"/>
        <v>1.0012225720926595</v>
      </c>
      <c r="Y37" s="5">
        <v>5</v>
      </c>
      <c r="Z37" s="5">
        <v>923</v>
      </c>
      <c r="AA37" s="5">
        <v>923</v>
      </c>
      <c r="AB37" s="4">
        <f t="shared" si="29"/>
        <v>1</v>
      </c>
      <c r="AC37" s="5">
        <v>20</v>
      </c>
      <c r="AD37" s="79">
        <v>900</v>
      </c>
      <c r="AE37" s="79">
        <v>840.9</v>
      </c>
      <c r="AF37" s="4">
        <f t="shared" si="30"/>
        <v>0.93433333333333335</v>
      </c>
      <c r="AG37" s="5">
        <v>10</v>
      </c>
      <c r="AH37" s="79">
        <v>205</v>
      </c>
      <c r="AI37" s="79">
        <v>199.3</v>
      </c>
      <c r="AJ37" s="4">
        <f t="shared" si="31"/>
        <v>0.9721951219512196</v>
      </c>
      <c r="AK37" s="5">
        <v>15</v>
      </c>
      <c r="AL37" s="5">
        <v>305</v>
      </c>
      <c r="AM37" s="5">
        <v>540</v>
      </c>
      <c r="AN37" s="4">
        <f t="shared" si="7"/>
        <v>1.2570491803278687</v>
      </c>
      <c r="AO37" s="5">
        <v>15</v>
      </c>
      <c r="AP37" s="43">
        <f t="shared" si="32"/>
        <v>1.0067952462803549</v>
      </c>
      <c r="AQ37" s="44">
        <v>16373</v>
      </c>
      <c r="AR37" s="35">
        <f t="shared" si="9"/>
        <v>4465.363636363636</v>
      </c>
      <c r="AS37" s="35">
        <f t="shared" si="10"/>
        <v>4495.7</v>
      </c>
      <c r="AT37" s="35">
        <f t="shared" si="11"/>
        <v>30.336363636363785</v>
      </c>
      <c r="AU37" s="35">
        <v>1288.4000000000001</v>
      </c>
      <c r="AV37" s="35">
        <v>1585.1</v>
      </c>
      <c r="AW37" s="35"/>
      <c r="AX37" s="35">
        <f t="shared" si="33"/>
        <v>1622.2</v>
      </c>
      <c r="AY37" s="35"/>
      <c r="AZ37" s="35">
        <f t="shared" si="13"/>
        <v>1622.2</v>
      </c>
      <c r="BA37" s="35">
        <v>-6.5</v>
      </c>
      <c r="BB37" s="35">
        <f t="shared" si="14"/>
        <v>1615.7</v>
      </c>
      <c r="BC37" s="35"/>
      <c r="BD37" s="35">
        <f t="shared" si="15"/>
        <v>1615.7</v>
      </c>
      <c r="BE37" s="35">
        <v>1419.2</v>
      </c>
      <c r="BF37" s="35">
        <f t="shared" si="16"/>
        <v>196.5</v>
      </c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2" customFormat="1" ht="17.149999999999999" customHeight="1">
      <c r="A38" s="13" t="s">
        <v>28</v>
      </c>
      <c r="B38" s="63">
        <v>4787611</v>
      </c>
      <c r="C38" s="63">
        <v>3871283.8</v>
      </c>
      <c r="D38" s="4">
        <f t="shared" si="24"/>
        <v>0.80860450024030772</v>
      </c>
      <c r="E38" s="11">
        <v>5</v>
      </c>
      <c r="F38" s="57">
        <v>102.5</v>
      </c>
      <c r="G38" s="57">
        <v>103.3</v>
      </c>
      <c r="H38" s="4">
        <f t="shared" si="25"/>
        <v>1.0078048780487805</v>
      </c>
      <c r="I38" s="11">
        <v>5</v>
      </c>
      <c r="J38" s="44">
        <v>215</v>
      </c>
      <c r="K38" s="44">
        <v>184</v>
      </c>
      <c r="L38" s="4">
        <f t="shared" si="26"/>
        <v>1.1684782608695652</v>
      </c>
      <c r="M38" s="11">
        <v>10</v>
      </c>
      <c r="N38" s="35">
        <v>51609.9</v>
      </c>
      <c r="O38" s="35">
        <v>53250</v>
      </c>
      <c r="P38" s="4">
        <f t="shared" si="27"/>
        <v>1.0317787866281469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82">
        <v>234965</v>
      </c>
      <c r="W38" s="82">
        <v>239665</v>
      </c>
      <c r="X38" s="4">
        <f t="shared" si="28"/>
        <v>1.0200029791671099</v>
      </c>
      <c r="Y38" s="5">
        <v>5</v>
      </c>
      <c r="Z38" s="5">
        <v>4548</v>
      </c>
      <c r="AA38" s="5">
        <v>4770</v>
      </c>
      <c r="AB38" s="4">
        <f t="shared" si="29"/>
        <v>1.0488126649076517</v>
      </c>
      <c r="AC38" s="5">
        <v>15</v>
      </c>
      <c r="AD38" s="79">
        <v>5032</v>
      </c>
      <c r="AE38" s="79">
        <v>5179.6000000000004</v>
      </c>
      <c r="AF38" s="4">
        <f t="shared" si="30"/>
        <v>1.0293322734499206</v>
      </c>
      <c r="AG38" s="5">
        <v>10</v>
      </c>
      <c r="AH38" s="79">
        <v>3000</v>
      </c>
      <c r="AI38" s="79">
        <v>3255.6</v>
      </c>
      <c r="AJ38" s="4">
        <f t="shared" si="31"/>
        <v>1.0851999999999999</v>
      </c>
      <c r="AK38" s="5">
        <v>10</v>
      </c>
      <c r="AL38" s="5">
        <v>305</v>
      </c>
      <c r="AM38" s="5">
        <v>294</v>
      </c>
      <c r="AN38" s="4">
        <f t="shared" si="7"/>
        <v>0.9639344262295082</v>
      </c>
      <c r="AO38" s="5">
        <v>15</v>
      </c>
      <c r="AP38" s="43">
        <f t="shared" si="32"/>
        <v>1.0298836761062755</v>
      </c>
      <c r="AQ38" s="44">
        <v>6818</v>
      </c>
      <c r="AR38" s="35">
        <f t="shared" si="9"/>
        <v>1859.4545454545455</v>
      </c>
      <c r="AS38" s="35">
        <f t="shared" si="10"/>
        <v>1915</v>
      </c>
      <c r="AT38" s="35">
        <f t="shared" si="11"/>
        <v>55.545454545454504</v>
      </c>
      <c r="AU38" s="35">
        <v>494</v>
      </c>
      <c r="AV38" s="35">
        <v>686.6</v>
      </c>
      <c r="AW38" s="35"/>
      <c r="AX38" s="35">
        <f t="shared" si="33"/>
        <v>734.4</v>
      </c>
      <c r="AY38" s="35"/>
      <c r="AZ38" s="35">
        <f t="shared" si="13"/>
        <v>734.4</v>
      </c>
      <c r="BA38" s="35">
        <v>-9.4</v>
      </c>
      <c r="BB38" s="35">
        <f t="shared" si="14"/>
        <v>725</v>
      </c>
      <c r="BC38" s="35"/>
      <c r="BD38" s="35">
        <f t="shared" si="15"/>
        <v>725</v>
      </c>
      <c r="BE38" s="35">
        <v>755.5</v>
      </c>
      <c r="BF38" s="35">
        <f t="shared" si="16"/>
        <v>-30.5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2" customFormat="1" ht="17.149999999999999" customHeight="1">
      <c r="A39" s="13" t="s">
        <v>29</v>
      </c>
      <c r="B39" s="63">
        <v>1209150</v>
      </c>
      <c r="C39" s="63">
        <v>1172435.5</v>
      </c>
      <c r="D39" s="4">
        <f t="shared" si="24"/>
        <v>0.96963610800975897</v>
      </c>
      <c r="E39" s="11">
        <v>5</v>
      </c>
      <c r="F39" s="57">
        <v>106.2</v>
      </c>
      <c r="G39" s="57">
        <v>108.3</v>
      </c>
      <c r="H39" s="4">
        <f t="shared" si="25"/>
        <v>1.0197740112994349</v>
      </c>
      <c r="I39" s="11">
        <v>5</v>
      </c>
      <c r="J39" s="44">
        <v>210</v>
      </c>
      <c r="K39" s="44">
        <v>201</v>
      </c>
      <c r="L39" s="4">
        <f t="shared" si="26"/>
        <v>1.044776119402985</v>
      </c>
      <c r="M39" s="11">
        <v>5</v>
      </c>
      <c r="N39" s="35">
        <v>59001.8</v>
      </c>
      <c r="O39" s="35">
        <v>58448.1</v>
      </c>
      <c r="P39" s="4">
        <f t="shared" si="27"/>
        <v>0.99061554054283085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82">
        <v>439460</v>
      </c>
      <c r="W39" s="82">
        <v>434417</v>
      </c>
      <c r="X39" s="4">
        <f t="shared" si="28"/>
        <v>0.98852455286032859</v>
      </c>
      <c r="Y39" s="5">
        <v>5</v>
      </c>
      <c r="Z39" s="5">
        <v>3850</v>
      </c>
      <c r="AA39" s="5">
        <v>3872</v>
      </c>
      <c r="AB39" s="4">
        <f t="shared" si="29"/>
        <v>1.0057142857142858</v>
      </c>
      <c r="AC39" s="5">
        <v>10</v>
      </c>
      <c r="AD39" s="79">
        <v>3874</v>
      </c>
      <c r="AE39" s="79">
        <v>3951.6</v>
      </c>
      <c r="AF39" s="4">
        <f t="shared" si="30"/>
        <v>1.0200309757356738</v>
      </c>
      <c r="AG39" s="5">
        <v>10</v>
      </c>
      <c r="AH39" s="79">
        <v>10100</v>
      </c>
      <c r="AI39" s="79">
        <v>10973.7</v>
      </c>
      <c r="AJ39" s="4">
        <f t="shared" si="31"/>
        <v>1.0865049504950495</v>
      </c>
      <c r="AK39" s="5">
        <v>20</v>
      </c>
      <c r="AL39" s="5">
        <v>305</v>
      </c>
      <c r="AM39" s="5">
        <v>283</v>
      </c>
      <c r="AN39" s="4">
        <f t="shared" si="7"/>
        <v>0.9278688524590164</v>
      </c>
      <c r="AO39" s="5">
        <v>15</v>
      </c>
      <c r="AP39" s="43">
        <f t="shared" si="32"/>
        <v>1.0087520966316315</v>
      </c>
      <c r="AQ39" s="44">
        <v>36125</v>
      </c>
      <c r="AR39" s="35">
        <f t="shared" si="9"/>
        <v>9852.2727272727279</v>
      </c>
      <c r="AS39" s="35">
        <f t="shared" si="10"/>
        <v>9938.5</v>
      </c>
      <c r="AT39" s="35">
        <f t="shared" si="11"/>
        <v>86.227272727272066</v>
      </c>
      <c r="AU39" s="35">
        <v>3341</v>
      </c>
      <c r="AV39" s="35">
        <v>1434.3</v>
      </c>
      <c r="AW39" s="35">
        <v>1642</v>
      </c>
      <c r="AX39" s="35">
        <f t="shared" si="33"/>
        <v>3521.2</v>
      </c>
      <c r="AY39" s="35"/>
      <c r="AZ39" s="35">
        <f t="shared" si="13"/>
        <v>3521.2</v>
      </c>
      <c r="BA39" s="35">
        <v>7.5</v>
      </c>
      <c r="BB39" s="35">
        <f t="shared" si="14"/>
        <v>3528.7</v>
      </c>
      <c r="BC39" s="35">
        <f>MIN(BB39,1642)</f>
        <v>1642</v>
      </c>
      <c r="BD39" s="35">
        <f t="shared" si="15"/>
        <v>1886.7</v>
      </c>
      <c r="BE39" s="35">
        <v>2063.9</v>
      </c>
      <c r="BF39" s="35">
        <f t="shared" si="16"/>
        <v>-177.2</v>
      </c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2" customFormat="1" ht="17.149999999999999" customHeight="1">
      <c r="A40" s="13" t="s">
        <v>30</v>
      </c>
      <c r="B40" s="63">
        <v>71181</v>
      </c>
      <c r="C40" s="63">
        <v>75163.399999999994</v>
      </c>
      <c r="D40" s="4">
        <f t="shared" si="24"/>
        <v>1.0559475140838144</v>
      </c>
      <c r="E40" s="11">
        <v>5</v>
      </c>
      <c r="F40" s="57">
        <v>103.1</v>
      </c>
      <c r="G40" s="57">
        <v>107.8</v>
      </c>
      <c r="H40" s="4">
        <f t="shared" si="25"/>
        <v>1.0455868089233753</v>
      </c>
      <c r="I40" s="11">
        <v>5</v>
      </c>
      <c r="J40" s="44">
        <v>180</v>
      </c>
      <c r="K40" s="44">
        <v>163</v>
      </c>
      <c r="L40" s="4">
        <f t="shared" si="26"/>
        <v>1.1042944785276074</v>
      </c>
      <c r="M40" s="11">
        <v>10</v>
      </c>
      <c r="N40" s="35">
        <v>20892.2</v>
      </c>
      <c r="O40" s="35">
        <v>14891.7</v>
      </c>
      <c r="P40" s="4">
        <f t="shared" si="27"/>
        <v>0.71278754750576767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82">
        <v>164820</v>
      </c>
      <c r="W40" s="82">
        <v>177443</v>
      </c>
      <c r="X40" s="4">
        <f t="shared" si="28"/>
        <v>1.0765865792986289</v>
      </c>
      <c r="Y40" s="5">
        <v>5</v>
      </c>
      <c r="Z40" s="5">
        <v>1572</v>
      </c>
      <c r="AA40" s="5">
        <v>1601</v>
      </c>
      <c r="AB40" s="4">
        <f t="shared" si="29"/>
        <v>1.0184478371501273</v>
      </c>
      <c r="AC40" s="5">
        <v>20</v>
      </c>
      <c r="AD40" s="79">
        <v>1300</v>
      </c>
      <c r="AE40" s="79">
        <v>1418.2</v>
      </c>
      <c r="AF40" s="4">
        <f t="shared" si="30"/>
        <v>1.0909230769230769</v>
      </c>
      <c r="AG40" s="5">
        <v>10</v>
      </c>
      <c r="AH40" s="79">
        <v>314</v>
      </c>
      <c r="AI40" s="79">
        <v>374.2</v>
      </c>
      <c r="AJ40" s="4">
        <f t="shared" si="31"/>
        <v>1.19171974522293</v>
      </c>
      <c r="AK40" s="5">
        <v>10</v>
      </c>
      <c r="AL40" s="5">
        <v>305</v>
      </c>
      <c r="AM40" s="5">
        <v>305</v>
      </c>
      <c r="AN40" s="4">
        <f t="shared" si="7"/>
        <v>1</v>
      </c>
      <c r="AO40" s="5">
        <v>15</v>
      </c>
      <c r="AP40" s="43">
        <f t="shared" si="32"/>
        <v>0.99384685211383139</v>
      </c>
      <c r="AQ40" s="44">
        <v>18020</v>
      </c>
      <c r="AR40" s="35">
        <f t="shared" si="9"/>
        <v>4914.545454545455</v>
      </c>
      <c r="AS40" s="35">
        <f t="shared" si="10"/>
        <v>4884.3</v>
      </c>
      <c r="AT40" s="35">
        <f t="shared" si="11"/>
        <v>-30.245454545454777</v>
      </c>
      <c r="AU40" s="35">
        <v>1730.3</v>
      </c>
      <c r="AV40" s="35">
        <v>1067</v>
      </c>
      <c r="AW40" s="35"/>
      <c r="AX40" s="35">
        <f t="shared" si="33"/>
        <v>2087</v>
      </c>
      <c r="AY40" s="35"/>
      <c r="AZ40" s="35">
        <f t="shared" si="13"/>
        <v>2087</v>
      </c>
      <c r="BA40" s="35">
        <v>77.099999999999994</v>
      </c>
      <c r="BB40" s="35">
        <f t="shared" si="14"/>
        <v>2164.1</v>
      </c>
      <c r="BC40" s="35"/>
      <c r="BD40" s="35">
        <f t="shared" si="15"/>
        <v>2164.1</v>
      </c>
      <c r="BE40" s="35">
        <v>2114</v>
      </c>
      <c r="BF40" s="35">
        <f t="shared" si="16"/>
        <v>50.1</v>
      </c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2" customFormat="1" ht="17.149999999999999" customHeight="1">
      <c r="A41" s="13" t="s">
        <v>31</v>
      </c>
      <c r="B41" s="63">
        <v>580830</v>
      </c>
      <c r="C41" s="63">
        <v>705374.7</v>
      </c>
      <c r="D41" s="4">
        <f t="shared" si="24"/>
        <v>1.2014425391250452</v>
      </c>
      <c r="E41" s="11">
        <v>5</v>
      </c>
      <c r="F41" s="57">
        <v>104.2</v>
      </c>
      <c r="G41" s="57">
        <v>106.4</v>
      </c>
      <c r="H41" s="4">
        <f t="shared" si="25"/>
        <v>1.0211132437619961</v>
      </c>
      <c r="I41" s="11">
        <v>5</v>
      </c>
      <c r="J41" s="44">
        <v>240</v>
      </c>
      <c r="K41" s="44">
        <v>214</v>
      </c>
      <c r="L41" s="4">
        <f t="shared" si="26"/>
        <v>1.1214953271028036</v>
      </c>
      <c r="M41" s="11">
        <v>10</v>
      </c>
      <c r="N41" s="35">
        <v>25394.400000000001</v>
      </c>
      <c r="O41" s="35">
        <v>27022.799999999999</v>
      </c>
      <c r="P41" s="4">
        <f t="shared" si="27"/>
        <v>1.0641243738777053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82">
        <v>350609</v>
      </c>
      <c r="W41" s="82">
        <v>341231</v>
      </c>
      <c r="X41" s="4">
        <f t="shared" si="28"/>
        <v>0.97325225536138549</v>
      </c>
      <c r="Y41" s="5">
        <v>5</v>
      </c>
      <c r="Z41" s="5">
        <v>6582</v>
      </c>
      <c r="AA41" s="5">
        <v>6588</v>
      </c>
      <c r="AB41" s="4">
        <f t="shared" si="29"/>
        <v>1.0009115770282588</v>
      </c>
      <c r="AC41" s="5">
        <v>10</v>
      </c>
      <c r="AD41" s="79">
        <v>6500</v>
      </c>
      <c r="AE41" s="79">
        <v>7237.5</v>
      </c>
      <c r="AF41" s="4">
        <f t="shared" si="30"/>
        <v>1.1134615384615385</v>
      </c>
      <c r="AG41" s="5">
        <v>20</v>
      </c>
      <c r="AH41" s="79">
        <v>1100</v>
      </c>
      <c r="AI41" s="79">
        <v>1337.1</v>
      </c>
      <c r="AJ41" s="4">
        <f t="shared" si="31"/>
        <v>1.2015545454545453</v>
      </c>
      <c r="AK41" s="5">
        <v>5</v>
      </c>
      <c r="AL41" s="5">
        <v>305</v>
      </c>
      <c r="AM41" s="5">
        <v>572</v>
      </c>
      <c r="AN41" s="4">
        <f t="shared" si="7"/>
        <v>1.2675409836065574</v>
      </c>
      <c r="AO41" s="5">
        <v>15</v>
      </c>
      <c r="AP41" s="43">
        <f t="shared" si="32"/>
        <v>1.1134285785337759</v>
      </c>
      <c r="AQ41" s="44">
        <v>32017</v>
      </c>
      <c r="AR41" s="35">
        <f t="shared" si="9"/>
        <v>8731.9090909090901</v>
      </c>
      <c r="AS41" s="35">
        <f t="shared" si="10"/>
        <v>9722.4</v>
      </c>
      <c r="AT41" s="35">
        <f t="shared" si="11"/>
        <v>990.49090909090955</v>
      </c>
      <c r="AU41" s="35">
        <v>2771.7</v>
      </c>
      <c r="AV41" s="35">
        <v>2951.7</v>
      </c>
      <c r="AW41" s="35"/>
      <c r="AX41" s="35">
        <f t="shared" si="33"/>
        <v>3999</v>
      </c>
      <c r="AY41" s="35"/>
      <c r="AZ41" s="35">
        <f t="shared" si="13"/>
        <v>3999</v>
      </c>
      <c r="BA41" s="35">
        <v>12.9</v>
      </c>
      <c r="BB41" s="35">
        <f t="shared" si="14"/>
        <v>4011.9</v>
      </c>
      <c r="BC41" s="35"/>
      <c r="BD41" s="35">
        <f t="shared" si="15"/>
        <v>4011.9</v>
      </c>
      <c r="BE41" s="35">
        <v>3868.5</v>
      </c>
      <c r="BF41" s="35">
        <f t="shared" si="16"/>
        <v>143.4</v>
      </c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2" customFormat="1" ht="17.149999999999999" customHeight="1">
      <c r="A42" s="13" t="s">
        <v>32</v>
      </c>
      <c r="B42" s="63">
        <v>46559</v>
      </c>
      <c r="C42" s="63">
        <v>48560.800000000003</v>
      </c>
      <c r="D42" s="4">
        <f t="shared" si="24"/>
        <v>1.0429949096844864</v>
      </c>
      <c r="E42" s="11">
        <v>5</v>
      </c>
      <c r="F42" s="57">
        <v>102.5</v>
      </c>
      <c r="G42" s="57">
        <v>104.1</v>
      </c>
      <c r="H42" s="4">
        <f t="shared" si="25"/>
        <v>1.015609756097561</v>
      </c>
      <c r="I42" s="11">
        <v>5</v>
      </c>
      <c r="J42" s="44">
        <v>200</v>
      </c>
      <c r="K42" s="44">
        <v>182</v>
      </c>
      <c r="L42" s="4">
        <f t="shared" si="26"/>
        <v>1.098901098901099</v>
      </c>
      <c r="M42" s="11">
        <v>15</v>
      </c>
      <c r="N42" s="35">
        <v>21218.799999999999</v>
      </c>
      <c r="O42" s="35">
        <v>27614.799999999999</v>
      </c>
      <c r="P42" s="4">
        <f t="shared" si="27"/>
        <v>1.2101430806643165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63">
        <v>148371.6</v>
      </c>
      <c r="W42" s="82">
        <v>156929</v>
      </c>
      <c r="X42" s="4">
        <f t="shared" si="28"/>
        <v>1.057675458106538</v>
      </c>
      <c r="Y42" s="5">
        <v>5</v>
      </c>
      <c r="Z42" s="5">
        <v>3331</v>
      </c>
      <c r="AA42" s="5">
        <v>3468</v>
      </c>
      <c r="AB42" s="4">
        <f t="shared" si="29"/>
        <v>1.0411287901531072</v>
      </c>
      <c r="AC42" s="5">
        <v>10</v>
      </c>
      <c r="AD42" s="79">
        <v>3395</v>
      </c>
      <c r="AE42" s="79">
        <v>3130</v>
      </c>
      <c r="AF42" s="4">
        <f t="shared" si="30"/>
        <v>0.92194403534609726</v>
      </c>
      <c r="AG42" s="5">
        <v>10</v>
      </c>
      <c r="AH42" s="79">
        <v>589</v>
      </c>
      <c r="AI42" s="79">
        <v>812</v>
      </c>
      <c r="AJ42" s="4">
        <f t="shared" si="31"/>
        <v>1.2178607809847197</v>
      </c>
      <c r="AK42" s="5">
        <v>10</v>
      </c>
      <c r="AL42" s="5">
        <v>305</v>
      </c>
      <c r="AM42" s="5">
        <v>621</v>
      </c>
      <c r="AN42" s="4">
        <f t="shared" si="7"/>
        <v>1.2836065573770492</v>
      </c>
      <c r="AO42" s="5">
        <v>15</v>
      </c>
      <c r="AP42" s="43">
        <f t="shared" si="32"/>
        <v>1.1298022435972706</v>
      </c>
      <c r="AQ42" s="44">
        <v>29656</v>
      </c>
      <c r="AR42" s="35">
        <f t="shared" si="9"/>
        <v>8088</v>
      </c>
      <c r="AS42" s="35">
        <f t="shared" si="10"/>
        <v>9137.7999999999993</v>
      </c>
      <c r="AT42" s="35">
        <f t="shared" si="11"/>
        <v>1049.7999999999993</v>
      </c>
      <c r="AU42" s="35">
        <v>2681.7</v>
      </c>
      <c r="AV42" s="35">
        <v>2689</v>
      </c>
      <c r="AW42" s="35"/>
      <c r="AX42" s="35">
        <f t="shared" si="33"/>
        <v>3767.1</v>
      </c>
      <c r="AY42" s="35"/>
      <c r="AZ42" s="35">
        <f t="shared" si="13"/>
        <v>3767.1</v>
      </c>
      <c r="BA42" s="35">
        <v>-3.9</v>
      </c>
      <c r="BB42" s="35">
        <f t="shared" si="14"/>
        <v>3763.2</v>
      </c>
      <c r="BC42" s="35"/>
      <c r="BD42" s="35">
        <f t="shared" si="15"/>
        <v>3763.2</v>
      </c>
      <c r="BE42" s="35">
        <v>3604.3</v>
      </c>
      <c r="BF42" s="35">
        <f t="shared" si="16"/>
        <v>158.9</v>
      </c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2" customFormat="1" ht="17.149999999999999" customHeight="1">
      <c r="A43" s="13" t="s">
        <v>1</v>
      </c>
      <c r="B43" s="63">
        <v>1420406</v>
      </c>
      <c r="C43" s="63">
        <v>1569980.7</v>
      </c>
      <c r="D43" s="4">
        <f t="shared" si="24"/>
        <v>1.105304187675918</v>
      </c>
      <c r="E43" s="11">
        <v>5</v>
      </c>
      <c r="F43" s="57">
        <v>103.1</v>
      </c>
      <c r="G43" s="57">
        <v>103.5</v>
      </c>
      <c r="H43" s="4">
        <f t="shared" si="25"/>
        <v>1.0038797284190106</v>
      </c>
      <c r="I43" s="11">
        <v>5</v>
      </c>
      <c r="J43" s="44">
        <v>350</v>
      </c>
      <c r="K43" s="44">
        <v>247</v>
      </c>
      <c r="L43" s="4">
        <f t="shared" si="26"/>
        <v>1.2217004048582996</v>
      </c>
      <c r="M43" s="11">
        <v>10</v>
      </c>
      <c r="N43" s="35">
        <v>95414.5</v>
      </c>
      <c r="O43" s="35">
        <v>97265.9</v>
      </c>
      <c r="P43" s="4">
        <f t="shared" si="27"/>
        <v>1.019403759386676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82">
        <v>1171178</v>
      </c>
      <c r="W43" s="82">
        <v>1077164</v>
      </c>
      <c r="X43" s="4">
        <f t="shared" si="28"/>
        <v>0.91972697574578754</v>
      </c>
      <c r="Y43" s="5">
        <v>5</v>
      </c>
      <c r="Z43" s="5">
        <v>4441</v>
      </c>
      <c r="AA43" s="5">
        <v>4897</v>
      </c>
      <c r="AB43" s="4">
        <f t="shared" si="29"/>
        <v>1.1026795766719208</v>
      </c>
      <c r="AC43" s="5">
        <v>10</v>
      </c>
      <c r="AD43" s="79">
        <v>3550</v>
      </c>
      <c r="AE43" s="79">
        <v>4410.8999999999996</v>
      </c>
      <c r="AF43" s="4">
        <f t="shared" si="30"/>
        <v>1.2042507042253521</v>
      </c>
      <c r="AG43" s="5">
        <v>15</v>
      </c>
      <c r="AH43" s="79">
        <v>1340</v>
      </c>
      <c r="AI43" s="79">
        <v>1073.5</v>
      </c>
      <c r="AJ43" s="4">
        <f t="shared" si="31"/>
        <v>0.80111940298507467</v>
      </c>
      <c r="AK43" s="5">
        <v>10</v>
      </c>
      <c r="AL43" s="5">
        <v>305</v>
      </c>
      <c r="AM43" s="5">
        <v>847</v>
      </c>
      <c r="AN43" s="4">
        <f t="shared" si="7"/>
        <v>1.3</v>
      </c>
      <c r="AO43" s="5">
        <v>15</v>
      </c>
      <c r="AP43" s="43">
        <f t="shared" si="32"/>
        <v>1.0984356216365299</v>
      </c>
      <c r="AQ43" s="44">
        <v>50768</v>
      </c>
      <c r="AR43" s="35">
        <f t="shared" si="9"/>
        <v>13845.81818181818</v>
      </c>
      <c r="AS43" s="35">
        <f t="shared" si="10"/>
        <v>15208.7</v>
      </c>
      <c r="AT43" s="35">
        <f t="shared" si="11"/>
        <v>1362.8818181818206</v>
      </c>
      <c r="AU43" s="35">
        <v>4956.5</v>
      </c>
      <c r="AV43" s="35">
        <v>4846.7</v>
      </c>
      <c r="AW43" s="35"/>
      <c r="AX43" s="35">
        <f t="shared" si="33"/>
        <v>5405.5</v>
      </c>
      <c r="AY43" s="35"/>
      <c r="AZ43" s="35">
        <f t="shared" si="13"/>
        <v>5405.5</v>
      </c>
      <c r="BA43" s="35">
        <v>-34.1</v>
      </c>
      <c r="BB43" s="35">
        <f t="shared" si="14"/>
        <v>5371.4</v>
      </c>
      <c r="BC43" s="35"/>
      <c r="BD43" s="35">
        <f t="shared" si="15"/>
        <v>5371.4</v>
      </c>
      <c r="BE43" s="35">
        <v>5043.7</v>
      </c>
      <c r="BF43" s="35">
        <f t="shared" si="16"/>
        <v>327.7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2" customFormat="1" ht="17.149999999999999" customHeight="1">
      <c r="A44" s="13" t="s">
        <v>33</v>
      </c>
      <c r="B44" s="63">
        <v>3297816</v>
      </c>
      <c r="C44" s="63">
        <v>3292756.3</v>
      </c>
      <c r="D44" s="4">
        <f t="shared" si="24"/>
        <v>0.99846574217603401</v>
      </c>
      <c r="E44" s="11">
        <v>5</v>
      </c>
      <c r="F44" s="57">
        <v>106.6</v>
      </c>
      <c r="G44" s="57">
        <v>107.2</v>
      </c>
      <c r="H44" s="4">
        <f t="shared" si="25"/>
        <v>1.0056285178236399</v>
      </c>
      <c r="I44" s="11">
        <v>5</v>
      </c>
      <c r="J44" s="44">
        <v>270</v>
      </c>
      <c r="K44" s="44">
        <v>258</v>
      </c>
      <c r="L44" s="4">
        <f t="shared" si="26"/>
        <v>1.0465116279069768</v>
      </c>
      <c r="M44" s="11">
        <v>10</v>
      </c>
      <c r="N44" s="35">
        <v>51580.9</v>
      </c>
      <c r="O44" s="35">
        <v>46660.7</v>
      </c>
      <c r="P44" s="4">
        <f t="shared" si="27"/>
        <v>0.90461197846489683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82">
        <v>429469</v>
      </c>
      <c r="W44" s="82">
        <v>452351</v>
      </c>
      <c r="X44" s="4">
        <f t="shared" si="28"/>
        <v>1.0532797477815627</v>
      </c>
      <c r="Y44" s="5">
        <v>5</v>
      </c>
      <c r="Z44" s="5">
        <v>1956</v>
      </c>
      <c r="AA44" s="5">
        <v>2014</v>
      </c>
      <c r="AB44" s="4">
        <f t="shared" si="29"/>
        <v>1.0296523517382412</v>
      </c>
      <c r="AC44" s="5">
        <v>15</v>
      </c>
      <c r="AD44" s="79">
        <v>1986</v>
      </c>
      <c r="AE44" s="79">
        <v>1852</v>
      </c>
      <c r="AF44" s="4">
        <f t="shared" si="30"/>
        <v>0.93252769385699896</v>
      </c>
      <c r="AG44" s="5">
        <v>10</v>
      </c>
      <c r="AH44" s="79">
        <v>390</v>
      </c>
      <c r="AI44" s="79">
        <v>627.20000000000005</v>
      </c>
      <c r="AJ44" s="4">
        <f t="shared" si="31"/>
        <v>1.2408205128205128</v>
      </c>
      <c r="AK44" s="5">
        <v>10</v>
      </c>
      <c r="AL44" s="5">
        <v>305</v>
      </c>
      <c r="AM44" s="5">
        <v>391</v>
      </c>
      <c r="AN44" s="4">
        <f t="shared" si="7"/>
        <v>1.2081967213114755</v>
      </c>
      <c r="AO44" s="5">
        <v>15</v>
      </c>
      <c r="AP44" s="43">
        <f t="shared" si="32"/>
        <v>1.0436362531557342</v>
      </c>
      <c r="AQ44" s="44">
        <v>27491</v>
      </c>
      <c r="AR44" s="35">
        <f t="shared" si="9"/>
        <v>7497.545454545454</v>
      </c>
      <c r="AS44" s="35">
        <f t="shared" si="10"/>
        <v>7824.7</v>
      </c>
      <c r="AT44" s="35">
        <f t="shared" si="11"/>
        <v>327.15454545454577</v>
      </c>
      <c r="AU44" s="35">
        <v>2838.1</v>
      </c>
      <c r="AV44" s="35">
        <v>2258</v>
      </c>
      <c r="AW44" s="35"/>
      <c r="AX44" s="35">
        <f t="shared" si="33"/>
        <v>2728.6</v>
      </c>
      <c r="AY44" s="35"/>
      <c r="AZ44" s="35">
        <f t="shared" si="13"/>
        <v>2728.6</v>
      </c>
      <c r="BA44" s="35">
        <v>23.1</v>
      </c>
      <c r="BB44" s="35">
        <f t="shared" si="14"/>
        <v>2751.7</v>
      </c>
      <c r="BC44" s="35"/>
      <c r="BD44" s="35">
        <f t="shared" si="15"/>
        <v>2751.7</v>
      </c>
      <c r="BE44" s="35">
        <v>2502.5</v>
      </c>
      <c r="BF44" s="35">
        <f t="shared" si="16"/>
        <v>249.2</v>
      </c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2" customFormat="1" ht="17.149999999999999" customHeight="1">
      <c r="A45" s="13" t="s">
        <v>34</v>
      </c>
      <c r="B45" s="63">
        <v>595423</v>
      </c>
      <c r="C45" s="63">
        <v>354089.4</v>
      </c>
      <c r="D45" s="4">
        <f t="shared" si="24"/>
        <v>0.59468545890904456</v>
      </c>
      <c r="E45" s="11">
        <v>5</v>
      </c>
      <c r="F45" s="57">
        <v>104.6</v>
      </c>
      <c r="G45" s="57">
        <v>99.7</v>
      </c>
      <c r="H45" s="4">
        <f t="shared" si="25"/>
        <v>0.95315487571701729</v>
      </c>
      <c r="I45" s="11">
        <v>5</v>
      </c>
      <c r="J45" s="44">
        <v>320</v>
      </c>
      <c r="K45" s="44">
        <v>249</v>
      </c>
      <c r="L45" s="4">
        <f t="shared" si="26"/>
        <v>1.2085140562248995</v>
      </c>
      <c r="M45" s="11">
        <v>15</v>
      </c>
      <c r="N45" s="35">
        <v>18510.8</v>
      </c>
      <c r="O45" s="35">
        <v>21144.2</v>
      </c>
      <c r="P45" s="4">
        <f t="shared" si="27"/>
        <v>1.1422628951747089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82">
        <v>205000</v>
      </c>
      <c r="W45" s="82">
        <v>191180</v>
      </c>
      <c r="X45" s="4">
        <f t="shared" si="28"/>
        <v>0.93258536585365859</v>
      </c>
      <c r="Y45" s="5">
        <v>5</v>
      </c>
      <c r="Z45" s="5">
        <v>2014</v>
      </c>
      <c r="AA45" s="5">
        <v>2025</v>
      </c>
      <c r="AB45" s="4">
        <f t="shared" si="29"/>
        <v>1.0054617676266138</v>
      </c>
      <c r="AC45" s="5">
        <v>20</v>
      </c>
      <c r="AD45" s="79">
        <v>1500</v>
      </c>
      <c r="AE45" s="79">
        <v>1564</v>
      </c>
      <c r="AF45" s="4">
        <f t="shared" si="30"/>
        <v>1.0426666666666666</v>
      </c>
      <c r="AG45" s="5">
        <v>10</v>
      </c>
      <c r="AH45" s="79">
        <v>705</v>
      </c>
      <c r="AI45" s="79">
        <v>688.9</v>
      </c>
      <c r="AJ45" s="4">
        <f t="shared" si="31"/>
        <v>0.97716312056737586</v>
      </c>
      <c r="AK45" s="5">
        <v>5</v>
      </c>
      <c r="AL45" s="5">
        <v>305</v>
      </c>
      <c r="AM45" s="5">
        <v>94</v>
      </c>
      <c r="AN45" s="4">
        <f t="shared" si="7"/>
        <v>0.30819672131147541</v>
      </c>
      <c r="AO45" s="5">
        <v>15</v>
      </c>
      <c r="AP45" s="43">
        <f t="shared" si="32"/>
        <v>0.93419765690974221</v>
      </c>
      <c r="AQ45" s="44">
        <v>31399</v>
      </c>
      <c r="AR45" s="35">
        <f t="shared" si="9"/>
        <v>8563.363636363636</v>
      </c>
      <c r="AS45" s="35">
        <f t="shared" si="10"/>
        <v>7999.9</v>
      </c>
      <c r="AT45" s="35">
        <f t="shared" si="11"/>
        <v>-563.4636363636364</v>
      </c>
      <c r="AU45" s="35">
        <v>2878.8</v>
      </c>
      <c r="AV45" s="35">
        <v>2451.4</v>
      </c>
      <c r="AW45" s="35"/>
      <c r="AX45" s="35">
        <f t="shared" si="33"/>
        <v>2669.7</v>
      </c>
      <c r="AY45" s="35"/>
      <c r="AZ45" s="35">
        <f t="shared" si="13"/>
        <v>2669.7</v>
      </c>
      <c r="BA45" s="35">
        <v>34.200000000000003</v>
      </c>
      <c r="BB45" s="35">
        <f t="shared" si="14"/>
        <v>2703.9</v>
      </c>
      <c r="BC45" s="35"/>
      <c r="BD45" s="35">
        <f t="shared" si="15"/>
        <v>2703.9</v>
      </c>
      <c r="BE45" s="35">
        <v>3766.1</v>
      </c>
      <c r="BF45" s="35">
        <f t="shared" si="16"/>
        <v>-1062.2</v>
      </c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2" customFormat="1" ht="17.149999999999999" customHeight="1">
      <c r="A46" s="13" t="s">
        <v>35</v>
      </c>
      <c r="B46" s="63">
        <v>46740</v>
      </c>
      <c r="C46" s="63">
        <v>50679.1</v>
      </c>
      <c r="D46" s="4">
        <f t="shared" si="24"/>
        <v>1.0842768506632434</v>
      </c>
      <c r="E46" s="11">
        <v>5</v>
      </c>
      <c r="F46" s="57">
        <v>106.5</v>
      </c>
      <c r="G46" s="57">
        <v>98.6</v>
      </c>
      <c r="H46" s="4">
        <f t="shared" si="25"/>
        <v>0.92582159624413141</v>
      </c>
      <c r="I46" s="11">
        <v>5</v>
      </c>
      <c r="J46" s="44">
        <v>260</v>
      </c>
      <c r="K46" s="44">
        <v>243</v>
      </c>
      <c r="L46" s="4">
        <f t="shared" si="26"/>
        <v>1.0699588477366255</v>
      </c>
      <c r="M46" s="11">
        <v>15</v>
      </c>
      <c r="N46" s="35">
        <v>23847.4</v>
      </c>
      <c r="O46" s="35">
        <v>26454.400000000001</v>
      </c>
      <c r="P46" s="4">
        <f t="shared" si="27"/>
        <v>1.1093200935951089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82">
        <v>94934</v>
      </c>
      <c r="W46" s="82">
        <v>99720</v>
      </c>
      <c r="X46" s="4">
        <f t="shared" si="28"/>
        <v>1.0504139718119958</v>
      </c>
      <c r="Y46" s="5">
        <v>5</v>
      </c>
      <c r="Z46" s="5">
        <v>5000</v>
      </c>
      <c r="AA46" s="5">
        <v>5060</v>
      </c>
      <c r="AB46" s="4">
        <f t="shared" si="29"/>
        <v>1.012</v>
      </c>
      <c r="AC46" s="5">
        <v>15</v>
      </c>
      <c r="AD46" s="79">
        <v>4896.3999999999996</v>
      </c>
      <c r="AE46" s="79">
        <v>5031.2</v>
      </c>
      <c r="AF46" s="4">
        <f t="shared" si="30"/>
        <v>1.0275304305203823</v>
      </c>
      <c r="AG46" s="5">
        <v>15</v>
      </c>
      <c r="AH46" s="79">
        <v>2057.6</v>
      </c>
      <c r="AI46" s="79">
        <v>2289.1999999999998</v>
      </c>
      <c r="AJ46" s="4">
        <f t="shared" si="31"/>
        <v>1.1125583203732503</v>
      </c>
      <c r="AK46" s="5">
        <v>10</v>
      </c>
      <c r="AL46" s="5">
        <v>305</v>
      </c>
      <c r="AM46" s="5">
        <v>521</v>
      </c>
      <c r="AN46" s="4">
        <f t="shared" si="7"/>
        <v>1.2508196721311475</v>
      </c>
      <c r="AO46" s="5">
        <v>15</v>
      </c>
      <c r="AP46" s="43">
        <f t="shared" si="32"/>
        <v>1.0858969659528939</v>
      </c>
      <c r="AQ46" s="44">
        <v>39368</v>
      </c>
      <c r="AR46" s="35">
        <f t="shared" si="9"/>
        <v>10736.727272727272</v>
      </c>
      <c r="AS46" s="35">
        <f t="shared" si="10"/>
        <v>11659</v>
      </c>
      <c r="AT46" s="35">
        <f t="shared" si="11"/>
        <v>922.27272727272793</v>
      </c>
      <c r="AU46" s="35">
        <v>3663</v>
      </c>
      <c r="AV46" s="35">
        <v>3707.3</v>
      </c>
      <c r="AW46" s="35"/>
      <c r="AX46" s="35">
        <f t="shared" si="33"/>
        <v>4288.7</v>
      </c>
      <c r="AY46" s="35"/>
      <c r="AZ46" s="35">
        <f t="shared" si="13"/>
        <v>4288.7</v>
      </c>
      <c r="BA46" s="35">
        <v>-37.1</v>
      </c>
      <c r="BB46" s="35">
        <f t="shared" si="14"/>
        <v>4251.6000000000004</v>
      </c>
      <c r="BC46" s="35"/>
      <c r="BD46" s="35">
        <f t="shared" si="15"/>
        <v>4251.6000000000004</v>
      </c>
      <c r="BE46" s="35">
        <v>4050.8</v>
      </c>
      <c r="BF46" s="35">
        <f t="shared" si="16"/>
        <v>200.8</v>
      </c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ht="17.149999999999999" customHeight="1">
      <c r="A47" s="13" t="s">
        <v>36</v>
      </c>
      <c r="B47" s="63">
        <v>46729</v>
      </c>
      <c r="C47" s="63">
        <v>45501.1</v>
      </c>
      <c r="D47" s="4">
        <f t="shared" si="24"/>
        <v>0.97372295576622647</v>
      </c>
      <c r="E47" s="11">
        <v>5</v>
      </c>
      <c r="F47" s="57">
        <v>102.6</v>
      </c>
      <c r="G47" s="57">
        <v>105.5</v>
      </c>
      <c r="H47" s="4">
        <f t="shared" si="25"/>
        <v>1.0282651072124758</v>
      </c>
      <c r="I47" s="11">
        <v>5</v>
      </c>
      <c r="J47" s="44">
        <v>480</v>
      </c>
      <c r="K47" s="44">
        <v>480</v>
      </c>
      <c r="L47" s="4">
        <f t="shared" si="26"/>
        <v>1</v>
      </c>
      <c r="M47" s="11">
        <v>15</v>
      </c>
      <c r="N47" s="35">
        <v>23495.3</v>
      </c>
      <c r="O47" s="35">
        <v>26290.7</v>
      </c>
      <c r="P47" s="4">
        <f t="shared" si="27"/>
        <v>1.1189769868867392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82">
        <v>331008</v>
      </c>
      <c r="W47" s="82">
        <v>359926</v>
      </c>
      <c r="X47" s="4">
        <f t="shared" si="28"/>
        <v>1.087363447409126</v>
      </c>
      <c r="Y47" s="5">
        <v>5</v>
      </c>
      <c r="Z47" s="5">
        <v>3234</v>
      </c>
      <c r="AA47" s="5">
        <v>3466</v>
      </c>
      <c r="AB47" s="4">
        <f t="shared" si="29"/>
        <v>1.0717377860235002</v>
      </c>
      <c r="AC47" s="5">
        <v>20</v>
      </c>
      <c r="AD47" s="79">
        <v>1800</v>
      </c>
      <c r="AE47" s="79">
        <v>2012.4</v>
      </c>
      <c r="AF47" s="4">
        <f t="shared" si="30"/>
        <v>1.1180000000000001</v>
      </c>
      <c r="AG47" s="5">
        <v>15</v>
      </c>
      <c r="AH47" s="79">
        <v>920</v>
      </c>
      <c r="AI47" s="79">
        <v>1138.5999999999999</v>
      </c>
      <c r="AJ47" s="4">
        <f t="shared" si="31"/>
        <v>1.2037608695652173</v>
      </c>
      <c r="AK47" s="5">
        <v>10</v>
      </c>
      <c r="AL47" s="5">
        <v>305</v>
      </c>
      <c r="AM47" s="5">
        <v>325</v>
      </c>
      <c r="AN47" s="4">
        <f t="shared" si="7"/>
        <v>1.0655737704918034</v>
      </c>
      <c r="AO47" s="5">
        <v>15</v>
      </c>
      <c r="AP47" s="43">
        <f t="shared" si="32"/>
        <v>1.0822933478470289</v>
      </c>
      <c r="AQ47" s="44">
        <v>42932</v>
      </c>
      <c r="AR47" s="35">
        <f t="shared" si="9"/>
        <v>11708.727272727272</v>
      </c>
      <c r="AS47" s="35">
        <f t="shared" si="10"/>
        <v>12672.3</v>
      </c>
      <c r="AT47" s="35">
        <f t="shared" si="11"/>
        <v>963.57272727272721</v>
      </c>
      <c r="AU47" s="35">
        <v>3909.5</v>
      </c>
      <c r="AV47" s="35">
        <v>4159.5</v>
      </c>
      <c r="AW47" s="35"/>
      <c r="AX47" s="35">
        <f t="shared" si="33"/>
        <v>4603.3</v>
      </c>
      <c r="AY47" s="35"/>
      <c r="AZ47" s="35">
        <f t="shared" si="13"/>
        <v>4603.3</v>
      </c>
      <c r="BA47" s="35">
        <v>-20.9</v>
      </c>
      <c r="BB47" s="35">
        <f t="shared" si="14"/>
        <v>4582.3999999999996</v>
      </c>
      <c r="BC47" s="35"/>
      <c r="BD47" s="35">
        <f t="shared" si="15"/>
        <v>4582.3999999999996</v>
      </c>
      <c r="BE47" s="35">
        <v>4650.6000000000004</v>
      </c>
      <c r="BF47" s="35">
        <f t="shared" si="16"/>
        <v>-68.2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ht="17.149999999999999" customHeight="1">
      <c r="A48" s="13" t="s">
        <v>37</v>
      </c>
      <c r="B48" s="63">
        <v>362248</v>
      </c>
      <c r="C48" s="63">
        <v>357760.2</v>
      </c>
      <c r="D48" s="4">
        <f t="shared" si="24"/>
        <v>0.98761124975155146</v>
      </c>
      <c r="E48" s="11">
        <v>5</v>
      </c>
      <c r="F48" s="57">
        <v>107</v>
      </c>
      <c r="G48" s="57">
        <v>108.2</v>
      </c>
      <c r="H48" s="4">
        <f t="shared" si="25"/>
        <v>1.0112149532710282</v>
      </c>
      <c r="I48" s="11">
        <v>5</v>
      </c>
      <c r="J48" s="44">
        <v>385</v>
      </c>
      <c r="K48" s="44">
        <v>394</v>
      </c>
      <c r="L48" s="4">
        <f t="shared" si="26"/>
        <v>0.97715736040609136</v>
      </c>
      <c r="M48" s="11">
        <v>10</v>
      </c>
      <c r="N48" s="35">
        <v>83547.7</v>
      </c>
      <c r="O48" s="35">
        <v>85875.5</v>
      </c>
      <c r="P48" s="4">
        <f t="shared" si="27"/>
        <v>1.0278619279764734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82">
        <v>570349</v>
      </c>
      <c r="W48" s="82">
        <v>653331</v>
      </c>
      <c r="X48" s="4">
        <f t="shared" si="28"/>
        <v>1.1454933733556121</v>
      </c>
      <c r="Y48" s="5">
        <v>5</v>
      </c>
      <c r="Z48" s="5">
        <v>2938</v>
      </c>
      <c r="AA48" s="5">
        <v>3052</v>
      </c>
      <c r="AB48" s="4">
        <f t="shared" si="29"/>
        <v>1.0388019060585432</v>
      </c>
      <c r="AC48" s="5">
        <v>15</v>
      </c>
      <c r="AD48" s="79">
        <v>2153.1</v>
      </c>
      <c r="AE48" s="79">
        <v>2406.5</v>
      </c>
      <c r="AF48" s="4">
        <f t="shared" si="30"/>
        <v>1.1176907714458224</v>
      </c>
      <c r="AG48" s="5">
        <v>10</v>
      </c>
      <c r="AH48" s="79">
        <v>598.79999999999995</v>
      </c>
      <c r="AI48" s="79">
        <v>810.6</v>
      </c>
      <c r="AJ48" s="4">
        <f t="shared" si="31"/>
        <v>1.215370741482966</v>
      </c>
      <c r="AK48" s="5">
        <v>5</v>
      </c>
      <c r="AL48" s="5">
        <v>305</v>
      </c>
      <c r="AM48" s="5">
        <v>319</v>
      </c>
      <c r="AN48" s="4">
        <f t="shared" si="7"/>
        <v>1.0459016393442624</v>
      </c>
      <c r="AO48" s="5">
        <v>15</v>
      </c>
      <c r="AP48" s="43">
        <f t="shared" si="32"/>
        <v>1.050830273871072</v>
      </c>
      <c r="AQ48" s="44">
        <v>33960</v>
      </c>
      <c r="AR48" s="35">
        <f t="shared" si="9"/>
        <v>9261.818181818182</v>
      </c>
      <c r="AS48" s="35">
        <f t="shared" si="10"/>
        <v>9732.6</v>
      </c>
      <c r="AT48" s="35">
        <f t="shared" si="11"/>
        <v>470.78181818181838</v>
      </c>
      <c r="AU48" s="35">
        <v>2766.4</v>
      </c>
      <c r="AV48" s="35">
        <v>3483.4</v>
      </c>
      <c r="AW48" s="35"/>
      <c r="AX48" s="35">
        <f t="shared" si="33"/>
        <v>3482.8</v>
      </c>
      <c r="AY48" s="35"/>
      <c r="AZ48" s="35">
        <f t="shared" si="13"/>
        <v>3482.8</v>
      </c>
      <c r="BA48" s="35">
        <v>-28.7</v>
      </c>
      <c r="BB48" s="35">
        <f t="shared" si="14"/>
        <v>3454.1</v>
      </c>
      <c r="BC48" s="35"/>
      <c r="BD48" s="35">
        <f t="shared" si="15"/>
        <v>3454.1</v>
      </c>
      <c r="BE48" s="35">
        <v>3425.4</v>
      </c>
      <c r="BF48" s="35">
        <f t="shared" si="16"/>
        <v>28.7</v>
      </c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210" s="2" customFormat="1" ht="17.149999999999999" customHeight="1">
      <c r="A49" s="13" t="s">
        <v>38</v>
      </c>
      <c r="B49" s="63">
        <v>3649246</v>
      </c>
      <c r="C49" s="63">
        <v>4546392.5</v>
      </c>
      <c r="D49" s="4">
        <f t="shared" si="24"/>
        <v>1.2045844347024015</v>
      </c>
      <c r="E49" s="11">
        <v>5</v>
      </c>
      <c r="F49" s="57">
        <v>105.2</v>
      </c>
      <c r="G49" s="57">
        <v>99.9</v>
      </c>
      <c r="H49" s="4">
        <f t="shared" si="25"/>
        <v>0.94961977186311786</v>
      </c>
      <c r="I49" s="11">
        <v>5</v>
      </c>
      <c r="J49" s="44">
        <v>550</v>
      </c>
      <c r="K49" s="44">
        <v>467</v>
      </c>
      <c r="L49" s="4">
        <f t="shared" si="26"/>
        <v>1.1777301927194861</v>
      </c>
      <c r="M49" s="11">
        <v>5</v>
      </c>
      <c r="N49" s="35">
        <v>108209.60000000001</v>
      </c>
      <c r="O49" s="35">
        <v>109915.5</v>
      </c>
      <c r="P49" s="4">
        <f t="shared" si="27"/>
        <v>1.0157647750292025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82">
        <v>1429374</v>
      </c>
      <c r="W49" s="82">
        <v>1317770</v>
      </c>
      <c r="X49" s="4">
        <f t="shared" si="28"/>
        <v>0.9219210647458258</v>
      </c>
      <c r="Y49" s="5">
        <v>10</v>
      </c>
      <c r="Z49" s="5">
        <v>6673</v>
      </c>
      <c r="AA49" s="5">
        <v>6722</v>
      </c>
      <c r="AB49" s="4">
        <f t="shared" si="29"/>
        <v>1.0073430241270793</v>
      </c>
      <c r="AC49" s="5">
        <v>10</v>
      </c>
      <c r="AD49" s="79">
        <v>8697</v>
      </c>
      <c r="AE49" s="79">
        <v>8252.5</v>
      </c>
      <c r="AF49" s="4">
        <f t="shared" si="30"/>
        <v>0.94889042198459239</v>
      </c>
      <c r="AG49" s="5">
        <v>20</v>
      </c>
      <c r="AH49" s="79">
        <v>2651</v>
      </c>
      <c r="AI49" s="79">
        <v>4054</v>
      </c>
      <c r="AJ49" s="4">
        <f t="shared" si="31"/>
        <v>1.2329234251225951</v>
      </c>
      <c r="AK49" s="5">
        <v>10</v>
      </c>
      <c r="AL49" s="5">
        <v>305</v>
      </c>
      <c r="AM49" s="5">
        <v>1057</v>
      </c>
      <c r="AN49" s="4">
        <f t="shared" si="7"/>
        <v>1.3</v>
      </c>
      <c r="AO49" s="5">
        <v>15</v>
      </c>
      <c r="AP49" s="43">
        <f t="shared" si="32"/>
        <v>1.0707465107665592</v>
      </c>
      <c r="AQ49" s="44">
        <v>53466</v>
      </c>
      <c r="AR49" s="35">
        <f t="shared" si="9"/>
        <v>14581.636363636364</v>
      </c>
      <c r="AS49" s="35">
        <f t="shared" si="10"/>
        <v>15613.2</v>
      </c>
      <c r="AT49" s="35">
        <f t="shared" si="11"/>
        <v>1031.5636363636368</v>
      </c>
      <c r="AU49" s="35">
        <v>5829.5</v>
      </c>
      <c r="AV49" s="35">
        <v>4204.1000000000004</v>
      </c>
      <c r="AW49" s="35"/>
      <c r="AX49" s="35">
        <f t="shared" si="33"/>
        <v>5579.6</v>
      </c>
      <c r="AY49" s="35"/>
      <c r="AZ49" s="35">
        <f t="shared" si="13"/>
        <v>5579.6</v>
      </c>
      <c r="BA49" s="35">
        <v>-27.2</v>
      </c>
      <c r="BB49" s="35">
        <f t="shared" si="14"/>
        <v>5552.4</v>
      </c>
      <c r="BC49" s="35"/>
      <c r="BD49" s="35">
        <f t="shared" si="15"/>
        <v>5552.4</v>
      </c>
      <c r="BE49" s="35">
        <v>5272.3</v>
      </c>
      <c r="BF49" s="35">
        <f t="shared" si="16"/>
        <v>280.10000000000002</v>
      </c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210" s="2" customFormat="1" ht="17.149999999999999" customHeight="1">
      <c r="A50" s="13" t="s">
        <v>39</v>
      </c>
      <c r="B50" s="63">
        <v>151229</v>
      </c>
      <c r="C50" s="63">
        <v>117717.3</v>
      </c>
      <c r="D50" s="4">
        <f t="shared" si="24"/>
        <v>0.7784042743124665</v>
      </c>
      <c r="E50" s="11">
        <v>5</v>
      </c>
      <c r="F50" s="57">
        <v>105.3</v>
      </c>
      <c r="G50" s="57">
        <v>112.4</v>
      </c>
      <c r="H50" s="4">
        <f t="shared" si="25"/>
        <v>1.0674264007597343</v>
      </c>
      <c r="I50" s="11">
        <v>5</v>
      </c>
      <c r="J50" s="44">
        <v>130</v>
      </c>
      <c r="K50" s="44">
        <v>121</v>
      </c>
      <c r="L50" s="4">
        <f t="shared" si="26"/>
        <v>1.0743801652892562</v>
      </c>
      <c r="M50" s="11">
        <v>5</v>
      </c>
      <c r="N50" s="35">
        <v>32909.199999999997</v>
      </c>
      <c r="O50" s="35">
        <v>33386.300000000003</v>
      </c>
      <c r="P50" s="4">
        <f t="shared" si="27"/>
        <v>1.0144974657542574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82">
        <v>238867</v>
      </c>
      <c r="W50" s="82">
        <v>249292</v>
      </c>
      <c r="X50" s="4">
        <f t="shared" si="28"/>
        <v>1.0436435338493806</v>
      </c>
      <c r="Y50" s="5">
        <v>5</v>
      </c>
      <c r="Z50" s="5">
        <v>2260</v>
      </c>
      <c r="AA50" s="5">
        <v>2493</v>
      </c>
      <c r="AB50" s="4">
        <f t="shared" si="29"/>
        <v>1.1030973451327433</v>
      </c>
      <c r="AC50" s="5">
        <v>20</v>
      </c>
      <c r="AD50" s="79">
        <v>2765</v>
      </c>
      <c r="AE50" s="79">
        <v>3004.6</v>
      </c>
      <c r="AF50" s="4">
        <f t="shared" si="30"/>
        <v>1.0866546112115731</v>
      </c>
      <c r="AG50" s="5">
        <v>15</v>
      </c>
      <c r="AH50" s="79">
        <v>560</v>
      </c>
      <c r="AI50" s="79">
        <v>774.1</v>
      </c>
      <c r="AJ50" s="4">
        <f t="shared" si="31"/>
        <v>1.2182321428571428</v>
      </c>
      <c r="AK50" s="5">
        <v>10</v>
      </c>
      <c r="AL50" s="5">
        <v>305</v>
      </c>
      <c r="AM50" s="5">
        <v>359</v>
      </c>
      <c r="AN50" s="4">
        <f t="shared" si="7"/>
        <v>1.1770491803278689</v>
      </c>
      <c r="AO50" s="5">
        <v>15</v>
      </c>
      <c r="AP50" s="43">
        <f t="shared" si="32"/>
        <v>1.0830904639045726</v>
      </c>
      <c r="AQ50" s="44">
        <v>35542</v>
      </c>
      <c r="AR50" s="35">
        <f t="shared" si="9"/>
        <v>9693.2727272727279</v>
      </c>
      <c r="AS50" s="35">
        <f t="shared" si="10"/>
        <v>10498.7</v>
      </c>
      <c r="AT50" s="35">
        <f t="shared" si="11"/>
        <v>805.42727272727279</v>
      </c>
      <c r="AU50" s="35">
        <v>2932.2</v>
      </c>
      <c r="AV50" s="35">
        <v>2814.6</v>
      </c>
      <c r="AW50" s="35"/>
      <c r="AX50" s="35">
        <f t="shared" si="33"/>
        <v>4751.8999999999996</v>
      </c>
      <c r="AY50" s="35"/>
      <c r="AZ50" s="35">
        <f t="shared" si="13"/>
        <v>4751.8999999999996</v>
      </c>
      <c r="BA50" s="35">
        <v>91.3</v>
      </c>
      <c r="BB50" s="35">
        <f t="shared" si="14"/>
        <v>4843.2</v>
      </c>
      <c r="BC50" s="35"/>
      <c r="BD50" s="35">
        <f t="shared" si="15"/>
        <v>4843.2</v>
      </c>
      <c r="BE50" s="35">
        <v>4696.7</v>
      </c>
      <c r="BF50" s="35">
        <f t="shared" si="16"/>
        <v>146.5</v>
      </c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210" s="2" customFormat="1" ht="17.149999999999999" customHeight="1">
      <c r="A51" s="13" t="s">
        <v>2</v>
      </c>
      <c r="B51" s="63">
        <v>38049</v>
      </c>
      <c r="C51" s="63">
        <v>44931.8</v>
      </c>
      <c r="D51" s="4">
        <f t="shared" si="24"/>
        <v>1.1808930589503011</v>
      </c>
      <c r="E51" s="11">
        <v>5</v>
      </c>
      <c r="F51" s="57">
        <v>104.5</v>
      </c>
      <c r="G51" s="57">
        <v>103.9</v>
      </c>
      <c r="H51" s="4">
        <f t="shared" si="25"/>
        <v>0.99425837320574173</v>
      </c>
      <c r="I51" s="11">
        <v>5</v>
      </c>
      <c r="J51" s="44">
        <v>250</v>
      </c>
      <c r="K51" s="44">
        <v>245</v>
      </c>
      <c r="L51" s="4">
        <f t="shared" si="26"/>
        <v>1.0204081632653061</v>
      </c>
      <c r="M51" s="11">
        <v>15</v>
      </c>
      <c r="N51" s="35">
        <v>16032.7</v>
      </c>
      <c r="O51" s="35">
        <v>17162</v>
      </c>
      <c r="P51" s="4">
        <f t="shared" si="27"/>
        <v>1.0704372937808353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82">
        <v>85481</v>
      </c>
      <c r="W51" s="82">
        <v>97985</v>
      </c>
      <c r="X51" s="4">
        <f t="shared" si="28"/>
        <v>1.1462781202840397</v>
      </c>
      <c r="Y51" s="5">
        <v>5</v>
      </c>
      <c r="Z51" s="5">
        <v>6820</v>
      </c>
      <c r="AA51" s="5">
        <v>6250</v>
      </c>
      <c r="AB51" s="4">
        <f t="shared" si="29"/>
        <v>0.91642228739002929</v>
      </c>
      <c r="AC51" s="5">
        <v>15</v>
      </c>
      <c r="AD51" s="79">
        <v>4300</v>
      </c>
      <c r="AE51" s="79">
        <v>6227.9</v>
      </c>
      <c r="AF51" s="4">
        <f t="shared" si="30"/>
        <v>1.2248348837209302</v>
      </c>
      <c r="AG51" s="5">
        <v>20</v>
      </c>
      <c r="AH51" s="79">
        <v>600</v>
      </c>
      <c r="AI51" s="79">
        <v>1739.7</v>
      </c>
      <c r="AJ51" s="4">
        <f t="shared" si="31"/>
        <v>1.3</v>
      </c>
      <c r="AK51" s="5">
        <v>5</v>
      </c>
      <c r="AL51" s="5">
        <v>305</v>
      </c>
      <c r="AM51" s="5">
        <v>303</v>
      </c>
      <c r="AN51" s="4">
        <f t="shared" si="7"/>
        <v>0.99344262295081964</v>
      </c>
      <c r="AO51" s="5">
        <v>15</v>
      </c>
      <c r="AP51" s="43">
        <f t="shared" si="32"/>
        <v>1.0758732134888387</v>
      </c>
      <c r="AQ51" s="44">
        <v>25771</v>
      </c>
      <c r="AR51" s="35">
        <f t="shared" si="9"/>
        <v>7028.454545454546</v>
      </c>
      <c r="AS51" s="35">
        <f t="shared" si="10"/>
        <v>7561.7</v>
      </c>
      <c r="AT51" s="35">
        <f t="shared" si="11"/>
        <v>533.24545454545387</v>
      </c>
      <c r="AU51" s="35">
        <v>2216.6</v>
      </c>
      <c r="AV51" s="35">
        <v>2485.6</v>
      </c>
      <c r="AW51" s="35"/>
      <c r="AX51" s="35">
        <f t="shared" si="33"/>
        <v>2859.5</v>
      </c>
      <c r="AY51" s="35"/>
      <c r="AZ51" s="35">
        <f t="shared" si="13"/>
        <v>2859.5</v>
      </c>
      <c r="BA51" s="35">
        <v>-19.8</v>
      </c>
      <c r="BB51" s="35">
        <f t="shared" si="14"/>
        <v>2839.7</v>
      </c>
      <c r="BC51" s="35"/>
      <c r="BD51" s="35">
        <f t="shared" si="15"/>
        <v>2839.7</v>
      </c>
      <c r="BE51" s="35">
        <v>2953.3</v>
      </c>
      <c r="BF51" s="35">
        <f t="shared" si="16"/>
        <v>-113.6</v>
      </c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210" s="2" customFormat="1" ht="17.149999999999999" customHeight="1">
      <c r="A52" s="13" t="s">
        <v>40</v>
      </c>
      <c r="B52" s="63">
        <v>79460</v>
      </c>
      <c r="C52" s="63">
        <v>93299.5</v>
      </c>
      <c r="D52" s="4">
        <f t="shared" si="24"/>
        <v>1.1741693934054871</v>
      </c>
      <c r="E52" s="11">
        <v>5</v>
      </c>
      <c r="F52" s="57">
        <v>105.4</v>
      </c>
      <c r="G52" s="57">
        <v>104.5</v>
      </c>
      <c r="H52" s="4">
        <f t="shared" si="25"/>
        <v>0.99146110056925996</v>
      </c>
      <c r="I52" s="11">
        <v>5</v>
      </c>
      <c r="J52" s="44">
        <v>200</v>
      </c>
      <c r="K52" s="44">
        <v>194</v>
      </c>
      <c r="L52" s="4">
        <f t="shared" si="26"/>
        <v>1.0309278350515463</v>
      </c>
      <c r="M52" s="11">
        <v>10</v>
      </c>
      <c r="N52" s="35">
        <v>14235.1</v>
      </c>
      <c r="O52" s="35">
        <v>11498</v>
      </c>
      <c r="P52" s="4">
        <f t="shared" si="27"/>
        <v>0.8077217581892645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82">
        <v>145438</v>
      </c>
      <c r="W52" s="82">
        <v>146501</v>
      </c>
      <c r="X52" s="4">
        <f t="shared" si="28"/>
        <v>1.0073089563937898</v>
      </c>
      <c r="Y52" s="5">
        <v>5</v>
      </c>
      <c r="Z52" s="5">
        <v>3425</v>
      </c>
      <c r="AA52" s="5">
        <v>3500</v>
      </c>
      <c r="AB52" s="4">
        <f t="shared" si="29"/>
        <v>1.0218978102189782</v>
      </c>
      <c r="AC52" s="5">
        <v>20</v>
      </c>
      <c r="AD52" s="79">
        <v>2950</v>
      </c>
      <c r="AE52" s="79">
        <v>2855.4</v>
      </c>
      <c r="AF52" s="4">
        <f t="shared" si="30"/>
        <v>0.96793220338983055</v>
      </c>
      <c r="AG52" s="5">
        <v>15</v>
      </c>
      <c r="AH52" s="79">
        <v>418</v>
      </c>
      <c r="AI52" s="79">
        <v>757.1</v>
      </c>
      <c r="AJ52" s="4">
        <f t="shared" si="31"/>
        <v>1.2611244019138756</v>
      </c>
      <c r="AK52" s="5">
        <v>10</v>
      </c>
      <c r="AL52" s="5">
        <v>305</v>
      </c>
      <c r="AM52" s="5">
        <v>301</v>
      </c>
      <c r="AN52" s="4">
        <f t="shared" si="7"/>
        <v>0.9868852459016394</v>
      </c>
      <c r="AO52" s="5">
        <v>15</v>
      </c>
      <c r="AP52" s="43">
        <f t="shared" si="32"/>
        <v>0.99714164503841718</v>
      </c>
      <c r="AQ52" s="44">
        <v>23739</v>
      </c>
      <c r="AR52" s="35">
        <f t="shared" si="9"/>
        <v>6474.272727272727</v>
      </c>
      <c r="AS52" s="35">
        <f t="shared" si="10"/>
        <v>6455.8</v>
      </c>
      <c r="AT52" s="35">
        <f t="shared" si="11"/>
        <v>-18.472727272726843</v>
      </c>
      <c r="AU52" s="35">
        <v>1891.6</v>
      </c>
      <c r="AV52" s="35">
        <v>2482.8000000000002</v>
      </c>
      <c r="AW52" s="35"/>
      <c r="AX52" s="35">
        <f t="shared" si="33"/>
        <v>2081.4</v>
      </c>
      <c r="AY52" s="35"/>
      <c r="AZ52" s="35">
        <f t="shared" si="13"/>
        <v>2081.4</v>
      </c>
      <c r="BA52" s="35">
        <v>-40.9</v>
      </c>
      <c r="BB52" s="35">
        <f t="shared" si="14"/>
        <v>2040.5</v>
      </c>
      <c r="BC52" s="35"/>
      <c r="BD52" s="35">
        <f t="shared" si="15"/>
        <v>2040.5</v>
      </c>
      <c r="BE52" s="35">
        <v>2051.1</v>
      </c>
      <c r="BF52" s="35">
        <f t="shared" si="16"/>
        <v>-10.6</v>
      </c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210" s="2" customFormat="1" ht="17.149999999999999" customHeight="1">
      <c r="A53" s="13" t="s">
        <v>3</v>
      </c>
      <c r="B53" s="63">
        <v>166182</v>
      </c>
      <c r="C53" s="63">
        <v>164034.79999999999</v>
      </c>
      <c r="D53" s="4">
        <f t="shared" si="24"/>
        <v>0.98707922639034307</v>
      </c>
      <c r="E53" s="11">
        <v>5</v>
      </c>
      <c r="F53" s="57">
        <v>103.8</v>
      </c>
      <c r="G53" s="57">
        <v>100.7</v>
      </c>
      <c r="H53" s="4">
        <f t="shared" si="25"/>
        <v>0.97013487475915228</v>
      </c>
      <c r="I53" s="11">
        <v>5</v>
      </c>
      <c r="J53" s="44">
        <v>215</v>
      </c>
      <c r="K53" s="44">
        <v>139</v>
      </c>
      <c r="L53" s="4">
        <f t="shared" si="26"/>
        <v>1.2346762589928058</v>
      </c>
      <c r="M53" s="11">
        <v>10</v>
      </c>
      <c r="N53" s="35">
        <v>13271.9</v>
      </c>
      <c r="O53" s="35">
        <v>15910.9</v>
      </c>
      <c r="P53" s="4">
        <f t="shared" si="27"/>
        <v>1.1988411606476843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63">
        <v>188362.2</v>
      </c>
      <c r="W53" s="82">
        <v>169505</v>
      </c>
      <c r="X53" s="4">
        <f t="shared" si="28"/>
        <v>0.8998886188417845</v>
      </c>
      <c r="Y53" s="5">
        <v>5</v>
      </c>
      <c r="Z53" s="5">
        <v>3000</v>
      </c>
      <c r="AA53" s="5">
        <v>3004</v>
      </c>
      <c r="AB53" s="4">
        <f t="shared" si="29"/>
        <v>1.0013333333333334</v>
      </c>
      <c r="AC53" s="5">
        <v>20</v>
      </c>
      <c r="AD53" s="79">
        <v>2209</v>
      </c>
      <c r="AE53" s="79">
        <v>2998.8</v>
      </c>
      <c r="AF53" s="4">
        <f t="shared" si="30"/>
        <v>1.2157537347215934</v>
      </c>
      <c r="AG53" s="5">
        <v>15</v>
      </c>
      <c r="AH53" s="79">
        <v>408</v>
      </c>
      <c r="AI53" s="79">
        <v>1157.2</v>
      </c>
      <c r="AJ53" s="4">
        <f t="shared" si="31"/>
        <v>1.3</v>
      </c>
      <c r="AK53" s="5">
        <v>10</v>
      </c>
      <c r="AL53" s="5">
        <v>305</v>
      </c>
      <c r="AM53" s="5">
        <v>512</v>
      </c>
      <c r="AN53" s="4">
        <f t="shared" si="7"/>
        <v>1.2478688524590162</v>
      </c>
      <c r="AO53" s="5">
        <v>15</v>
      </c>
      <c r="AP53" s="43">
        <f t="shared" si="32"/>
        <v>1.1484771893067995</v>
      </c>
      <c r="AQ53" s="44">
        <v>26536</v>
      </c>
      <c r="AR53" s="35">
        <f t="shared" si="9"/>
        <v>7237.0909090909099</v>
      </c>
      <c r="AS53" s="35">
        <f t="shared" si="10"/>
        <v>8311.6</v>
      </c>
      <c r="AT53" s="35">
        <f t="shared" si="11"/>
        <v>1074.5090909090904</v>
      </c>
      <c r="AU53" s="35">
        <v>2289.8000000000002</v>
      </c>
      <c r="AV53" s="35">
        <v>2153.9</v>
      </c>
      <c r="AW53" s="35"/>
      <c r="AX53" s="35">
        <f t="shared" si="33"/>
        <v>3867.9</v>
      </c>
      <c r="AY53" s="35"/>
      <c r="AZ53" s="35">
        <f t="shared" si="13"/>
        <v>3867.9</v>
      </c>
      <c r="BA53" s="35">
        <v>18.899999999999999</v>
      </c>
      <c r="BB53" s="35">
        <f t="shared" si="14"/>
        <v>3886.8</v>
      </c>
      <c r="BC53" s="35"/>
      <c r="BD53" s="35">
        <f t="shared" si="15"/>
        <v>3886.8</v>
      </c>
      <c r="BE53" s="35">
        <v>3945.1</v>
      </c>
      <c r="BF53" s="35">
        <f t="shared" si="16"/>
        <v>-58.3</v>
      </c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210" s="2" customFormat="1" ht="17.149999999999999" customHeight="1">
      <c r="A54" s="13" t="s">
        <v>41</v>
      </c>
      <c r="B54" s="63">
        <v>60737</v>
      </c>
      <c r="C54" s="63">
        <v>62371.9</v>
      </c>
      <c r="D54" s="4">
        <f t="shared" si="24"/>
        <v>1.0269176943214187</v>
      </c>
      <c r="E54" s="11">
        <v>5</v>
      </c>
      <c r="F54" s="57">
        <v>105.8</v>
      </c>
      <c r="G54" s="57">
        <v>102.6</v>
      </c>
      <c r="H54" s="4">
        <f t="shared" si="25"/>
        <v>0.96975425330812848</v>
      </c>
      <c r="I54" s="11">
        <v>5</v>
      </c>
      <c r="J54" s="44">
        <v>185</v>
      </c>
      <c r="K54" s="44">
        <v>150</v>
      </c>
      <c r="L54" s="4">
        <f t="shared" si="26"/>
        <v>1.2033333333333334</v>
      </c>
      <c r="M54" s="11">
        <v>10</v>
      </c>
      <c r="N54" s="35">
        <v>15836.9</v>
      </c>
      <c r="O54" s="35">
        <v>18021.7</v>
      </c>
      <c r="P54" s="4">
        <f t="shared" si="27"/>
        <v>1.1379562919510764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82">
        <v>195000</v>
      </c>
      <c r="W54" s="82">
        <v>195410</v>
      </c>
      <c r="X54" s="4">
        <f t="shared" si="28"/>
        <v>1.002102564102564</v>
      </c>
      <c r="Y54" s="5">
        <v>5</v>
      </c>
      <c r="Z54" s="5">
        <v>2229</v>
      </c>
      <c r="AA54" s="5">
        <v>2178</v>
      </c>
      <c r="AB54" s="4">
        <f t="shared" si="29"/>
        <v>0.97711978465679672</v>
      </c>
      <c r="AC54" s="5">
        <v>15</v>
      </c>
      <c r="AD54" s="79">
        <v>1987</v>
      </c>
      <c r="AE54" s="79">
        <v>1935</v>
      </c>
      <c r="AF54" s="4">
        <f t="shared" si="30"/>
        <v>0.97382989431303468</v>
      </c>
      <c r="AG54" s="5">
        <v>10</v>
      </c>
      <c r="AH54" s="79">
        <v>440</v>
      </c>
      <c r="AI54" s="79">
        <v>561.9</v>
      </c>
      <c r="AJ54" s="4">
        <f t="shared" si="31"/>
        <v>1.2077045454545454</v>
      </c>
      <c r="AK54" s="5">
        <v>10</v>
      </c>
      <c r="AL54" s="5">
        <v>305</v>
      </c>
      <c r="AM54" s="5">
        <v>896</v>
      </c>
      <c r="AN54" s="4">
        <f t="shared" si="7"/>
        <v>1.3</v>
      </c>
      <c r="AO54" s="5">
        <v>15</v>
      </c>
      <c r="AP54" s="43">
        <f>(D54*E54+H54*I54+L54*M54+P54*Q54+X54*Y54+AB54*AC54+AF54*AG54+AJ54*AK54+AN54*AO54)/(E54+I54+M54+Q54+Y54+AC54+AG54+AK54+AO54)</f>
        <v>1.1132470831425598</v>
      </c>
      <c r="AQ54" s="44">
        <v>34523</v>
      </c>
      <c r="AR54" s="35">
        <f t="shared" si="9"/>
        <v>9415.363636363636</v>
      </c>
      <c r="AS54" s="35">
        <f t="shared" si="10"/>
        <v>10481.6</v>
      </c>
      <c r="AT54" s="35">
        <f t="shared" si="11"/>
        <v>1066.2363636363643</v>
      </c>
      <c r="AU54" s="35">
        <v>3698.3</v>
      </c>
      <c r="AV54" s="35">
        <v>3322.7</v>
      </c>
      <c r="AW54" s="35"/>
      <c r="AX54" s="35">
        <f t="shared" si="33"/>
        <v>3460.6</v>
      </c>
      <c r="AY54" s="35"/>
      <c r="AZ54" s="35">
        <f t="shared" si="13"/>
        <v>3460.6</v>
      </c>
      <c r="BA54" s="35">
        <v>-57.7</v>
      </c>
      <c r="BB54" s="35">
        <f t="shared" si="14"/>
        <v>3402.9</v>
      </c>
      <c r="BC54" s="35"/>
      <c r="BD54" s="35">
        <f t="shared" si="15"/>
        <v>3402.9</v>
      </c>
      <c r="BE54" s="35">
        <v>3197.4</v>
      </c>
      <c r="BF54" s="35">
        <f t="shared" si="16"/>
        <v>205.5</v>
      </c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210" s="2" customFormat="1" ht="17.149999999999999" customHeight="1">
      <c r="A55" s="17" t="s">
        <v>42</v>
      </c>
      <c r="B55" s="34">
        <f>SUM(B56:B378)</f>
        <v>25719983</v>
      </c>
      <c r="C55" s="34">
        <f>SUM(C56:C378)</f>
        <v>26168634.999999993</v>
      </c>
      <c r="D55" s="6">
        <f>IF(C55/B55&gt;1.2,IF((C55/B55-1.2)*0.1+1.2&gt;1.3,1.3,(C55/B55-1.2)*0.1+1.2),C55/B55)</f>
        <v>1.017443712929359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367277.70000000007</v>
      </c>
      <c r="O55" s="34">
        <f>SUM(O56:O378)</f>
        <v>379299.10000000027</v>
      </c>
      <c r="P55" s="6">
        <f>IF(O55/N55&gt;1.2,IF((O55/N55-1.2)*0.1+1.2&gt;1.3,1.3,(O55/N55-1.2)*0.1+1.2),O55/N55)</f>
        <v>1.0327310914874499</v>
      </c>
      <c r="Q55" s="16"/>
      <c r="R55" s="34"/>
      <c r="S55" s="34"/>
      <c r="T55" s="6"/>
      <c r="U55" s="16"/>
      <c r="V55" s="81">
        <f>SUM(V56:V378)</f>
        <v>10276133.799999999</v>
      </c>
      <c r="W55" s="81">
        <f>SUM(W56:W378)</f>
        <v>10389441</v>
      </c>
      <c r="X55" s="6">
        <f>IF(W55/V55&gt;1.2,IF((W55/V55-1.2)*0.1+1.2&gt;1.3,1.3,(W55/V55-1.2)*0.1+1.2),W55/V55)</f>
        <v>1.0110262480233569</v>
      </c>
      <c r="Y55" s="16"/>
      <c r="Z55" s="20">
        <f>SUM(Z56:Z378)</f>
        <v>106983</v>
      </c>
      <c r="AA55" s="20">
        <f>SUM(AA56:AA378)</f>
        <v>108327</v>
      </c>
      <c r="AB55" s="6">
        <f>IF(AA55/Z55&gt;1.2,IF((AA55/Z55-1.2)*0.1+1.2&gt;1.3,1.3,(AA55/Z55-1.2)*0.1+1.2),AA55/Z55)</f>
        <v>1.0125627436134712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8"/>
      <c r="AQ55" s="20">
        <f>SUM(AQ56:AQ378)</f>
        <v>391354</v>
      </c>
      <c r="AR55" s="34">
        <f t="shared" ref="AR55:AS55" si="34">SUM(AR56:AR378)</f>
        <v>106732.90909090904</v>
      </c>
      <c r="AS55" s="34">
        <f t="shared" si="34"/>
        <v>106177.90000000007</v>
      </c>
      <c r="AT55" s="34">
        <f>SUM(AT56:AT378)</f>
        <v>-555.0090909090909</v>
      </c>
      <c r="AU55" s="34">
        <f t="shared" ref="AU55:AX55" si="35">SUM(AU56:AU378)</f>
        <v>33369.000000000036</v>
      </c>
      <c r="AV55" s="34">
        <f t="shared" si="35"/>
        <v>27730.600000000009</v>
      </c>
      <c r="AW55" s="34">
        <f t="shared" si="35"/>
        <v>1798.1999999999996</v>
      </c>
      <c r="AX55" s="34">
        <f t="shared" si="35"/>
        <v>43280.099999999991</v>
      </c>
      <c r="AY55" s="34"/>
      <c r="AZ55" s="34">
        <f>SUM(AZ56:AZ378)</f>
        <v>43286.599999999991</v>
      </c>
      <c r="BA55" s="34">
        <f t="shared" ref="BA55:BF55" si="36">SUM(BA56:BA378)</f>
        <v>0</v>
      </c>
      <c r="BB55" s="34">
        <f t="shared" si="36"/>
        <v>43286.599999999991</v>
      </c>
      <c r="BC55" s="34">
        <f t="shared" si="36"/>
        <v>478.79999999999995</v>
      </c>
      <c r="BD55" s="34">
        <f t="shared" si="36"/>
        <v>42807.8</v>
      </c>
      <c r="BE55" s="34">
        <f t="shared" si="36"/>
        <v>43243.600000000013</v>
      </c>
      <c r="BF55" s="34">
        <f t="shared" si="36"/>
        <v>-435.8000000000003</v>
      </c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210" s="2" customFormat="1" ht="17.149999999999999" customHeight="1">
      <c r="A56" s="18" t="s">
        <v>43</v>
      </c>
      <c r="B56" s="5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83"/>
      <c r="W56" s="83"/>
      <c r="X56" s="11"/>
      <c r="Y56" s="11"/>
      <c r="Z56" s="11"/>
      <c r="AA56" s="11"/>
      <c r="AB56" s="11"/>
      <c r="AC56" s="11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35"/>
      <c r="BB56" s="35"/>
      <c r="BC56" s="35"/>
      <c r="BD56" s="35"/>
      <c r="BE56" s="35"/>
      <c r="BF56" s="35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210" s="2" customFormat="1" ht="17.149999999999999" customHeight="1">
      <c r="A57" s="14" t="s">
        <v>44</v>
      </c>
      <c r="B57" s="63">
        <v>70</v>
      </c>
      <c r="C57" s="63">
        <v>77.3</v>
      </c>
      <c r="D57" s="4">
        <f t="shared" ref="D57:D120" si="37">IF(E57=0,0,IF(B57=0,1,IF(C57&lt;0,0,IF(C57/B57&gt;1.2,IF((C57/B57-1.2)*0.1+1.2&gt;1.3,1.3,(C57/B57-1.2)*0.1+1.2),C57/B57))))</f>
        <v>1.1042857142857143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253.9</v>
      </c>
      <c r="O57" s="35">
        <v>624.4</v>
      </c>
      <c r="P57" s="4">
        <f t="shared" ref="P57:P120" si="38">IF(Q57=0,0,IF(N57=0,1,IF(O57&lt;0,0,IF(O57/N57&gt;1.2,IF((O57/N57-1.2)*0.1+1.2&gt;1.3,1.3,(O57/N57-1.2)*0.1+1.2),O57/N57))))</f>
        <v>1.3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82">
        <v>3100</v>
      </c>
      <c r="W57" s="82">
        <v>2561</v>
      </c>
      <c r="X57" s="4">
        <f t="shared" ref="X57:X120" si="39">IF(Y57=0,0,IF(V57=0,1,IF(W57&lt;0,0,IF(W57/V57&gt;1.2,IF((W57/V57-1.2)*0.1+1.2&gt;1.3,1.3,(W57/V57-1.2)*0.1+1.2),W57/V57))))</f>
        <v>0.82612903225806456</v>
      </c>
      <c r="Y57" s="5">
        <v>5</v>
      </c>
      <c r="Z57" s="5">
        <v>694</v>
      </c>
      <c r="AA57" s="5">
        <v>689</v>
      </c>
      <c r="AB57" s="4">
        <f t="shared" ref="AB57:AB120" si="40">IF(AC57=0,0,IF(Z57=0,1,IF(AA57&lt;0,0,IF(AA57/Z57&gt;1.2,IF((AA57/Z57-1.2)*0.1+1.2&gt;1.3,1.3,(AA57/Z57-1.2)*0.1+1.2),AA57/Z57))))</f>
        <v>0.99279538904899134</v>
      </c>
      <c r="AC57" s="5">
        <v>20</v>
      </c>
      <c r="AD57" s="5" t="s">
        <v>360</v>
      </c>
      <c r="AE57" s="5" t="s">
        <v>360</v>
      </c>
      <c r="AF57" s="5" t="s">
        <v>360</v>
      </c>
      <c r="AG57" s="5" t="s">
        <v>360</v>
      </c>
      <c r="AH57" s="5" t="s">
        <v>360</v>
      </c>
      <c r="AI57" s="5" t="s">
        <v>360</v>
      </c>
      <c r="AJ57" s="5" t="s">
        <v>360</v>
      </c>
      <c r="AK57" s="5" t="s">
        <v>360</v>
      </c>
      <c r="AL57" s="5" t="s">
        <v>360</v>
      </c>
      <c r="AM57" s="5" t="s">
        <v>360</v>
      </c>
      <c r="AN57" s="5" t="s">
        <v>360</v>
      </c>
      <c r="AO57" s="5" t="s">
        <v>360</v>
      </c>
      <c r="AP57" s="43">
        <f>(D57*E57+P57*Q57+X57*Y57+AB57*AC57)/(E57+Q57+Y57+AC57)</f>
        <v>1.1101596302739745</v>
      </c>
      <c r="AQ57" s="44">
        <v>1556</v>
      </c>
      <c r="AR57" s="35">
        <f t="shared" ref="AR57:AR120" si="41">AQ57/11*3</f>
        <v>424.36363636363637</v>
      </c>
      <c r="AS57" s="35">
        <f t="shared" ref="AS57:AS120" si="42">ROUND(AP57*AR57,1)</f>
        <v>471.1</v>
      </c>
      <c r="AT57" s="35">
        <f t="shared" ref="AT57:AT120" si="43">AS57-AR57</f>
        <v>46.736363636363649</v>
      </c>
      <c r="AU57" s="35">
        <v>177.9</v>
      </c>
      <c r="AV57" s="35">
        <v>172.1</v>
      </c>
      <c r="AW57" s="35"/>
      <c r="AX57" s="35">
        <f t="shared" ref="AX57:AX120" si="44">ROUND(AS57-SUM(AU57:AW57),1)</f>
        <v>121.1</v>
      </c>
      <c r="AY57" s="35"/>
      <c r="AZ57" s="35">
        <f t="shared" ref="AZ57:AZ120" si="45">IF(OR(AX57&lt;0,AY57="+"),0,AX57)</f>
        <v>121.1</v>
      </c>
      <c r="BA57" s="35">
        <v>0</v>
      </c>
      <c r="BB57" s="35">
        <f>ROUND(AZ57+BA57,1)</f>
        <v>121.1</v>
      </c>
      <c r="BC57" s="35"/>
      <c r="BD57" s="35">
        <f t="shared" ref="BD57:BD120" si="46">IF((BB57-BC57)&gt;0,ROUND(BB57-BC57,1),0)</f>
        <v>121.1</v>
      </c>
      <c r="BE57" s="35">
        <v>134.5</v>
      </c>
      <c r="BF57" s="35">
        <f t="shared" ref="BF57:BF120" si="47">ROUND(BD57-BE57,1)</f>
        <v>-13.4</v>
      </c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10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10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10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10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10"/>
      <c r="HA57" s="9"/>
      <c r="HB57" s="9"/>
    </row>
    <row r="58" spans="1:210" s="2" customFormat="1" ht="17.149999999999999" customHeight="1">
      <c r="A58" s="14" t="s">
        <v>45</v>
      </c>
      <c r="B58" s="63">
        <v>19000</v>
      </c>
      <c r="C58" s="63">
        <v>19790.400000000001</v>
      </c>
      <c r="D58" s="4">
        <f t="shared" si="37"/>
        <v>1.0416000000000001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1266.5999999999999</v>
      </c>
      <c r="O58" s="35">
        <v>1593.1</v>
      </c>
      <c r="P58" s="4">
        <f t="shared" si="38"/>
        <v>1.2057776725090794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82">
        <v>85650</v>
      </c>
      <c r="W58" s="82">
        <v>86584</v>
      </c>
      <c r="X58" s="4">
        <f t="shared" si="39"/>
        <v>1.0109048453006422</v>
      </c>
      <c r="Y58" s="5">
        <v>5</v>
      </c>
      <c r="Z58" s="5">
        <v>1237</v>
      </c>
      <c r="AA58" s="5">
        <v>1297</v>
      </c>
      <c r="AB58" s="4">
        <f t="shared" si="40"/>
        <v>1.0485044462409054</v>
      </c>
      <c r="AC58" s="5">
        <v>20</v>
      </c>
      <c r="AD58" s="5" t="s">
        <v>360</v>
      </c>
      <c r="AE58" s="5" t="s">
        <v>360</v>
      </c>
      <c r="AF58" s="5" t="s">
        <v>360</v>
      </c>
      <c r="AG58" s="5" t="s">
        <v>360</v>
      </c>
      <c r="AH58" s="5" t="s">
        <v>360</v>
      </c>
      <c r="AI58" s="5" t="s">
        <v>360</v>
      </c>
      <c r="AJ58" s="5" t="s">
        <v>360</v>
      </c>
      <c r="AK58" s="5" t="s">
        <v>360</v>
      </c>
      <c r="AL58" s="5" t="s">
        <v>360</v>
      </c>
      <c r="AM58" s="5" t="s">
        <v>360</v>
      </c>
      <c r="AN58" s="5" t="s">
        <v>360</v>
      </c>
      <c r="AO58" s="5" t="s">
        <v>360</v>
      </c>
      <c r="AP58" s="43">
        <f t="shared" ref="AP58:AP121" si="48">(D58*E58+P58*Q58+X58*Y58+AB58*AC58)/(E58+Q58+Y58+AC58)</f>
        <v>1.106963332030058</v>
      </c>
      <c r="AQ58" s="44">
        <v>1837</v>
      </c>
      <c r="AR58" s="35">
        <f t="shared" si="41"/>
        <v>501</v>
      </c>
      <c r="AS58" s="35">
        <f t="shared" si="42"/>
        <v>554.6</v>
      </c>
      <c r="AT58" s="35">
        <f t="shared" si="43"/>
        <v>53.600000000000023</v>
      </c>
      <c r="AU58" s="35">
        <v>199.5</v>
      </c>
      <c r="AV58" s="35">
        <v>198.9</v>
      </c>
      <c r="AW58" s="35"/>
      <c r="AX58" s="35">
        <f t="shared" si="44"/>
        <v>156.19999999999999</v>
      </c>
      <c r="AY58" s="35"/>
      <c r="AZ58" s="35">
        <f t="shared" si="45"/>
        <v>156.19999999999999</v>
      </c>
      <c r="BA58" s="35">
        <v>0</v>
      </c>
      <c r="BB58" s="35">
        <f t="shared" ref="BB58:BB121" si="49">ROUND(AZ58+BA58,1)</f>
        <v>156.19999999999999</v>
      </c>
      <c r="BC58" s="35"/>
      <c r="BD58" s="35">
        <f t="shared" si="46"/>
        <v>156.19999999999999</v>
      </c>
      <c r="BE58" s="35">
        <v>161.5</v>
      </c>
      <c r="BF58" s="35">
        <f t="shared" si="47"/>
        <v>-5.3</v>
      </c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10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10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10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10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10"/>
      <c r="HA58" s="9"/>
      <c r="HB58" s="9"/>
    </row>
    <row r="59" spans="1:210" s="2" customFormat="1" ht="17.149999999999999" customHeight="1">
      <c r="A59" s="14" t="s">
        <v>46</v>
      </c>
      <c r="B59" s="63">
        <v>1380</v>
      </c>
      <c r="C59" s="63">
        <v>1356.4</v>
      </c>
      <c r="D59" s="4">
        <f t="shared" si="37"/>
        <v>0.98289855072463772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143.1</v>
      </c>
      <c r="O59" s="35">
        <v>162.1</v>
      </c>
      <c r="P59" s="4">
        <f t="shared" si="38"/>
        <v>1.13277428371768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82">
        <v>3500</v>
      </c>
      <c r="W59" s="82">
        <v>3199</v>
      </c>
      <c r="X59" s="4">
        <f t="shared" si="39"/>
        <v>0.91400000000000003</v>
      </c>
      <c r="Y59" s="5">
        <v>5</v>
      </c>
      <c r="Z59" s="5">
        <v>571</v>
      </c>
      <c r="AA59" s="5">
        <v>571</v>
      </c>
      <c r="AB59" s="4">
        <f t="shared" si="40"/>
        <v>1</v>
      </c>
      <c r="AC59" s="5">
        <v>20</v>
      </c>
      <c r="AD59" s="5" t="s">
        <v>360</v>
      </c>
      <c r="AE59" s="5" t="s">
        <v>360</v>
      </c>
      <c r="AF59" s="5" t="s">
        <v>360</v>
      </c>
      <c r="AG59" s="5" t="s">
        <v>360</v>
      </c>
      <c r="AH59" s="5" t="s">
        <v>360</v>
      </c>
      <c r="AI59" s="5" t="s">
        <v>360</v>
      </c>
      <c r="AJ59" s="5" t="s">
        <v>360</v>
      </c>
      <c r="AK59" s="5" t="s">
        <v>360</v>
      </c>
      <c r="AL59" s="5" t="s">
        <v>360</v>
      </c>
      <c r="AM59" s="5" t="s">
        <v>360</v>
      </c>
      <c r="AN59" s="5" t="s">
        <v>360</v>
      </c>
      <c r="AO59" s="5" t="s">
        <v>360</v>
      </c>
      <c r="AP59" s="43">
        <f t="shared" si="48"/>
        <v>1.0427995685595357</v>
      </c>
      <c r="AQ59" s="44">
        <v>1370</v>
      </c>
      <c r="AR59" s="35">
        <f t="shared" si="41"/>
        <v>373.63636363636363</v>
      </c>
      <c r="AS59" s="35">
        <f t="shared" si="42"/>
        <v>389.6</v>
      </c>
      <c r="AT59" s="35">
        <f t="shared" si="43"/>
        <v>15.963636363636397</v>
      </c>
      <c r="AU59" s="35">
        <v>151.5</v>
      </c>
      <c r="AV59" s="35">
        <v>151.19999999999999</v>
      </c>
      <c r="AW59" s="35"/>
      <c r="AX59" s="35">
        <f t="shared" si="44"/>
        <v>86.9</v>
      </c>
      <c r="AY59" s="35"/>
      <c r="AZ59" s="35">
        <f t="shared" si="45"/>
        <v>86.9</v>
      </c>
      <c r="BA59" s="35">
        <v>0</v>
      </c>
      <c r="BB59" s="35">
        <f t="shared" si="49"/>
        <v>86.9</v>
      </c>
      <c r="BC59" s="35"/>
      <c r="BD59" s="35">
        <f t="shared" si="46"/>
        <v>86.9</v>
      </c>
      <c r="BE59" s="35">
        <v>92.3</v>
      </c>
      <c r="BF59" s="35">
        <f t="shared" si="47"/>
        <v>-5.4</v>
      </c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10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10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10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10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10"/>
      <c r="HA59" s="9"/>
      <c r="HB59" s="9"/>
    </row>
    <row r="60" spans="1:210" s="2" customFormat="1" ht="17.149999999999999" customHeight="1">
      <c r="A60" s="14" t="s">
        <v>47</v>
      </c>
      <c r="B60" s="63">
        <v>0</v>
      </c>
      <c r="C60" s="63">
        <v>0</v>
      </c>
      <c r="D60" s="4">
        <f t="shared" si="37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159.1</v>
      </c>
      <c r="O60" s="35">
        <v>257.2</v>
      </c>
      <c r="P60" s="4">
        <f t="shared" si="38"/>
        <v>1.2416593337523569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82">
        <v>1450</v>
      </c>
      <c r="W60" s="82">
        <v>1693</v>
      </c>
      <c r="X60" s="4">
        <f t="shared" si="39"/>
        <v>1.1675862068965517</v>
      </c>
      <c r="Y60" s="5">
        <v>5</v>
      </c>
      <c r="Z60" s="5">
        <v>728</v>
      </c>
      <c r="AA60" s="5">
        <v>788</v>
      </c>
      <c r="AB60" s="4">
        <f t="shared" si="40"/>
        <v>1.0824175824175823</v>
      </c>
      <c r="AC60" s="5">
        <v>20</v>
      </c>
      <c r="AD60" s="5" t="s">
        <v>360</v>
      </c>
      <c r="AE60" s="5" t="s">
        <v>360</v>
      </c>
      <c r="AF60" s="5" t="s">
        <v>360</v>
      </c>
      <c r="AG60" s="5" t="s">
        <v>360</v>
      </c>
      <c r="AH60" s="5" t="s">
        <v>360</v>
      </c>
      <c r="AI60" s="5" t="s">
        <v>360</v>
      </c>
      <c r="AJ60" s="5" t="s">
        <v>360</v>
      </c>
      <c r="AK60" s="5" t="s">
        <v>360</v>
      </c>
      <c r="AL60" s="5" t="s">
        <v>360</v>
      </c>
      <c r="AM60" s="5" t="s">
        <v>360</v>
      </c>
      <c r="AN60" s="5" t="s">
        <v>360</v>
      </c>
      <c r="AO60" s="5" t="s">
        <v>360</v>
      </c>
      <c r="AP60" s="43">
        <f t="shared" si="48"/>
        <v>1.1626548746195899</v>
      </c>
      <c r="AQ60" s="44">
        <v>870</v>
      </c>
      <c r="AR60" s="35">
        <f t="shared" si="41"/>
        <v>237.27272727272728</v>
      </c>
      <c r="AS60" s="35">
        <f t="shared" si="42"/>
        <v>275.89999999999998</v>
      </c>
      <c r="AT60" s="35">
        <f t="shared" si="43"/>
        <v>38.627272727272697</v>
      </c>
      <c r="AU60" s="35">
        <v>63.4</v>
      </c>
      <c r="AV60" s="35">
        <v>46.5</v>
      </c>
      <c r="AW60" s="35">
        <v>39.5</v>
      </c>
      <c r="AX60" s="35">
        <f t="shared" si="44"/>
        <v>126.5</v>
      </c>
      <c r="AY60" s="35"/>
      <c r="AZ60" s="35">
        <f t="shared" si="45"/>
        <v>126.5</v>
      </c>
      <c r="BA60" s="35">
        <v>0</v>
      </c>
      <c r="BB60" s="35">
        <f t="shared" si="49"/>
        <v>126.5</v>
      </c>
      <c r="BC60" s="35">
        <f>MIN(BB60,0.6)</f>
        <v>0.6</v>
      </c>
      <c r="BD60" s="35">
        <f t="shared" si="46"/>
        <v>125.9</v>
      </c>
      <c r="BE60" s="35">
        <v>125.7</v>
      </c>
      <c r="BF60" s="35">
        <f t="shared" si="47"/>
        <v>0.2</v>
      </c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10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10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10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10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10"/>
      <c r="HA60" s="9"/>
      <c r="HB60" s="9"/>
    </row>
    <row r="61" spans="1:210" s="2" customFormat="1" ht="17.149999999999999" customHeight="1">
      <c r="A61" s="14" t="s">
        <v>48</v>
      </c>
      <c r="B61" s="63">
        <v>407</v>
      </c>
      <c r="C61" s="63">
        <v>417.2</v>
      </c>
      <c r="D61" s="4">
        <f t="shared" si="37"/>
        <v>1.0250614250614249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153</v>
      </c>
      <c r="O61" s="35">
        <v>257.10000000000002</v>
      </c>
      <c r="P61" s="4">
        <f t="shared" si="38"/>
        <v>1.2480392156862745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82">
        <v>3500</v>
      </c>
      <c r="W61" s="82">
        <v>3375</v>
      </c>
      <c r="X61" s="4">
        <f t="shared" si="39"/>
        <v>0.9642857142857143</v>
      </c>
      <c r="Y61" s="5">
        <v>5</v>
      </c>
      <c r="Z61" s="5">
        <v>960</v>
      </c>
      <c r="AA61" s="5">
        <v>1009</v>
      </c>
      <c r="AB61" s="4">
        <f t="shared" si="40"/>
        <v>1.0510416666666667</v>
      </c>
      <c r="AC61" s="5">
        <v>20</v>
      </c>
      <c r="AD61" s="5" t="s">
        <v>360</v>
      </c>
      <c r="AE61" s="5" t="s">
        <v>360</v>
      </c>
      <c r="AF61" s="5" t="s">
        <v>360</v>
      </c>
      <c r="AG61" s="5" t="s">
        <v>360</v>
      </c>
      <c r="AH61" s="5" t="s">
        <v>360</v>
      </c>
      <c r="AI61" s="5" t="s">
        <v>360</v>
      </c>
      <c r="AJ61" s="5" t="s">
        <v>360</v>
      </c>
      <c r="AK61" s="5" t="s">
        <v>360</v>
      </c>
      <c r="AL61" s="5" t="s">
        <v>360</v>
      </c>
      <c r="AM61" s="5" t="s">
        <v>360</v>
      </c>
      <c r="AN61" s="5" t="s">
        <v>360</v>
      </c>
      <c r="AO61" s="5" t="s">
        <v>360</v>
      </c>
      <c r="AP61" s="43">
        <f t="shared" si="48"/>
        <v>1.1185670668758902</v>
      </c>
      <c r="AQ61" s="44">
        <v>1932</v>
      </c>
      <c r="AR61" s="35">
        <f t="shared" si="41"/>
        <v>526.90909090909088</v>
      </c>
      <c r="AS61" s="35">
        <f t="shared" si="42"/>
        <v>589.4</v>
      </c>
      <c r="AT61" s="35">
        <f t="shared" si="43"/>
        <v>62.490909090909099</v>
      </c>
      <c r="AU61" s="35">
        <v>222.7</v>
      </c>
      <c r="AV61" s="35">
        <v>215.8</v>
      </c>
      <c r="AW61" s="35"/>
      <c r="AX61" s="35">
        <f t="shared" si="44"/>
        <v>150.9</v>
      </c>
      <c r="AY61" s="35"/>
      <c r="AZ61" s="35">
        <f t="shared" si="45"/>
        <v>150.9</v>
      </c>
      <c r="BA61" s="35">
        <v>0</v>
      </c>
      <c r="BB61" s="35">
        <f t="shared" si="49"/>
        <v>150.9</v>
      </c>
      <c r="BC61" s="35"/>
      <c r="BD61" s="35">
        <f t="shared" si="46"/>
        <v>150.9</v>
      </c>
      <c r="BE61" s="35">
        <v>159.9</v>
      </c>
      <c r="BF61" s="35">
        <f t="shared" si="47"/>
        <v>-9</v>
      </c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10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10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10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10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10"/>
      <c r="HA61" s="9"/>
      <c r="HB61" s="9"/>
    </row>
    <row r="62" spans="1:210" s="2" customFormat="1" ht="17.149999999999999" customHeight="1">
      <c r="A62" s="18" t="s">
        <v>49</v>
      </c>
      <c r="B62" s="5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83"/>
      <c r="W62" s="83"/>
      <c r="X62" s="11"/>
      <c r="Y62" s="11"/>
      <c r="Z62" s="11"/>
      <c r="AA62" s="11"/>
      <c r="AB62" s="11"/>
      <c r="AC62" s="1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35"/>
      <c r="BB62" s="35"/>
      <c r="BC62" s="35"/>
      <c r="BD62" s="35"/>
      <c r="BE62" s="35"/>
      <c r="BF62" s="35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10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10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10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10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10"/>
      <c r="HA62" s="9"/>
      <c r="HB62" s="9"/>
    </row>
    <row r="63" spans="1:210" s="2" customFormat="1" ht="17.149999999999999" customHeight="1">
      <c r="A63" s="14" t="s">
        <v>50</v>
      </c>
      <c r="B63" s="63">
        <v>2862770</v>
      </c>
      <c r="C63" s="63">
        <v>2493892.2999999998</v>
      </c>
      <c r="D63" s="4">
        <f t="shared" si="37"/>
        <v>0.87114658180713078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9751.7000000000007</v>
      </c>
      <c r="O63" s="35">
        <v>11116.7</v>
      </c>
      <c r="P63" s="4">
        <f t="shared" si="38"/>
        <v>1.1399755939989951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82">
        <v>602413</v>
      </c>
      <c r="W63" s="82">
        <v>653407</v>
      </c>
      <c r="X63" s="4">
        <f t="shared" si="39"/>
        <v>1.0846495676554124</v>
      </c>
      <c r="Y63" s="5">
        <v>5</v>
      </c>
      <c r="Z63" s="5">
        <v>55</v>
      </c>
      <c r="AA63" s="5">
        <v>55</v>
      </c>
      <c r="AB63" s="4">
        <f t="shared" si="40"/>
        <v>1</v>
      </c>
      <c r="AC63" s="5">
        <v>20</v>
      </c>
      <c r="AD63" s="5" t="s">
        <v>360</v>
      </c>
      <c r="AE63" s="5" t="s">
        <v>360</v>
      </c>
      <c r="AF63" s="5" t="s">
        <v>360</v>
      </c>
      <c r="AG63" s="5" t="s">
        <v>360</v>
      </c>
      <c r="AH63" s="5" t="s">
        <v>360</v>
      </c>
      <c r="AI63" s="5" t="s">
        <v>360</v>
      </c>
      <c r="AJ63" s="5" t="s">
        <v>360</v>
      </c>
      <c r="AK63" s="5" t="s">
        <v>360</v>
      </c>
      <c r="AL63" s="5" t="s">
        <v>360</v>
      </c>
      <c r="AM63" s="5" t="s">
        <v>360</v>
      </c>
      <c r="AN63" s="5" t="s">
        <v>360</v>
      </c>
      <c r="AO63" s="5" t="s">
        <v>360</v>
      </c>
      <c r="AP63" s="43">
        <f t="shared" si="48"/>
        <v>1.0515698525458523</v>
      </c>
      <c r="AQ63" s="44">
        <v>830</v>
      </c>
      <c r="AR63" s="35">
        <f t="shared" si="41"/>
        <v>226.36363636363637</v>
      </c>
      <c r="AS63" s="35">
        <f t="shared" si="42"/>
        <v>238</v>
      </c>
      <c r="AT63" s="35">
        <f t="shared" si="43"/>
        <v>11.636363636363626</v>
      </c>
      <c r="AU63" s="35">
        <v>62.3</v>
      </c>
      <c r="AV63" s="35">
        <v>76.599999999999994</v>
      </c>
      <c r="AW63" s="35">
        <v>0.5</v>
      </c>
      <c r="AX63" s="35">
        <f t="shared" si="44"/>
        <v>98.6</v>
      </c>
      <c r="AY63" s="35"/>
      <c r="AZ63" s="35">
        <f t="shared" si="45"/>
        <v>98.6</v>
      </c>
      <c r="BA63" s="35">
        <v>0</v>
      </c>
      <c r="BB63" s="35">
        <f t="shared" si="49"/>
        <v>98.6</v>
      </c>
      <c r="BC63" s="35"/>
      <c r="BD63" s="35">
        <f t="shared" si="46"/>
        <v>98.6</v>
      </c>
      <c r="BE63" s="35">
        <v>97.8</v>
      </c>
      <c r="BF63" s="35">
        <f t="shared" si="47"/>
        <v>0.8</v>
      </c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10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10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10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10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10"/>
      <c r="HA63" s="9"/>
      <c r="HB63" s="9"/>
    </row>
    <row r="64" spans="1:210" s="2" customFormat="1" ht="17.149999999999999" customHeight="1">
      <c r="A64" s="14" t="s">
        <v>51</v>
      </c>
      <c r="B64" s="63">
        <v>100</v>
      </c>
      <c r="C64" s="63">
        <v>90</v>
      </c>
      <c r="D64" s="4">
        <f t="shared" si="37"/>
        <v>0.9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107.8</v>
      </c>
      <c r="O64" s="35">
        <v>86.3</v>
      </c>
      <c r="P64" s="4">
        <f t="shared" si="38"/>
        <v>0.80055658627087201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82">
        <v>2095</v>
      </c>
      <c r="W64" s="82">
        <v>1058</v>
      </c>
      <c r="X64" s="4">
        <f t="shared" si="39"/>
        <v>0.50501193317422433</v>
      </c>
      <c r="Y64" s="5">
        <v>5</v>
      </c>
      <c r="Z64" s="5">
        <v>369</v>
      </c>
      <c r="AA64" s="5">
        <v>359</v>
      </c>
      <c r="AB64" s="4">
        <f t="shared" si="40"/>
        <v>0.97289972899728994</v>
      </c>
      <c r="AC64" s="5">
        <v>20</v>
      </c>
      <c r="AD64" s="5" t="s">
        <v>360</v>
      </c>
      <c r="AE64" s="5" t="s">
        <v>360</v>
      </c>
      <c r="AF64" s="5" t="s">
        <v>360</v>
      </c>
      <c r="AG64" s="5" t="s">
        <v>360</v>
      </c>
      <c r="AH64" s="5" t="s">
        <v>360</v>
      </c>
      <c r="AI64" s="5" t="s">
        <v>360</v>
      </c>
      <c r="AJ64" s="5" t="s">
        <v>360</v>
      </c>
      <c r="AK64" s="5" t="s">
        <v>360</v>
      </c>
      <c r="AL64" s="5" t="s">
        <v>360</v>
      </c>
      <c r="AM64" s="5" t="s">
        <v>360</v>
      </c>
      <c r="AN64" s="5" t="s">
        <v>360</v>
      </c>
      <c r="AO64" s="5" t="s">
        <v>360</v>
      </c>
      <c r="AP64" s="43">
        <f t="shared" si="48"/>
        <v>0.84988371942468721</v>
      </c>
      <c r="AQ64" s="44">
        <v>577</v>
      </c>
      <c r="AR64" s="35">
        <f t="shared" si="41"/>
        <v>157.36363636363637</v>
      </c>
      <c r="AS64" s="35">
        <f t="shared" si="42"/>
        <v>133.69999999999999</v>
      </c>
      <c r="AT64" s="35">
        <f t="shared" si="43"/>
        <v>-23.663636363636385</v>
      </c>
      <c r="AU64" s="35">
        <v>26.9</v>
      </c>
      <c r="AV64" s="35">
        <v>36.6</v>
      </c>
      <c r="AW64" s="35"/>
      <c r="AX64" s="35">
        <f t="shared" si="44"/>
        <v>70.2</v>
      </c>
      <c r="AY64" s="35"/>
      <c r="AZ64" s="35">
        <f t="shared" si="45"/>
        <v>70.2</v>
      </c>
      <c r="BA64" s="35">
        <v>0</v>
      </c>
      <c r="BB64" s="35">
        <f t="shared" si="49"/>
        <v>70.2</v>
      </c>
      <c r="BC64" s="35"/>
      <c r="BD64" s="35">
        <f t="shared" si="46"/>
        <v>70.2</v>
      </c>
      <c r="BE64" s="35">
        <v>76.3</v>
      </c>
      <c r="BF64" s="35">
        <f t="shared" si="47"/>
        <v>-6.1</v>
      </c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10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10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10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10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10"/>
      <c r="HA64" s="9"/>
      <c r="HB64" s="9"/>
    </row>
    <row r="65" spans="1:210" s="2" customFormat="1" ht="17.149999999999999" customHeight="1">
      <c r="A65" s="14" t="s">
        <v>52</v>
      </c>
      <c r="B65" s="63">
        <v>0</v>
      </c>
      <c r="C65" s="63">
        <v>0</v>
      </c>
      <c r="D65" s="4">
        <f t="shared" si="37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1395.9</v>
      </c>
      <c r="O65" s="35">
        <v>638.5</v>
      </c>
      <c r="P65" s="4">
        <f t="shared" si="38"/>
        <v>0.45741098932588292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82">
        <v>11215</v>
      </c>
      <c r="W65" s="82">
        <v>9960</v>
      </c>
      <c r="X65" s="4">
        <f t="shared" si="39"/>
        <v>0.88809629959875169</v>
      </c>
      <c r="Y65" s="5">
        <v>5</v>
      </c>
      <c r="Z65" s="5">
        <v>110</v>
      </c>
      <c r="AA65" s="5">
        <v>115</v>
      </c>
      <c r="AB65" s="4">
        <f t="shared" si="40"/>
        <v>1.0454545454545454</v>
      </c>
      <c r="AC65" s="5">
        <v>20</v>
      </c>
      <c r="AD65" s="5" t="s">
        <v>360</v>
      </c>
      <c r="AE65" s="5" t="s">
        <v>360</v>
      </c>
      <c r="AF65" s="5" t="s">
        <v>360</v>
      </c>
      <c r="AG65" s="5" t="s">
        <v>360</v>
      </c>
      <c r="AH65" s="5" t="s">
        <v>360</v>
      </c>
      <c r="AI65" s="5" t="s">
        <v>360</v>
      </c>
      <c r="AJ65" s="5" t="s">
        <v>360</v>
      </c>
      <c r="AK65" s="5" t="s">
        <v>360</v>
      </c>
      <c r="AL65" s="5" t="s">
        <v>360</v>
      </c>
      <c r="AM65" s="5" t="s">
        <v>360</v>
      </c>
      <c r="AN65" s="5" t="s">
        <v>360</v>
      </c>
      <c r="AO65" s="5" t="s">
        <v>360</v>
      </c>
      <c r="AP65" s="43">
        <f t="shared" si="48"/>
        <v>0.76661760430227388</v>
      </c>
      <c r="AQ65" s="44">
        <v>750</v>
      </c>
      <c r="AR65" s="35">
        <f t="shared" si="41"/>
        <v>204.54545454545456</v>
      </c>
      <c r="AS65" s="35">
        <f t="shared" si="42"/>
        <v>156.80000000000001</v>
      </c>
      <c r="AT65" s="35">
        <f t="shared" si="43"/>
        <v>-47.74545454545455</v>
      </c>
      <c r="AU65" s="35">
        <v>77.2</v>
      </c>
      <c r="AV65" s="35">
        <v>10.5</v>
      </c>
      <c r="AW65" s="35"/>
      <c r="AX65" s="35">
        <f t="shared" si="44"/>
        <v>69.099999999999994</v>
      </c>
      <c r="AY65" s="35"/>
      <c r="AZ65" s="35">
        <f t="shared" si="45"/>
        <v>69.099999999999994</v>
      </c>
      <c r="BA65" s="35">
        <v>0</v>
      </c>
      <c r="BB65" s="35">
        <f t="shared" si="49"/>
        <v>69.099999999999994</v>
      </c>
      <c r="BC65" s="35"/>
      <c r="BD65" s="35">
        <f t="shared" si="46"/>
        <v>69.099999999999994</v>
      </c>
      <c r="BE65" s="35">
        <v>66</v>
      </c>
      <c r="BF65" s="35">
        <f t="shared" si="47"/>
        <v>3.1</v>
      </c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10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10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10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10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10"/>
      <c r="HA65" s="9"/>
      <c r="HB65" s="9"/>
    </row>
    <row r="66" spans="1:210" s="2" customFormat="1" ht="17.149999999999999" customHeight="1">
      <c r="A66" s="14" t="s">
        <v>53</v>
      </c>
      <c r="B66" s="63">
        <v>0</v>
      </c>
      <c r="C66" s="63">
        <v>0</v>
      </c>
      <c r="D66" s="4">
        <f t="shared" si="37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150.30000000000001</v>
      </c>
      <c r="O66" s="35">
        <v>236.9</v>
      </c>
      <c r="P66" s="4">
        <f t="shared" si="38"/>
        <v>1.2376180971390551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82">
        <v>4150</v>
      </c>
      <c r="W66" s="82">
        <v>4003</v>
      </c>
      <c r="X66" s="4">
        <f t="shared" si="39"/>
        <v>0.96457831325301202</v>
      </c>
      <c r="Y66" s="5">
        <v>5</v>
      </c>
      <c r="Z66" s="5">
        <v>601</v>
      </c>
      <c r="AA66" s="5">
        <v>610</v>
      </c>
      <c r="AB66" s="4">
        <f t="shared" si="40"/>
        <v>1.0149750415973378</v>
      </c>
      <c r="AC66" s="5">
        <v>20</v>
      </c>
      <c r="AD66" s="5" t="s">
        <v>360</v>
      </c>
      <c r="AE66" s="5" t="s">
        <v>360</v>
      </c>
      <c r="AF66" s="5" t="s">
        <v>360</v>
      </c>
      <c r="AG66" s="5" t="s">
        <v>360</v>
      </c>
      <c r="AH66" s="5" t="s">
        <v>360</v>
      </c>
      <c r="AI66" s="5" t="s">
        <v>360</v>
      </c>
      <c r="AJ66" s="5" t="s">
        <v>360</v>
      </c>
      <c r="AK66" s="5" t="s">
        <v>360</v>
      </c>
      <c r="AL66" s="5" t="s">
        <v>360</v>
      </c>
      <c r="AM66" s="5" t="s">
        <v>360</v>
      </c>
      <c r="AN66" s="5" t="s">
        <v>360</v>
      </c>
      <c r="AO66" s="5" t="s">
        <v>360</v>
      </c>
      <c r="AP66" s="43">
        <f t="shared" si="48"/>
        <v>1.1083278742442872</v>
      </c>
      <c r="AQ66" s="44">
        <v>658</v>
      </c>
      <c r="AR66" s="35">
        <f t="shared" si="41"/>
        <v>179.45454545454547</v>
      </c>
      <c r="AS66" s="35">
        <f t="shared" si="42"/>
        <v>198.9</v>
      </c>
      <c r="AT66" s="35">
        <f t="shared" si="43"/>
        <v>19.445454545454538</v>
      </c>
      <c r="AU66" s="35">
        <v>77.8</v>
      </c>
      <c r="AV66" s="35">
        <v>8.3000000000000007</v>
      </c>
      <c r="AW66" s="35">
        <v>29.9</v>
      </c>
      <c r="AX66" s="35">
        <f t="shared" si="44"/>
        <v>82.9</v>
      </c>
      <c r="AY66" s="35"/>
      <c r="AZ66" s="35">
        <f t="shared" si="45"/>
        <v>82.9</v>
      </c>
      <c r="BA66" s="35">
        <v>0</v>
      </c>
      <c r="BB66" s="35">
        <f t="shared" si="49"/>
        <v>82.9</v>
      </c>
      <c r="BC66" s="35">
        <f>MIN(BB66,29.9)</f>
        <v>29.9</v>
      </c>
      <c r="BD66" s="35">
        <f t="shared" si="46"/>
        <v>53</v>
      </c>
      <c r="BE66" s="35">
        <v>56.2</v>
      </c>
      <c r="BF66" s="35">
        <f t="shared" si="47"/>
        <v>-3.2</v>
      </c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10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10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10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10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10"/>
      <c r="HA66" s="9"/>
      <c r="HB66" s="9"/>
    </row>
    <row r="67" spans="1:210" s="2" customFormat="1" ht="17.149999999999999" customHeight="1">
      <c r="A67" s="14" t="s">
        <v>54</v>
      </c>
      <c r="B67" s="63">
        <v>0</v>
      </c>
      <c r="C67" s="63">
        <v>0</v>
      </c>
      <c r="D67" s="4">
        <f t="shared" si="37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321.39999999999998</v>
      </c>
      <c r="O67" s="35">
        <v>247.4</v>
      </c>
      <c r="P67" s="4">
        <f t="shared" si="38"/>
        <v>0.76975731176104545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82">
        <v>2445</v>
      </c>
      <c r="W67" s="82">
        <v>1612</v>
      </c>
      <c r="X67" s="4">
        <f t="shared" si="39"/>
        <v>0.65930470347648262</v>
      </c>
      <c r="Y67" s="5">
        <v>5</v>
      </c>
      <c r="Z67" s="5">
        <v>928</v>
      </c>
      <c r="AA67" s="5">
        <v>981</v>
      </c>
      <c r="AB67" s="4">
        <f t="shared" si="40"/>
        <v>1.0571120689655173</v>
      </c>
      <c r="AC67" s="5">
        <v>20</v>
      </c>
      <c r="AD67" s="5" t="s">
        <v>360</v>
      </c>
      <c r="AE67" s="5" t="s">
        <v>360</v>
      </c>
      <c r="AF67" s="5" t="s">
        <v>360</v>
      </c>
      <c r="AG67" s="5" t="s">
        <v>360</v>
      </c>
      <c r="AH67" s="5" t="s">
        <v>360</v>
      </c>
      <c r="AI67" s="5" t="s">
        <v>360</v>
      </c>
      <c r="AJ67" s="5" t="s">
        <v>360</v>
      </c>
      <c r="AK67" s="5" t="s">
        <v>360</v>
      </c>
      <c r="AL67" s="5" t="s">
        <v>360</v>
      </c>
      <c r="AM67" s="5" t="s">
        <v>360</v>
      </c>
      <c r="AN67" s="5" t="s">
        <v>360</v>
      </c>
      <c r="AO67" s="5" t="s">
        <v>360</v>
      </c>
      <c r="AP67" s="43">
        <f t="shared" si="48"/>
        <v>0.88519802515363721</v>
      </c>
      <c r="AQ67" s="44">
        <v>1113</v>
      </c>
      <c r="AR67" s="35">
        <f t="shared" si="41"/>
        <v>303.54545454545456</v>
      </c>
      <c r="AS67" s="35">
        <f t="shared" si="42"/>
        <v>268.7</v>
      </c>
      <c r="AT67" s="35">
        <f t="shared" si="43"/>
        <v>-34.845454545454572</v>
      </c>
      <c r="AU67" s="35">
        <v>84.9</v>
      </c>
      <c r="AV67" s="35">
        <v>11.9</v>
      </c>
      <c r="AW67" s="35">
        <v>44</v>
      </c>
      <c r="AX67" s="35">
        <f t="shared" si="44"/>
        <v>127.9</v>
      </c>
      <c r="AY67" s="35"/>
      <c r="AZ67" s="35">
        <f t="shared" si="45"/>
        <v>127.9</v>
      </c>
      <c r="BA67" s="35">
        <v>0</v>
      </c>
      <c r="BB67" s="35">
        <f t="shared" si="49"/>
        <v>127.9</v>
      </c>
      <c r="BC67" s="35"/>
      <c r="BD67" s="35">
        <f t="shared" si="46"/>
        <v>127.9</v>
      </c>
      <c r="BE67" s="35">
        <v>136.5</v>
      </c>
      <c r="BF67" s="35">
        <f t="shared" si="47"/>
        <v>-8.6</v>
      </c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10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10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10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10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10"/>
      <c r="HA67" s="9"/>
      <c r="HB67" s="9"/>
    </row>
    <row r="68" spans="1:210" s="2" customFormat="1" ht="17.149999999999999" customHeight="1">
      <c r="A68" s="14" t="s">
        <v>55</v>
      </c>
      <c r="B68" s="63">
        <v>0</v>
      </c>
      <c r="C68" s="63">
        <v>0</v>
      </c>
      <c r="D68" s="4">
        <f t="shared" si="37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216.7</v>
      </c>
      <c r="P68" s="4">
        <f t="shared" si="38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82">
        <v>1599</v>
      </c>
      <c r="W68" s="82">
        <v>1420</v>
      </c>
      <c r="X68" s="4">
        <f t="shared" si="39"/>
        <v>0.8880550343964978</v>
      </c>
      <c r="Y68" s="5">
        <v>5</v>
      </c>
      <c r="Z68" s="5">
        <v>334</v>
      </c>
      <c r="AA68" s="5">
        <v>305</v>
      </c>
      <c r="AB68" s="4">
        <f t="shared" si="40"/>
        <v>0.91317365269461082</v>
      </c>
      <c r="AC68" s="5">
        <v>20</v>
      </c>
      <c r="AD68" s="5" t="s">
        <v>360</v>
      </c>
      <c r="AE68" s="5" t="s">
        <v>360</v>
      </c>
      <c r="AF68" s="5" t="s">
        <v>360</v>
      </c>
      <c r="AG68" s="5" t="s">
        <v>360</v>
      </c>
      <c r="AH68" s="5" t="s">
        <v>360</v>
      </c>
      <c r="AI68" s="5" t="s">
        <v>360</v>
      </c>
      <c r="AJ68" s="5" t="s">
        <v>360</v>
      </c>
      <c r="AK68" s="5" t="s">
        <v>360</v>
      </c>
      <c r="AL68" s="5" t="s">
        <v>360</v>
      </c>
      <c r="AM68" s="5" t="s">
        <v>360</v>
      </c>
      <c r="AN68" s="5" t="s">
        <v>360</v>
      </c>
      <c r="AO68" s="5" t="s">
        <v>360</v>
      </c>
      <c r="AP68" s="43">
        <f t="shared" si="48"/>
        <v>0.94897218279721562</v>
      </c>
      <c r="AQ68" s="44">
        <v>1039</v>
      </c>
      <c r="AR68" s="35">
        <f t="shared" si="41"/>
        <v>283.36363636363637</v>
      </c>
      <c r="AS68" s="35">
        <f t="shared" si="42"/>
        <v>268.89999999999998</v>
      </c>
      <c r="AT68" s="35">
        <f t="shared" si="43"/>
        <v>-14.463636363636397</v>
      </c>
      <c r="AU68" s="35">
        <v>94.5</v>
      </c>
      <c r="AV68" s="35">
        <v>94.5</v>
      </c>
      <c r="AW68" s="35"/>
      <c r="AX68" s="35">
        <f t="shared" si="44"/>
        <v>79.900000000000006</v>
      </c>
      <c r="AY68" s="35"/>
      <c r="AZ68" s="35">
        <f t="shared" si="45"/>
        <v>79.900000000000006</v>
      </c>
      <c r="BA68" s="35">
        <v>0</v>
      </c>
      <c r="BB68" s="35">
        <f t="shared" si="49"/>
        <v>79.900000000000006</v>
      </c>
      <c r="BC68" s="35"/>
      <c r="BD68" s="35">
        <f t="shared" si="46"/>
        <v>79.900000000000006</v>
      </c>
      <c r="BE68" s="35">
        <v>82.1</v>
      </c>
      <c r="BF68" s="35">
        <f t="shared" si="47"/>
        <v>-2.2000000000000002</v>
      </c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10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10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10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10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10"/>
      <c r="HA68" s="9"/>
      <c r="HB68" s="9"/>
    </row>
    <row r="69" spans="1:210" s="2" customFormat="1" ht="17.149999999999999" customHeight="1">
      <c r="A69" s="14" t="s">
        <v>56</v>
      </c>
      <c r="B69" s="63">
        <v>0</v>
      </c>
      <c r="C69" s="63">
        <v>0</v>
      </c>
      <c r="D69" s="4">
        <f t="shared" si="37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258.3</v>
      </c>
      <c r="O69" s="35">
        <v>360.8</v>
      </c>
      <c r="P69" s="4">
        <f t="shared" si="38"/>
        <v>1.2196825396825397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82">
        <v>5399</v>
      </c>
      <c r="W69" s="82">
        <v>4779</v>
      </c>
      <c r="X69" s="4">
        <f t="shared" si="39"/>
        <v>0.88516391924430449</v>
      </c>
      <c r="Y69" s="5">
        <v>5</v>
      </c>
      <c r="Z69" s="5">
        <v>271</v>
      </c>
      <c r="AA69" s="5">
        <v>315</v>
      </c>
      <c r="AB69" s="4">
        <f t="shared" si="40"/>
        <v>1.1623616236162362</v>
      </c>
      <c r="AC69" s="5">
        <v>20</v>
      </c>
      <c r="AD69" s="5" t="s">
        <v>360</v>
      </c>
      <c r="AE69" s="5" t="s">
        <v>360</v>
      </c>
      <c r="AF69" s="5" t="s">
        <v>360</v>
      </c>
      <c r="AG69" s="5" t="s">
        <v>360</v>
      </c>
      <c r="AH69" s="5" t="s">
        <v>360</v>
      </c>
      <c r="AI69" s="5" t="s">
        <v>360</v>
      </c>
      <c r="AJ69" s="5" t="s">
        <v>360</v>
      </c>
      <c r="AK69" s="5" t="s">
        <v>360</v>
      </c>
      <c r="AL69" s="5" t="s">
        <v>360</v>
      </c>
      <c r="AM69" s="5" t="s">
        <v>360</v>
      </c>
      <c r="AN69" s="5" t="s">
        <v>360</v>
      </c>
      <c r="AO69" s="5" t="s">
        <v>360</v>
      </c>
      <c r="AP69" s="43">
        <f t="shared" si="48"/>
        <v>1.1570378413821565</v>
      </c>
      <c r="AQ69" s="44">
        <v>1552</v>
      </c>
      <c r="AR69" s="35">
        <f t="shared" si="41"/>
        <v>423.27272727272725</v>
      </c>
      <c r="AS69" s="35">
        <f t="shared" si="42"/>
        <v>489.7</v>
      </c>
      <c r="AT69" s="35">
        <f t="shared" si="43"/>
        <v>66.427272727272737</v>
      </c>
      <c r="AU69" s="35">
        <v>183.4</v>
      </c>
      <c r="AV69" s="35">
        <v>41.2</v>
      </c>
      <c r="AW69" s="35"/>
      <c r="AX69" s="35">
        <f t="shared" si="44"/>
        <v>265.10000000000002</v>
      </c>
      <c r="AY69" s="35"/>
      <c r="AZ69" s="35">
        <f t="shared" si="45"/>
        <v>265.10000000000002</v>
      </c>
      <c r="BA69" s="35">
        <v>0</v>
      </c>
      <c r="BB69" s="35">
        <f t="shared" si="49"/>
        <v>265.10000000000002</v>
      </c>
      <c r="BC69" s="35"/>
      <c r="BD69" s="35">
        <f t="shared" si="46"/>
        <v>265.10000000000002</v>
      </c>
      <c r="BE69" s="35">
        <v>279.5</v>
      </c>
      <c r="BF69" s="35">
        <f t="shared" si="47"/>
        <v>-14.4</v>
      </c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10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10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10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10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10"/>
      <c r="HA69" s="9"/>
      <c r="HB69" s="9"/>
    </row>
    <row r="70" spans="1:210" s="2" customFormat="1" ht="17.149999999999999" customHeight="1">
      <c r="A70" s="14" t="s">
        <v>57</v>
      </c>
      <c r="B70" s="63">
        <v>26148</v>
      </c>
      <c r="C70" s="63">
        <v>28803.1</v>
      </c>
      <c r="D70" s="4">
        <f t="shared" si="37"/>
        <v>1.1015412268624751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2110.5</v>
      </c>
      <c r="O70" s="35">
        <v>1871.9</v>
      </c>
      <c r="P70" s="4">
        <f t="shared" si="38"/>
        <v>0.88694622127457956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82">
        <v>16312</v>
      </c>
      <c r="W70" s="82">
        <v>16720</v>
      </c>
      <c r="X70" s="4">
        <f t="shared" si="39"/>
        <v>1.0250122609122119</v>
      </c>
      <c r="Y70" s="5">
        <v>5</v>
      </c>
      <c r="Z70" s="5">
        <v>130</v>
      </c>
      <c r="AA70" s="5">
        <v>102</v>
      </c>
      <c r="AB70" s="4">
        <f t="shared" si="40"/>
        <v>0.7846153846153846</v>
      </c>
      <c r="AC70" s="5">
        <v>20</v>
      </c>
      <c r="AD70" s="5" t="s">
        <v>360</v>
      </c>
      <c r="AE70" s="5" t="s">
        <v>360</v>
      </c>
      <c r="AF70" s="5" t="s">
        <v>360</v>
      </c>
      <c r="AG70" s="5" t="s">
        <v>360</v>
      </c>
      <c r="AH70" s="5" t="s">
        <v>360</v>
      </c>
      <c r="AI70" s="5" t="s">
        <v>360</v>
      </c>
      <c r="AJ70" s="5" t="s">
        <v>360</v>
      </c>
      <c r="AK70" s="5" t="s">
        <v>360</v>
      </c>
      <c r="AL70" s="5" t="s">
        <v>360</v>
      </c>
      <c r="AM70" s="5" t="s">
        <v>360</v>
      </c>
      <c r="AN70" s="5" t="s">
        <v>360</v>
      </c>
      <c r="AO70" s="5" t="s">
        <v>360</v>
      </c>
      <c r="AP70" s="43">
        <f t="shared" si="48"/>
        <v>0.88127999113345434</v>
      </c>
      <c r="AQ70" s="44">
        <v>122</v>
      </c>
      <c r="AR70" s="35">
        <f t="shared" si="41"/>
        <v>33.272727272727273</v>
      </c>
      <c r="AS70" s="35">
        <f t="shared" si="42"/>
        <v>29.3</v>
      </c>
      <c r="AT70" s="35">
        <f t="shared" si="43"/>
        <v>-3.9727272727272727</v>
      </c>
      <c r="AU70" s="35">
        <v>12.7</v>
      </c>
      <c r="AV70" s="35">
        <v>1.5</v>
      </c>
      <c r="AW70" s="35">
        <v>5.5</v>
      </c>
      <c r="AX70" s="35">
        <f t="shared" si="44"/>
        <v>9.6</v>
      </c>
      <c r="AY70" s="35"/>
      <c r="AZ70" s="35">
        <f t="shared" si="45"/>
        <v>9.6</v>
      </c>
      <c r="BA70" s="35">
        <v>0</v>
      </c>
      <c r="BB70" s="35">
        <f t="shared" si="49"/>
        <v>9.6</v>
      </c>
      <c r="BC70" s="35">
        <f>MIN(BB70,5.5)</f>
        <v>5.5</v>
      </c>
      <c r="BD70" s="35">
        <f t="shared" si="46"/>
        <v>4.0999999999999996</v>
      </c>
      <c r="BE70" s="35">
        <v>3.6</v>
      </c>
      <c r="BF70" s="35">
        <f t="shared" si="47"/>
        <v>0.5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10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10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10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10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10"/>
      <c r="HA70" s="9"/>
      <c r="HB70" s="9"/>
    </row>
    <row r="71" spans="1:210" s="2" customFormat="1" ht="17.149999999999999" customHeight="1">
      <c r="A71" s="14" t="s">
        <v>58</v>
      </c>
      <c r="B71" s="63">
        <v>0</v>
      </c>
      <c r="C71" s="63">
        <v>0</v>
      </c>
      <c r="D71" s="4">
        <f t="shared" si="37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476.9</v>
      </c>
      <c r="O71" s="35">
        <v>334.6</v>
      </c>
      <c r="P71" s="4">
        <f t="shared" si="38"/>
        <v>0.70161459425456074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82">
        <v>8605</v>
      </c>
      <c r="W71" s="82">
        <v>8338</v>
      </c>
      <c r="X71" s="4">
        <f t="shared" si="39"/>
        <v>0.96897152818128995</v>
      </c>
      <c r="Y71" s="5">
        <v>5</v>
      </c>
      <c r="Z71" s="5">
        <v>733</v>
      </c>
      <c r="AA71" s="5">
        <v>735</v>
      </c>
      <c r="AB71" s="4">
        <f t="shared" si="40"/>
        <v>1.0027285129604366</v>
      </c>
      <c r="AC71" s="5">
        <v>20</v>
      </c>
      <c r="AD71" s="5" t="s">
        <v>360</v>
      </c>
      <c r="AE71" s="5" t="s">
        <v>360</v>
      </c>
      <c r="AF71" s="5" t="s">
        <v>360</v>
      </c>
      <c r="AG71" s="5" t="s">
        <v>360</v>
      </c>
      <c r="AH71" s="5" t="s">
        <v>360</v>
      </c>
      <c r="AI71" s="5" t="s">
        <v>360</v>
      </c>
      <c r="AJ71" s="5" t="s">
        <v>360</v>
      </c>
      <c r="AK71" s="5" t="s">
        <v>360</v>
      </c>
      <c r="AL71" s="5" t="s">
        <v>360</v>
      </c>
      <c r="AM71" s="5" t="s">
        <v>360</v>
      </c>
      <c r="AN71" s="5" t="s">
        <v>360</v>
      </c>
      <c r="AO71" s="5" t="s">
        <v>360</v>
      </c>
      <c r="AP71" s="43">
        <f t="shared" si="48"/>
        <v>0.86514932856014215</v>
      </c>
      <c r="AQ71" s="44">
        <v>708</v>
      </c>
      <c r="AR71" s="35">
        <f t="shared" si="41"/>
        <v>193.09090909090907</v>
      </c>
      <c r="AS71" s="35">
        <f t="shared" si="42"/>
        <v>167.1</v>
      </c>
      <c r="AT71" s="35">
        <f t="shared" si="43"/>
        <v>-25.990909090909071</v>
      </c>
      <c r="AU71" s="35">
        <v>39</v>
      </c>
      <c r="AV71" s="35">
        <v>54.1</v>
      </c>
      <c r="AW71" s="35"/>
      <c r="AX71" s="35">
        <f t="shared" si="44"/>
        <v>74</v>
      </c>
      <c r="AY71" s="35"/>
      <c r="AZ71" s="35">
        <f t="shared" si="45"/>
        <v>74</v>
      </c>
      <c r="BA71" s="35">
        <v>0</v>
      </c>
      <c r="BB71" s="35">
        <f t="shared" si="49"/>
        <v>74</v>
      </c>
      <c r="BC71" s="35"/>
      <c r="BD71" s="35">
        <f t="shared" si="46"/>
        <v>74</v>
      </c>
      <c r="BE71" s="35">
        <v>71.400000000000006</v>
      </c>
      <c r="BF71" s="35">
        <f t="shared" si="47"/>
        <v>2.6</v>
      </c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10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10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10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10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10"/>
      <c r="HA71" s="9"/>
      <c r="HB71" s="9"/>
    </row>
    <row r="72" spans="1:210" s="2" customFormat="1" ht="17.149999999999999" customHeight="1">
      <c r="A72" s="14" t="s">
        <v>59</v>
      </c>
      <c r="B72" s="63">
        <v>0</v>
      </c>
      <c r="C72" s="63">
        <v>0</v>
      </c>
      <c r="D72" s="4">
        <f t="shared" si="37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469</v>
      </c>
      <c r="O72" s="35">
        <v>209.2</v>
      </c>
      <c r="P72" s="4">
        <f t="shared" si="38"/>
        <v>0.44605543710021317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82">
        <v>972</v>
      </c>
      <c r="W72" s="82">
        <v>887</v>
      </c>
      <c r="X72" s="4">
        <f t="shared" si="39"/>
        <v>0.91255144032921809</v>
      </c>
      <c r="Y72" s="5">
        <v>5</v>
      </c>
      <c r="Z72" s="5">
        <v>201</v>
      </c>
      <c r="AA72" s="5">
        <v>216</v>
      </c>
      <c r="AB72" s="4">
        <f t="shared" si="40"/>
        <v>1.0746268656716418</v>
      </c>
      <c r="AC72" s="5">
        <v>20</v>
      </c>
      <c r="AD72" s="5" t="s">
        <v>360</v>
      </c>
      <c r="AE72" s="5" t="s">
        <v>360</v>
      </c>
      <c r="AF72" s="5" t="s">
        <v>360</v>
      </c>
      <c r="AG72" s="5" t="s">
        <v>360</v>
      </c>
      <c r="AH72" s="5" t="s">
        <v>360</v>
      </c>
      <c r="AI72" s="5" t="s">
        <v>360</v>
      </c>
      <c r="AJ72" s="5" t="s">
        <v>360</v>
      </c>
      <c r="AK72" s="5" t="s">
        <v>360</v>
      </c>
      <c r="AL72" s="5" t="s">
        <v>360</v>
      </c>
      <c r="AM72" s="5" t="s">
        <v>360</v>
      </c>
      <c r="AN72" s="5" t="s">
        <v>360</v>
      </c>
      <c r="AO72" s="5" t="s">
        <v>360</v>
      </c>
      <c r="AP72" s="43">
        <f t="shared" si="48"/>
        <v>0.77725340571295987</v>
      </c>
      <c r="AQ72" s="44">
        <v>669</v>
      </c>
      <c r="AR72" s="35">
        <f t="shared" si="41"/>
        <v>182.45454545454547</v>
      </c>
      <c r="AS72" s="35">
        <f t="shared" si="42"/>
        <v>141.80000000000001</v>
      </c>
      <c r="AT72" s="35">
        <f t="shared" si="43"/>
        <v>-40.654545454545456</v>
      </c>
      <c r="AU72" s="35">
        <v>13.5</v>
      </c>
      <c r="AV72" s="35">
        <v>6.4</v>
      </c>
      <c r="AW72" s="35"/>
      <c r="AX72" s="35">
        <f t="shared" si="44"/>
        <v>121.9</v>
      </c>
      <c r="AY72" s="35"/>
      <c r="AZ72" s="35">
        <f t="shared" si="45"/>
        <v>121.9</v>
      </c>
      <c r="BA72" s="35">
        <v>0</v>
      </c>
      <c r="BB72" s="35">
        <f t="shared" si="49"/>
        <v>121.9</v>
      </c>
      <c r="BC72" s="35"/>
      <c r="BD72" s="35">
        <f t="shared" si="46"/>
        <v>121.9</v>
      </c>
      <c r="BE72" s="35">
        <v>118.8</v>
      </c>
      <c r="BF72" s="35">
        <f t="shared" si="47"/>
        <v>3.1</v>
      </c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10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10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10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10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10"/>
      <c r="HA72" s="9"/>
      <c r="HB72" s="9"/>
    </row>
    <row r="73" spans="1:210" s="2" customFormat="1" ht="17.149999999999999" customHeight="1">
      <c r="A73" s="14" t="s">
        <v>60</v>
      </c>
      <c r="B73" s="63">
        <v>0</v>
      </c>
      <c r="C73" s="63">
        <v>0</v>
      </c>
      <c r="D73" s="4">
        <f t="shared" si="37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104.8</v>
      </c>
      <c r="O73" s="35">
        <v>227.2</v>
      </c>
      <c r="P73" s="4">
        <f t="shared" si="38"/>
        <v>1.2967938931297709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82">
        <v>496</v>
      </c>
      <c r="W73" s="82">
        <v>442</v>
      </c>
      <c r="X73" s="4">
        <f t="shared" si="39"/>
        <v>0.8911290322580645</v>
      </c>
      <c r="Y73" s="5">
        <v>5</v>
      </c>
      <c r="Z73" s="5">
        <v>32</v>
      </c>
      <c r="AA73" s="5">
        <v>32</v>
      </c>
      <c r="AB73" s="4">
        <f t="shared" si="40"/>
        <v>1</v>
      </c>
      <c r="AC73" s="5">
        <v>20</v>
      </c>
      <c r="AD73" s="5" t="s">
        <v>360</v>
      </c>
      <c r="AE73" s="5" t="s">
        <v>360</v>
      </c>
      <c r="AF73" s="5" t="s">
        <v>360</v>
      </c>
      <c r="AG73" s="5" t="s">
        <v>360</v>
      </c>
      <c r="AH73" s="5" t="s">
        <v>360</v>
      </c>
      <c r="AI73" s="5" t="s">
        <v>360</v>
      </c>
      <c r="AJ73" s="5" t="s">
        <v>360</v>
      </c>
      <c r="AK73" s="5" t="s">
        <v>360</v>
      </c>
      <c r="AL73" s="5" t="s">
        <v>360</v>
      </c>
      <c r="AM73" s="5" t="s">
        <v>360</v>
      </c>
      <c r="AN73" s="5" t="s">
        <v>360</v>
      </c>
      <c r="AO73" s="5" t="s">
        <v>360</v>
      </c>
      <c r="AP73" s="43">
        <f t="shared" si="48"/>
        <v>1.1198116227530164</v>
      </c>
      <c r="AQ73" s="44">
        <v>891</v>
      </c>
      <c r="AR73" s="35">
        <f t="shared" si="41"/>
        <v>243</v>
      </c>
      <c r="AS73" s="35">
        <f t="shared" si="42"/>
        <v>272.10000000000002</v>
      </c>
      <c r="AT73" s="35">
        <f t="shared" si="43"/>
        <v>29.100000000000023</v>
      </c>
      <c r="AU73" s="35">
        <v>74.599999999999994</v>
      </c>
      <c r="AV73" s="35">
        <v>105.3</v>
      </c>
      <c r="AW73" s="35"/>
      <c r="AX73" s="35">
        <f t="shared" si="44"/>
        <v>92.2</v>
      </c>
      <c r="AY73" s="35"/>
      <c r="AZ73" s="35">
        <f t="shared" si="45"/>
        <v>92.2</v>
      </c>
      <c r="BA73" s="35">
        <v>0</v>
      </c>
      <c r="BB73" s="35">
        <f t="shared" si="49"/>
        <v>92.2</v>
      </c>
      <c r="BC73" s="35"/>
      <c r="BD73" s="35">
        <f t="shared" si="46"/>
        <v>92.2</v>
      </c>
      <c r="BE73" s="35">
        <v>99.2</v>
      </c>
      <c r="BF73" s="35">
        <f t="shared" si="47"/>
        <v>-7</v>
      </c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10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10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10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10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10"/>
      <c r="HA73" s="9"/>
      <c r="HB73" s="9"/>
    </row>
    <row r="74" spans="1:210" s="2" customFormat="1" ht="17.149999999999999" customHeight="1">
      <c r="A74" s="14" t="s">
        <v>61</v>
      </c>
      <c r="B74" s="63">
        <v>600</v>
      </c>
      <c r="C74" s="63">
        <v>4035</v>
      </c>
      <c r="D74" s="4">
        <f t="shared" si="37"/>
        <v>1.3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429.9</v>
      </c>
      <c r="O74" s="35">
        <v>178.7</v>
      </c>
      <c r="P74" s="4">
        <f t="shared" si="38"/>
        <v>0.41567806466620144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82">
        <v>5228</v>
      </c>
      <c r="W74" s="82">
        <v>2916</v>
      </c>
      <c r="X74" s="4">
        <f t="shared" si="39"/>
        <v>0.55776587605202754</v>
      </c>
      <c r="Y74" s="5">
        <v>5</v>
      </c>
      <c r="Z74" s="5">
        <v>607</v>
      </c>
      <c r="AA74" s="5">
        <v>625</v>
      </c>
      <c r="AB74" s="4">
        <f t="shared" si="40"/>
        <v>1.029654036243822</v>
      </c>
      <c r="AC74" s="5">
        <v>20</v>
      </c>
      <c r="AD74" s="5" t="s">
        <v>360</v>
      </c>
      <c r="AE74" s="5" t="s">
        <v>360</v>
      </c>
      <c r="AF74" s="5" t="s">
        <v>360</v>
      </c>
      <c r="AG74" s="5" t="s">
        <v>360</v>
      </c>
      <c r="AH74" s="5" t="s">
        <v>360</v>
      </c>
      <c r="AI74" s="5" t="s">
        <v>360</v>
      </c>
      <c r="AJ74" s="5" t="s">
        <v>360</v>
      </c>
      <c r="AK74" s="5" t="s">
        <v>360</v>
      </c>
      <c r="AL74" s="5" t="s">
        <v>360</v>
      </c>
      <c r="AM74" s="5" t="s">
        <v>360</v>
      </c>
      <c r="AN74" s="5" t="s">
        <v>360</v>
      </c>
      <c r="AO74" s="5" t="s">
        <v>360</v>
      </c>
      <c r="AP74" s="43">
        <f t="shared" si="48"/>
        <v>0.76390942796921224</v>
      </c>
      <c r="AQ74" s="44">
        <v>909</v>
      </c>
      <c r="AR74" s="35">
        <f t="shared" si="41"/>
        <v>247.90909090909093</v>
      </c>
      <c r="AS74" s="35">
        <f t="shared" si="42"/>
        <v>189.4</v>
      </c>
      <c r="AT74" s="35">
        <f t="shared" si="43"/>
        <v>-58.509090909090929</v>
      </c>
      <c r="AU74" s="35">
        <v>48.7</v>
      </c>
      <c r="AV74" s="35">
        <v>11.2</v>
      </c>
      <c r="AW74" s="35"/>
      <c r="AX74" s="35">
        <f t="shared" si="44"/>
        <v>129.5</v>
      </c>
      <c r="AY74" s="35"/>
      <c r="AZ74" s="35">
        <f t="shared" si="45"/>
        <v>129.5</v>
      </c>
      <c r="BA74" s="35">
        <v>0</v>
      </c>
      <c r="BB74" s="35">
        <f t="shared" si="49"/>
        <v>129.5</v>
      </c>
      <c r="BC74" s="35"/>
      <c r="BD74" s="35">
        <f t="shared" si="46"/>
        <v>129.5</v>
      </c>
      <c r="BE74" s="35">
        <v>135.19999999999999</v>
      </c>
      <c r="BF74" s="35">
        <f t="shared" si="47"/>
        <v>-5.7</v>
      </c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10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10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10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10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10"/>
      <c r="HA74" s="9"/>
      <c r="HB74" s="9"/>
    </row>
    <row r="75" spans="1:210" s="2" customFormat="1" ht="17.149999999999999" customHeight="1">
      <c r="A75" s="18" t="s">
        <v>62</v>
      </c>
      <c r="B75" s="5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83"/>
      <c r="W75" s="83"/>
      <c r="X75" s="11"/>
      <c r="Y75" s="11"/>
      <c r="Z75" s="11"/>
      <c r="AA75" s="11"/>
      <c r="AB75" s="11"/>
      <c r="AC75" s="11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35"/>
      <c r="BB75" s="35"/>
      <c r="BC75" s="35"/>
      <c r="BD75" s="35"/>
      <c r="BE75" s="35"/>
      <c r="BF75" s="35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10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10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10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10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10"/>
      <c r="HA75" s="9"/>
      <c r="HB75" s="9"/>
    </row>
    <row r="76" spans="1:210" s="2" customFormat="1" ht="17.149999999999999" customHeight="1">
      <c r="A76" s="14" t="s">
        <v>63</v>
      </c>
      <c r="B76" s="63">
        <v>0</v>
      </c>
      <c r="C76" s="63">
        <v>0</v>
      </c>
      <c r="D76" s="4">
        <f t="shared" si="37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656.4</v>
      </c>
      <c r="O76" s="35">
        <v>1155.5</v>
      </c>
      <c r="P76" s="4">
        <f t="shared" si="38"/>
        <v>1.2560359536867762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82">
        <v>10840</v>
      </c>
      <c r="W76" s="82">
        <v>8845</v>
      </c>
      <c r="X76" s="4">
        <f t="shared" si="39"/>
        <v>0.81595940959409596</v>
      </c>
      <c r="Y76" s="5">
        <v>5</v>
      </c>
      <c r="Z76" s="5">
        <v>2010</v>
      </c>
      <c r="AA76" s="5">
        <v>2010</v>
      </c>
      <c r="AB76" s="4">
        <f t="shared" si="40"/>
        <v>1</v>
      </c>
      <c r="AC76" s="5">
        <v>20</v>
      </c>
      <c r="AD76" s="5" t="s">
        <v>360</v>
      </c>
      <c r="AE76" s="5" t="s">
        <v>360</v>
      </c>
      <c r="AF76" s="5" t="s">
        <v>360</v>
      </c>
      <c r="AG76" s="5" t="s">
        <v>360</v>
      </c>
      <c r="AH76" s="5" t="s">
        <v>360</v>
      </c>
      <c r="AI76" s="5" t="s">
        <v>360</v>
      </c>
      <c r="AJ76" s="5" t="s">
        <v>360</v>
      </c>
      <c r="AK76" s="5" t="s">
        <v>360</v>
      </c>
      <c r="AL76" s="5" t="s">
        <v>360</v>
      </c>
      <c r="AM76" s="5" t="s">
        <v>360</v>
      </c>
      <c r="AN76" s="5" t="s">
        <v>360</v>
      </c>
      <c r="AO76" s="5" t="s">
        <v>360</v>
      </c>
      <c r="AP76" s="43">
        <f t="shared" si="48"/>
        <v>1.0933448027045778</v>
      </c>
      <c r="AQ76" s="44">
        <v>2702</v>
      </c>
      <c r="AR76" s="35">
        <f t="shared" si="41"/>
        <v>736.90909090909088</v>
      </c>
      <c r="AS76" s="35">
        <f t="shared" si="42"/>
        <v>805.7</v>
      </c>
      <c r="AT76" s="35">
        <f t="shared" si="43"/>
        <v>68.790909090909167</v>
      </c>
      <c r="AU76" s="35">
        <v>300.2</v>
      </c>
      <c r="AV76" s="35">
        <v>210.1</v>
      </c>
      <c r="AW76" s="35"/>
      <c r="AX76" s="35">
        <f t="shared" si="44"/>
        <v>295.39999999999998</v>
      </c>
      <c r="AY76" s="35"/>
      <c r="AZ76" s="35">
        <f t="shared" si="45"/>
        <v>295.39999999999998</v>
      </c>
      <c r="BA76" s="35">
        <v>0</v>
      </c>
      <c r="BB76" s="35">
        <f t="shared" si="49"/>
        <v>295.39999999999998</v>
      </c>
      <c r="BC76" s="35"/>
      <c r="BD76" s="35">
        <f t="shared" si="46"/>
        <v>295.39999999999998</v>
      </c>
      <c r="BE76" s="35">
        <v>320.89999999999998</v>
      </c>
      <c r="BF76" s="35">
        <f t="shared" si="47"/>
        <v>-25.5</v>
      </c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10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10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10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10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10"/>
      <c r="HA76" s="9"/>
      <c r="HB76" s="9"/>
    </row>
    <row r="77" spans="1:210" s="2" customFormat="1" ht="17.149999999999999" customHeight="1">
      <c r="A77" s="14" t="s">
        <v>64</v>
      </c>
      <c r="B77" s="63">
        <v>51870</v>
      </c>
      <c r="C77" s="63">
        <v>314279.09999999998</v>
      </c>
      <c r="D77" s="4">
        <f t="shared" si="37"/>
        <v>1.3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2408.1</v>
      </c>
      <c r="O77" s="35">
        <v>3018.7</v>
      </c>
      <c r="P77" s="4">
        <f t="shared" si="38"/>
        <v>1.2053560898633777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82">
        <v>180050</v>
      </c>
      <c r="W77" s="82">
        <v>185126</v>
      </c>
      <c r="X77" s="4">
        <f t="shared" si="39"/>
        <v>1.0281921688419884</v>
      </c>
      <c r="Y77" s="5">
        <v>5</v>
      </c>
      <c r="Z77" s="5">
        <v>218</v>
      </c>
      <c r="AA77" s="5">
        <v>218</v>
      </c>
      <c r="AB77" s="4">
        <f t="shared" si="40"/>
        <v>1</v>
      </c>
      <c r="AC77" s="5">
        <v>20</v>
      </c>
      <c r="AD77" s="5" t="s">
        <v>360</v>
      </c>
      <c r="AE77" s="5" t="s">
        <v>360</v>
      </c>
      <c r="AF77" s="5" t="s">
        <v>360</v>
      </c>
      <c r="AG77" s="5" t="s">
        <v>360</v>
      </c>
      <c r="AH77" s="5" t="s">
        <v>360</v>
      </c>
      <c r="AI77" s="5" t="s">
        <v>360</v>
      </c>
      <c r="AJ77" s="5" t="s">
        <v>360</v>
      </c>
      <c r="AK77" s="5" t="s">
        <v>360</v>
      </c>
      <c r="AL77" s="5" t="s">
        <v>360</v>
      </c>
      <c r="AM77" s="5" t="s">
        <v>360</v>
      </c>
      <c r="AN77" s="5" t="s">
        <v>360</v>
      </c>
      <c r="AO77" s="5" t="s">
        <v>360</v>
      </c>
      <c r="AP77" s="43">
        <f t="shared" si="48"/>
        <v>1.1149616528295498</v>
      </c>
      <c r="AQ77" s="44">
        <v>1908</v>
      </c>
      <c r="AR77" s="35">
        <f t="shared" si="41"/>
        <v>520.36363636363637</v>
      </c>
      <c r="AS77" s="35">
        <f t="shared" si="42"/>
        <v>580.20000000000005</v>
      </c>
      <c r="AT77" s="35">
        <f t="shared" si="43"/>
        <v>59.836363636363672</v>
      </c>
      <c r="AU77" s="35">
        <v>211</v>
      </c>
      <c r="AV77" s="35">
        <v>175.3</v>
      </c>
      <c r="AW77" s="35"/>
      <c r="AX77" s="35">
        <f t="shared" si="44"/>
        <v>193.9</v>
      </c>
      <c r="AY77" s="35"/>
      <c r="AZ77" s="35">
        <f t="shared" si="45"/>
        <v>193.9</v>
      </c>
      <c r="BA77" s="35">
        <v>0</v>
      </c>
      <c r="BB77" s="35">
        <f t="shared" si="49"/>
        <v>193.9</v>
      </c>
      <c r="BC77" s="35"/>
      <c r="BD77" s="35">
        <f t="shared" si="46"/>
        <v>193.9</v>
      </c>
      <c r="BE77" s="35">
        <v>198.9</v>
      </c>
      <c r="BF77" s="35">
        <f t="shared" si="47"/>
        <v>-5</v>
      </c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10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10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10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10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10"/>
      <c r="HA77" s="9"/>
      <c r="HB77" s="9"/>
    </row>
    <row r="78" spans="1:210" s="2" customFormat="1" ht="17.149999999999999" customHeight="1">
      <c r="A78" s="14" t="s">
        <v>65</v>
      </c>
      <c r="B78" s="63">
        <v>0</v>
      </c>
      <c r="C78" s="63">
        <v>0</v>
      </c>
      <c r="D78" s="4">
        <f t="shared" si="37"/>
        <v>1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260.3</v>
      </c>
      <c r="O78" s="35">
        <v>1089.5</v>
      </c>
      <c r="P78" s="4">
        <f t="shared" si="38"/>
        <v>1.3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82">
        <v>4320</v>
      </c>
      <c r="W78" s="82">
        <v>2732</v>
      </c>
      <c r="X78" s="4">
        <f t="shared" si="39"/>
        <v>0.63240740740740742</v>
      </c>
      <c r="Y78" s="5">
        <v>5</v>
      </c>
      <c r="Z78" s="5">
        <v>171</v>
      </c>
      <c r="AA78" s="5">
        <v>171</v>
      </c>
      <c r="AB78" s="4">
        <f t="shared" si="40"/>
        <v>1</v>
      </c>
      <c r="AC78" s="5">
        <v>20</v>
      </c>
      <c r="AD78" s="5" t="s">
        <v>360</v>
      </c>
      <c r="AE78" s="5" t="s">
        <v>360</v>
      </c>
      <c r="AF78" s="5" t="s">
        <v>360</v>
      </c>
      <c r="AG78" s="5" t="s">
        <v>360</v>
      </c>
      <c r="AH78" s="5" t="s">
        <v>360</v>
      </c>
      <c r="AI78" s="5" t="s">
        <v>360</v>
      </c>
      <c r="AJ78" s="5" t="s">
        <v>360</v>
      </c>
      <c r="AK78" s="5" t="s">
        <v>360</v>
      </c>
      <c r="AL78" s="5" t="s">
        <v>360</v>
      </c>
      <c r="AM78" s="5" t="s">
        <v>360</v>
      </c>
      <c r="AN78" s="5" t="s">
        <v>360</v>
      </c>
      <c r="AO78" s="5" t="s">
        <v>360</v>
      </c>
      <c r="AP78" s="43">
        <f t="shared" si="48"/>
        <v>1.0832407407407407</v>
      </c>
      <c r="AQ78" s="44">
        <v>951</v>
      </c>
      <c r="AR78" s="35">
        <f t="shared" si="41"/>
        <v>259.36363636363637</v>
      </c>
      <c r="AS78" s="35">
        <f t="shared" si="42"/>
        <v>281</v>
      </c>
      <c r="AT78" s="35">
        <f t="shared" si="43"/>
        <v>21.636363636363626</v>
      </c>
      <c r="AU78" s="35">
        <v>107.2</v>
      </c>
      <c r="AV78" s="35">
        <v>107.2</v>
      </c>
      <c r="AW78" s="35"/>
      <c r="AX78" s="35">
        <f t="shared" si="44"/>
        <v>66.599999999999994</v>
      </c>
      <c r="AY78" s="35"/>
      <c r="AZ78" s="35">
        <f t="shared" si="45"/>
        <v>66.599999999999994</v>
      </c>
      <c r="BA78" s="35">
        <v>0</v>
      </c>
      <c r="BB78" s="35">
        <f t="shared" si="49"/>
        <v>66.599999999999994</v>
      </c>
      <c r="BC78" s="35"/>
      <c r="BD78" s="35">
        <f t="shared" si="46"/>
        <v>66.599999999999994</v>
      </c>
      <c r="BE78" s="35">
        <v>79.5</v>
      </c>
      <c r="BF78" s="35">
        <f t="shared" si="47"/>
        <v>-12.9</v>
      </c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10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10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10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10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10"/>
      <c r="HA78" s="9"/>
      <c r="HB78" s="9"/>
    </row>
    <row r="79" spans="1:210" s="2" customFormat="1" ht="17.149999999999999" customHeight="1">
      <c r="A79" s="14" t="s">
        <v>66</v>
      </c>
      <c r="B79" s="63">
        <v>514722</v>
      </c>
      <c r="C79" s="63">
        <v>477141</v>
      </c>
      <c r="D79" s="4">
        <f t="shared" si="37"/>
        <v>0.92698777204005267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1216.7</v>
      </c>
      <c r="O79" s="35">
        <v>1465.6</v>
      </c>
      <c r="P79" s="4">
        <f t="shared" si="38"/>
        <v>1.2004569737815403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82">
        <v>3026</v>
      </c>
      <c r="W79" s="82">
        <v>2822</v>
      </c>
      <c r="X79" s="4">
        <f t="shared" si="39"/>
        <v>0.93258426966292129</v>
      </c>
      <c r="Y79" s="5">
        <v>5</v>
      </c>
      <c r="Z79" s="5">
        <v>138</v>
      </c>
      <c r="AA79" s="5">
        <v>138</v>
      </c>
      <c r="AB79" s="4">
        <f t="shared" si="40"/>
        <v>1</v>
      </c>
      <c r="AC79" s="5">
        <v>20</v>
      </c>
      <c r="AD79" s="5" t="s">
        <v>360</v>
      </c>
      <c r="AE79" s="5" t="s">
        <v>360</v>
      </c>
      <c r="AF79" s="5" t="s">
        <v>360</v>
      </c>
      <c r="AG79" s="5" t="s">
        <v>360</v>
      </c>
      <c r="AH79" s="5" t="s">
        <v>360</v>
      </c>
      <c r="AI79" s="5" t="s">
        <v>360</v>
      </c>
      <c r="AJ79" s="5" t="s">
        <v>360</v>
      </c>
      <c r="AK79" s="5" t="s">
        <v>360</v>
      </c>
      <c r="AL79" s="5" t="s">
        <v>360</v>
      </c>
      <c r="AM79" s="5" t="s">
        <v>360</v>
      </c>
      <c r="AN79" s="5" t="s">
        <v>360</v>
      </c>
      <c r="AO79" s="5" t="s">
        <v>360</v>
      </c>
      <c r="AP79" s="43">
        <f t="shared" si="48"/>
        <v>1.0661399936829135</v>
      </c>
      <c r="AQ79" s="44">
        <v>1842</v>
      </c>
      <c r="AR79" s="35">
        <f t="shared" si="41"/>
        <v>502.36363636363637</v>
      </c>
      <c r="AS79" s="35">
        <f t="shared" si="42"/>
        <v>535.6</v>
      </c>
      <c r="AT79" s="35">
        <f t="shared" si="43"/>
        <v>33.236363636363649</v>
      </c>
      <c r="AU79" s="35">
        <v>197</v>
      </c>
      <c r="AV79" s="35">
        <v>190.4</v>
      </c>
      <c r="AW79" s="35"/>
      <c r="AX79" s="35">
        <f t="shared" si="44"/>
        <v>148.19999999999999</v>
      </c>
      <c r="AY79" s="35"/>
      <c r="AZ79" s="35">
        <f t="shared" si="45"/>
        <v>148.19999999999999</v>
      </c>
      <c r="BA79" s="35">
        <v>0</v>
      </c>
      <c r="BB79" s="35">
        <f t="shared" si="49"/>
        <v>148.19999999999999</v>
      </c>
      <c r="BC79" s="35"/>
      <c r="BD79" s="35">
        <f t="shared" si="46"/>
        <v>148.19999999999999</v>
      </c>
      <c r="BE79" s="35">
        <v>155.6</v>
      </c>
      <c r="BF79" s="35">
        <f t="shared" si="47"/>
        <v>-7.4</v>
      </c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10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10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10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10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10"/>
      <c r="HA79" s="9"/>
      <c r="HB79" s="9"/>
    </row>
    <row r="80" spans="1:210" s="2" customFormat="1" ht="17.149999999999999" customHeight="1">
      <c r="A80" s="14" t="s">
        <v>67</v>
      </c>
      <c r="B80" s="63">
        <v>0</v>
      </c>
      <c r="C80" s="63">
        <v>0</v>
      </c>
      <c r="D80" s="4">
        <f t="shared" si="37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263.8</v>
      </c>
      <c r="O80" s="35">
        <v>410.4</v>
      </c>
      <c r="P80" s="4">
        <f t="shared" si="38"/>
        <v>1.2355724033358604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82">
        <v>5305</v>
      </c>
      <c r="W80" s="82">
        <v>5476</v>
      </c>
      <c r="X80" s="4">
        <f t="shared" si="39"/>
        <v>1.0322337417530631</v>
      </c>
      <c r="Y80" s="5">
        <v>5</v>
      </c>
      <c r="Z80" s="5">
        <v>535</v>
      </c>
      <c r="AA80" s="5">
        <v>535</v>
      </c>
      <c r="AB80" s="4">
        <f t="shared" si="40"/>
        <v>1</v>
      </c>
      <c r="AC80" s="5">
        <v>20</v>
      </c>
      <c r="AD80" s="5" t="s">
        <v>360</v>
      </c>
      <c r="AE80" s="5" t="s">
        <v>360</v>
      </c>
      <c r="AF80" s="5" t="s">
        <v>360</v>
      </c>
      <c r="AG80" s="5" t="s">
        <v>360</v>
      </c>
      <c r="AH80" s="5" t="s">
        <v>360</v>
      </c>
      <c r="AI80" s="5" t="s">
        <v>360</v>
      </c>
      <c r="AJ80" s="5" t="s">
        <v>360</v>
      </c>
      <c r="AK80" s="5" t="s">
        <v>360</v>
      </c>
      <c r="AL80" s="5" t="s">
        <v>360</v>
      </c>
      <c r="AM80" s="5" t="s">
        <v>360</v>
      </c>
      <c r="AN80" s="5" t="s">
        <v>360</v>
      </c>
      <c r="AO80" s="5" t="s">
        <v>360</v>
      </c>
      <c r="AP80" s="43">
        <f t="shared" si="48"/>
        <v>1.1082803727885007</v>
      </c>
      <c r="AQ80" s="44">
        <v>1779</v>
      </c>
      <c r="AR80" s="35">
        <f t="shared" si="41"/>
        <v>485.18181818181813</v>
      </c>
      <c r="AS80" s="35">
        <f t="shared" si="42"/>
        <v>537.70000000000005</v>
      </c>
      <c r="AT80" s="35">
        <f t="shared" si="43"/>
        <v>52.518181818181915</v>
      </c>
      <c r="AU80" s="35">
        <v>203.9</v>
      </c>
      <c r="AV80" s="35">
        <v>105.2</v>
      </c>
      <c r="AW80" s="35"/>
      <c r="AX80" s="35">
        <f t="shared" si="44"/>
        <v>228.6</v>
      </c>
      <c r="AY80" s="35"/>
      <c r="AZ80" s="35">
        <f t="shared" si="45"/>
        <v>228.6</v>
      </c>
      <c r="BA80" s="35">
        <v>0</v>
      </c>
      <c r="BB80" s="35">
        <f t="shared" si="49"/>
        <v>228.6</v>
      </c>
      <c r="BC80" s="35"/>
      <c r="BD80" s="35">
        <f t="shared" si="46"/>
        <v>228.6</v>
      </c>
      <c r="BE80" s="35">
        <v>233.2</v>
      </c>
      <c r="BF80" s="35">
        <f t="shared" si="47"/>
        <v>-4.5999999999999996</v>
      </c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10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10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10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10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10"/>
      <c r="HA80" s="9"/>
      <c r="HB80" s="9"/>
    </row>
    <row r="81" spans="1:210" s="2" customFormat="1" ht="17.149999999999999" customHeight="1">
      <c r="A81" s="18" t="s">
        <v>68</v>
      </c>
      <c r="B81" s="5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83"/>
      <c r="W81" s="83"/>
      <c r="X81" s="11"/>
      <c r="Y81" s="11"/>
      <c r="Z81" s="11"/>
      <c r="AA81" s="11"/>
      <c r="AB81" s="11"/>
      <c r="AC81" s="1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35"/>
      <c r="BB81" s="35"/>
      <c r="BC81" s="35"/>
      <c r="BD81" s="35"/>
      <c r="BE81" s="35"/>
      <c r="BF81" s="35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10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10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10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10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10"/>
      <c r="HA81" s="9"/>
      <c r="HB81" s="9"/>
    </row>
    <row r="82" spans="1:210" s="2" customFormat="1" ht="17.149999999999999" customHeight="1">
      <c r="A82" s="14" t="s">
        <v>69</v>
      </c>
      <c r="B82" s="63">
        <v>2879</v>
      </c>
      <c r="C82" s="63">
        <v>2884.3</v>
      </c>
      <c r="D82" s="4">
        <f t="shared" si="37"/>
        <v>1.0018409169850644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398.7</v>
      </c>
      <c r="O82" s="35">
        <v>1069</v>
      </c>
      <c r="P82" s="4">
        <f t="shared" si="38"/>
        <v>1.3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82">
        <v>7616</v>
      </c>
      <c r="W82" s="82">
        <v>7046</v>
      </c>
      <c r="X82" s="4">
        <f t="shared" si="39"/>
        <v>0.92515756302521013</v>
      </c>
      <c r="Y82" s="5">
        <v>5</v>
      </c>
      <c r="Z82" s="5">
        <v>328</v>
      </c>
      <c r="AA82" s="5">
        <v>318</v>
      </c>
      <c r="AB82" s="4">
        <f t="shared" si="40"/>
        <v>0.96951219512195119</v>
      </c>
      <c r="AC82" s="5">
        <v>20</v>
      </c>
      <c r="AD82" s="5" t="s">
        <v>360</v>
      </c>
      <c r="AE82" s="5" t="s">
        <v>360</v>
      </c>
      <c r="AF82" s="5" t="s">
        <v>360</v>
      </c>
      <c r="AG82" s="5" t="s">
        <v>360</v>
      </c>
      <c r="AH82" s="5" t="s">
        <v>360</v>
      </c>
      <c r="AI82" s="5" t="s">
        <v>360</v>
      </c>
      <c r="AJ82" s="5" t="s">
        <v>360</v>
      </c>
      <c r="AK82" s="5" t="s">
        <v>360</v>
      </c>
      <c r="AL82" s="5" t="s">
        <v>360</v>
      </c>
      <c r="AM82" s="5" t="s">
        <v>360</v>
      </c>
      <c r="AN82" s="5" t="s">
        <v>360</v>
      </c>
      <c r="AO82" s="5" t="s">
        <v>360</v>
      </c>
      <c r="AP82" s="43">
        <f t="shared" si="48"/>
        <v>1.100504726049808</v>
      </c>
      <c r="AQ82" s="44">
        <v>296</v>
      </c>
      <c r="AR82" s="35">
        <f t="shared" si="41"/>
        <v>80.727272727272734</v>
      </c>
      <c r="AS82" s="35">
        <f t="shared" si="42"/>
        <v>88.8</v>
      </c>
      <c r="AT82" s="35">
        <f t="shared" si="43"/>
        <v>8.0727272727272634</v>
      </c>
      <c r="AU82" s="35">
        <v>32.4</v>
      </c>
      <c r="AV82" s="35">
        <v>19.100000000000001</v>
      </c>
      <c r="AW82" s="35">
        <v>13.5</v>
      </c>
      <c r="AX82" s="35">
        <f t="shared" si="44"/>
        <v>23.8</v>
      </c>
      <c r="AY82" s="35"/>
      <c r="AZ82" s="35">
        <f t="shared" si="45"/>
        <v>23.8</v>
      </c>
      <c r="BA82" s="35">
        <v>0</v>
      </c>
      <c r="BB82" s="35">
        <f t="shared" si="49"/>
        <v>23.8</v>
      </c>
      <c r="BC82" s="35">
        <f>MIN(BB82,4.4)</f>
        <v>4.4000000000000004</v>
      </c>
      <c r="BD82" s="35">
        <f t="shared" si="46"/>
        <v>19.399999999999999</v>
      </c>
      <c r="BE82" s="35">
        <v>21</v>
      </c>
      <c r="BF82" s="35">
        <f t="shared" si="47"/>
        <v>-1.6</v>
      </c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10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10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10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10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10"/>
      <c r="HA82" s="9"/>
      <c r="HB82" s="9"/>
    </row>
    <row r="83" spans="1:210" s="2" customFormat="1" ht="17.149999999999999" customHeight="1">
      <c r="A83" s="14" t="s">
        <v>70</v>
      </c>
      <c r="B83" s="63">
        <v>50142</v>
      </c>
      <c r="C83" s="63">
        <v>52624</v>
      </c>
      <c r="D83" s="4">
        <f t="shared" si="37"/>
        <v>1.0494994216425353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4456.8</v>
      </c>
      <c r="O83" s="35">
        <v>5939</v>
      </c>
      <c r="P83" s="4">
        <f t="shared" si="38"/>
        <v>1.2132570454137497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82">
        <v>136008</v>
      </c>
      <c r="W83" s="82">
        <v>162336</v>
      </c>
      <c r="X83" s="4">
        <f t="shared" si="39"/>
        <v>1.1935768484206812</v>
      </c>
      <c r="Y83" s="5">
        <v>5</v>
      </c>
      <c r="Z83" s="5">
        <v>816</v>
      </c>
      <c r="AA83" s="5">
        <v>828</v>
      </c>
      <c r="AB83" s="4">
        <f t="shared" si="40"/>
        <v>1.0147058823529411</v>
      </c>
      <c r="AC83" s="5">
        <v>20</v>
      </c>
      <c r="AD83" s="5" t="s">
        <v>360</v>
      </c>
      <c r="AE83" s="5" t="s">
        <v>360</v>
      </c>
      <c r="AF83" s="5" t="s">
        <v>360</v>
      </c>
      <c r="AG83" s="5" t="s">
        <v>360</v>
      </c>
      <c r="AH83" s="5" t="s">
        <v>360</v>
      </c>
      <c r="AI83" s="5" t="s">
        <v>360</v>
      </c>
      <c r="AJ83" s="5" t="s">
        <v>360</v>
      </c>
      <c r="AK83" s="5" t="s">
        <v>360</v>
      </c>
      <c r="AL83" s="5" t="s">
        <v>360</v>
      </c>
      <c r="AM83" s="5" t="s">
        <v>360</v>
      </c>
      <c r="AN83" s="5" t="s">
        <v>360</v>
      </c>
      <c r="AO83" s="5" t="s">
        <v>360</v>
      </c>
      <c r="AP83" s="43">
        <f t="shared" si="48"/>
        <v>1.1154927981129981</v>
      </c>
      <c r="AQ83" s="44">
        <v>1675</v>
      </c>
      <c r="AR83" s="35">
        <f t="shared" si="41"/>
        <v>456.81818181818187</v>
      </c>
      <c r="AS83" s="35">
        <f t="shared" si="42"/>
        <v>509.6</v>
      </c>
      <c r="AT83" s="35">
        <f t="shared" si="43"/>
        <v>52.781818181818153</v>
      </c>
      <c r="AU83" s="35">
        <v>173.4</v>
      </c>
      <c r="AV83" s="35">
        <v>176.7</v>
      </c>
      <c r="AW83" s="35"/>
      <c r="AX83" s="35">
        <f t="shared" si="44"/>
        <v>159.5</v>
      </c>
      <c r="AY83" s="35"/>
      <c r="AZ83" s="35">
        <f t="shared" si="45"/>
        <v>159.5</v>
      </c>
      <c r="BA83" s="35">
        <v>0</v>
      </c>
      <c r="BB83" s="35">
        <f t="shared" si="49"/>
        <v>159.5</v>
      </c>
      <c r="BC83" s="35"/>
      <c r="BD83" s="35">
        <f t="shared" si="46"/>
        <v>159.5</v>
      </c>
      <c r="BE83" s="35">
        <v>155.5</v>
      </c>
      <c r="BF83" s="35">
        <f t="shared" si="47"/>
        <v>4</v>
      </c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10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10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10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10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10"/>
      <c r="HA83" s="9"/>
      <c r="HB83" s="9"/>
    </row>
    <row r="84" spans="1:210" s="2" customFormat="1" ht="17.149999999999999" customHeight="1">
      <c r="A84" s="14" t="s">
        <v>71</v>
      </c>
      <c r="B84" s="63">
        <v>556</v>
      </c>
      <c r="C84" s="63">
        <v>568.1</v>
      </c>
      <c r="D84" s="4">
        <f t="shared" si="37"/>
        <v>1.0217625899280576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167</v>
      </c>
      <c r="O84" s="35">
        <v>377.4</v>
      </c>
      <c r="P84" s="4">
        <f t="shared" si="38"/>
        <v>1.3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82">
        <v>3808</v>
      </c>
      <c r="W84" s="82">
        <v>3770</v>
      </c>
      <c r="X84" s="4">
        <f t="shared" si="39"/>
        <v>0.99002100840336138</v>
      </c>
      <c r="Y84" s="5">
        <v>5</v>
      </c>
      <c r="Z84" s="5">
        <v>109</v>
      </c>
      <c r="AA84" s="5">
        <v>110</v>
      </c>
      <c r="AB84" s="4">
        <f t="shared" si="40"/>
        <v>1.0091743119266054</v>
      </c>
      <c r="AC84" s="5">
        <v>20</v>
      </c>
      <c r="AD84" s="5" t="s">
        <v>360</v>
      </c>
      <c r="AE84" s="5" t="s">
        <v>360</v>
      </c>
      <c r="AF84" s="5" t="s">
        <v>360</v>
      </c>
      <c r="AG84" s="5" t="s">
        <v>360</v>
      </c>
      <c r="AH84" s="5" t="s">
        <v>360</v>
      </c>
      <c r="AI84" s="5" t="s">
        <v>360</v>
      </c>
      <c r="AJ84" s="5" t="s">
        <v>360</v>
      </c>
      <c r="AK84" s="5" t="s">
        <v>360</v>
      </c>
      <c r="AL84" s="5" t="s">
        <v>360</v>
      </c>
      <c r="AM84" s="5" t="s">
        <v>360</v>
      </c>
      <c r="AN84" s="5" t="s">
        <v>360</v>
      </c>
      <c r="AO84" s="5" t="s">
        <v>360</v>
      </c>
      <c r="AP84" s="43">
        <f t="shared" si="48"/>
        <v>1.1248480846037843</v>
      </c>
      <c r="AQ84" s="44">
        <v>564</v>
      </c>
      <c r="AR84" s="35">
        <f t="shared" si="41"/>
        <v>153.81818181818181</v>
      </c>
      <c r="AS84" s="35">
        <f t="shared" si="42"/>
        <v>173</v>
      </c>
      <c r="AT84" s="35">
        <f t="shared" si="43"/>
        <v>19.181818181818187</v>
      </c>
      <c r="AU84" s="35">
        <v>63.9</v>
      </c>
      <c r="AV84" s="35">
        <v>32</v>
      </c>
      <c r="AW84" s="35"/>
      <c r="AX84" s="35">
        <f t="shared" si="44"/>
        <v>77.099999999999994</v>
      </c>
      <c r="AY84" s="35"/>
      <c r="AZ84" s="35">
        <f t="shared" si="45"/>
        <v>77.099999999999994</v>
      </c>
      <c r="BA84" s="35">
        <v>0</v>
      </c>
      <c r="BB84" s="35">
        <f t="shared" si="49"/>
        <v>77.099999999999994</v>
      </c>
      <c r="BC84" s="35"/>
      <c r="BD84" s="35">
        <f t="shared" si="46"/>
        <v>77.099999999999994</v>
      </c>
      <c r="BE84" s="35">
        <v>79.400000000000006</v>
      </c>
      <c r="BF84" s="35">
        <f t="shared" si="47"/>
        <v>-2.2999999999999998</v>
      </c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10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10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10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10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10"/>
      <c r="HA84" s="9"/>
      <c r="HB84" s="9"/>
    </row>
    <row r="85" spans="1:210" s="2" customFormat="1" ht="17.149999999999999" customHeight="1">
      <c r="A85" s="14" t="s">
        <v>72</v>
      </c>
      <c r="B85" s="63">
        <v>1967</v>
      </c>
      <c r="C85" s="63">
        <v>2003.9</v>
      </c>
      <c r="D85" s="4">
        <f t="shared" si="37"/>
        <v>1.0187595322826639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524</v>
      </c>
      <c r="O85" s="35">
        <v>958</v>
      </c>
      <c r="P85" s="4">
        <f t="shared" si="38"/>
        <v>1.2628244274809159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82">
        <v>6166</v>
      </c>
      <c r="W85" s="82">
        <v>5998</v>
      </c>
      <c r="X85" s="4">
        <f t="shared" si="39"/>
        <v>0.97275381122283489</v>
      </c>
      <c r="Y85" s="5">
        <v>5</v>
      </c>
      <c r="Z85" s="5">
        <v>455</v>
      </c>
      <c r="AA85" s="5">
        <v>470</v>
      </c>
      <c r="AB85" s="4">
        <f t="shared" si="40"/>
        <v>1.0329670329670331</v>
      </c>
      <c r="AC85" s="5">
        <v>20</v>
      </c>
      <c r="AD85" s="5" t="s">
        <v>360</v>
      </c>
      <c r="AE85" s="5" t="s">
        <v>360</v>
      </c>
      <c r="AF85" s="5" t="s">
        <v>360</v>
      </c>
      <c r="AG85" s="5" t="s">
        <v>360</v>
      </c>
      <c r="AH85" s="5" t="s">
        <v>360</v>
      </c>
      <c r="AI85" s="5" t="s">
        <v>360</v>
      </c>
      <c r="AJ85" s="5" t="s">
        <v>360</v>
      </c>
      <c r="AK85" s="5" t="s">
        <v>360</v>
      </c>
      <c r="AL85" s="5" t="s">
        <v>360</v>
      </c>
      <c r="AM85" s="5" t="s">
        <v>360</v>
      </c>
      <c r="AN85" s="5" t="s">
        <v>360</v>
      </c>
      <c r="AO85" s="5" t="s">
        <v>360</v>
      </c>
      <c r="AP85" s="43">
        <f t="shared" si="48"/>
        <v>1.1174679185297294</v>
      </c>
      <c r="AQ85" s="44">
        <v>905</v>
      </c>
      <c r="AR85" s="35">
        <f t="shared" si="41"/>
        <v>246.81818181818181</v>
      </c>
      <c r="AS85" s="35">
        <f t="shared" si="42"/>
        <v>275.8</v>
      </c>
      <c r="AT85" s="35">
        <f t="shared" si="43"/>
        <v>28.981818181818198</v>
      </c>
      <c r="AU85" s="35">
        <v>102</v>
      </c>
      <c r="AV85" s="35">
        <v>42.6</v>
      </c>
      <c r="AW85" s="35">
        <v>2.5</v>
      </c>
      <c r="AX85" s="35">
        <f t="shared" si="44"/>
        <v>128.69999999999999</v>
      </c>
      <c r="AY85" s="35"/>
      <c r="AZ85" s="35">
        <f t="shared" si="45"/>
        <v>128.69999999999999</v>
      </c>
      <c r="BA85" s="35">
        <v>0</v>
      </c>
      <c r="BB85" s="35">
        <f t="shared" si="49"/>
        <v>128.69999999999999</v>
      </c>
      <c r="BC85" s="35"/>
      <c r="BD85" s="35">
        <f t="shared" si="46"/>
        <v>128.69999999999999</v>
      </c>
      <c r="BE85" s="35">
        <v>132.69999999999999</v>
      </c>
      <c r="BF85" s="35">
        <f t="shared" si="47"/>
        <v>-4</v>
      </c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10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10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10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10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10"/>
      <c r="HA85" s="9"/>
      <c r="HB85" s="9"/>
    </row>
    <row r="86" spans="1:210" s="2" customFormat="1" ht="17.149999999999999" customHeight="1">
      <c r="A86" s="14" t="s">
        <v>73</v>
      </c>
      <c r="B86" s="63">
        <v>802</v>
      </c>
      <c r="C86" s="63">
        <v>802</v>
      </c>
      <c r="D86" s="4">
        <f t="shared" si="37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401.8</v>
      </c>
      <c r="O86" s="35">
        <v>684.2</v>
      </c>
      <c r="P86" s="4">
        <f t="shared" si="38"/>
        <v>1.2502837232453956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82">
        <v>3989</v>
      </c>
      <c r="W86" s="82">
        <v>4134</v>
      </c>
      <c r="X86" s="4">
        <f t="shared" si="39"/>
        <v>1.0363499623965906</v>
      </c>
      <c r="Y86" s="5">
        <v>5</v>
      </c>
      <c r="Z86" s="5">
        <v>213</v>
      </c>
      <c r="AA86" s="5">
        <v>213</v>
      </c>
      <c r="AB86" s="4">
        <f t="shared" si="40"/>
        <v>1</v>
      </c>
      <c r="AC86" s="5">
        <v>20</v>
      </c>
      <c r="AD86" s="5" t="s">
        <v>360</v>
      </c>
      <c r="AE86" s="5" t="s">
        <v>360</v>
      </c>
      <c r="AF86" s="5" t="s">
        <v>360</v>
      </c>
      <c r="AG86" s="5" t="s">
        <v>360</v>
      </c>
      <c r="AH86" s="5" t="s">
        <v>360</v>
      </c>
      <c r="AI86" s="5" t="s">
        <v>360</v>
      </c>
      <c r="AJ86" s="5" t="s">
        <v>360</v>
      </c>
      <c r="AK86" s="5" t="s">
        <v>360</v>
      </c>
      <c r="AL86" s="5" t="s">
        <v>360</v>
      </c>
      <c r="AM86" s="5" t="s">
        <v>360</v>
      </c>
      <c r="AN86" s="5" t="s">
        <v>360</v>
      </c>
      <c r="AO86" s="5" t="s">
        <v>360</v>
      </c>
      <c r="AP86" s="43">
        <f t="shared" si="48"/>
        <v>1.1037484855378172</v>
      </c>
      <c r="AQ86" s="44">
        <v>594</v>
      </c>
      <c r="AR86" s="35">
        <f t="shared" si="41"/>
        <v>162</v>
      </c>
      <c r="AS86" s="35">
        <f t="shared" si="42"/>
        <v>178.8</v>
      </c>
      <c r="AT86" s="35">
        <f t="shared" si="43"/>
        <v>16.800000000000011</v>
      </c>
      <c r="AU86" s="35">
        <v>27.9</v>
      </c>
      <c r="AV86" s="35">
        <v>40</v>
      </c>
      <c r="AW86" s="35">
        <v>27</v>
      </c>
      <c r="AX86" s="35">
        <f t="shared" si="44"/>
        <v>83.9</v>
      </c>
      <c r="AY86" s="35"/>
      <c r="AZ86" s="35">
        <f t="shared" si="45"/>
        <v>83.9</v>
      </c>
      <c r="BA86" s="35">
        <v>0</v>
      </c>
      <c r="BB86" s="35">
        <f t="shared" si="49"/>
        <v>83.9</v>
      </c>
      <c r="BC86" s="35">
        <f>MIN(BB86,7.6)</f>
        <v>7.6</v>
      </c>
      <c r="BD86" s="35">
        <f t="shared" si="46"/>
        <v>76.3</v>
      </c>
      <c r="BE86" s="35">
        <v>77.5</v>
      </c>
      <c r="BF86" s="35">
        <f t="shared" si="47"/>
        <v>-1.2</v>
      </c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10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10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10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10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10"/>
      <c r="HA86" s="9"/>
      <c r="HB86" s="9"/>
    </row>
    <row r="87" spans="1:210" s="2" customFormat="1" ht="17.149999999999999" customHeight="1">
      <c r="A87" s="14" t="s">
        <v>74</v>
      </c>
      <c r="B87" s="63">
        <v>445</v>
      </c>
      <c r="C87" s="63">
        <v>445</v>
      </c>
      <c r="D87" s="4">
        <f t="shared" si="37"/>
        <v>1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264.3</v>
      </c>
      <c r="O87" s="35">
        <v>326.89999999999998</v>
      </c>
      <c r="P87" s="4">
        <f t="shared" si="38"/>
        <v>1.20368520620507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82">
        <v>7254</v>
      </c>
      <c r="W87" s="82">
        <v>6370</v>
      </c>
      <c r="X87" s="4">
        <f t="shared" si="39"/>
        <v>0.87813620071684584</v>
      </c>
      <c r="Y87" s="5">
        <v>5</v>
      </c>
      <c r="Z87" s="5">
        <v>706</v>
      </c>
      <c r="AA87" s="5">
        <v>706</v>
      </c>
      <c r="AB87" s="4">
        <f t="shared" si="40"/>
        <v>1</v>
      </c>
      <c r="AC87" s="5">
        <v>20</v>
      </c>
      <c r="AD87" s="5" t="s">
        <v>360</v>
      </c>
      <c r="AE87" s="5" t="s">
        <v>360</v>
      </c>
      <c r="AF87" s="5" t="s">
        <v>360</v>
      </c>
      <c r="AG87" s="5" t="s">
        <v>360</v>
      </c>
      <c r="AH87" s="5" t="s">
        <v>360</v>
      </c>
      <c r="AI87" s="5" t="s">
        <v>360</v>
      </c>
      <c r="AJ87" s="5" t="s">
        <v>360</v>
      </c>
      <c r="AK87" s="5" t="s">
        <v>360</v>
      </c>
      <c r="AL87" s="5" t="s">
        <v>360</v>
      </c>
      <c r="AM87" s="5" t="s">
        <v>360</v>
      </c>
      <c r="AN87" s="5" t="s">
        <v>360</v>
      </c>
      <c r="AO87" s="5" t="s">
        <v>360</v>
      </c>
      <c r="AP87" s="43">
        <f t="shared" si="48"/>
        <v>1.0692877025537126</v>
      </c>
      <c r="AQ87" s="44">
        <v>1058</v>
      </c>
      <c r="AR87" s="35">
        <f t="shared" si="41"/>
        <v>288.54545454545456</v>
      </c>
      <c r="AS87" s="35">
        <f t="shared" si="42"/>
        <v>308.5</v>
      </c>
      <c r="AT87" s="35">
        <f t="shared" si="43"/>
        <v>19.954545454545439</v>
      </c>
      <c r="AU87" s="35">
        <v>107.5</v>
      </c>
      <c r="AV87" s="35">
        <v>89.7</v>
      </c>
      <c r="AW87" s="35"/>
      <c r="AX87" s="35">
        <f t="shared" si="44"/>
        <v>111.3</v>
      </c>
      <c r="AY87" s="35"/>
      <c r="AZ87" s="35">
        <f t="shared" si="45"/>
        <v>111.3</v>
      </c>
      <c r="BA87" s="35">
        <v>0</v>
      </c>
      <c r="BB87" s="35">
        <f t="shared" si="49"/>
        <v>111.3</v>
      </c>
      <c r="BC87" s="35"/>
      <c r="BD87" s="35">
        <f t="shared" si="46"/>
        <v>111.3</v>
      </c>
      <c r="BE87" s="35">
        <v>117.5</v>
      </c>
      <c r="BF87" s="35">
        <f t="shared" si="47"/>
        <v>-6.2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10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10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10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10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10"/>
      <c r="HA87" s="9"/>
      <c r="HB87" s="9"/>
    </row>
    <row r="88" spans="1:210" s="2" customFormat="1" ht="17.149999999999999" customHeight="1">
      <c r="A88" s="14" t="s">
        <v>75</v>
      </c>
      <c r="B88" s="63">
        <v>2839</v>
      </c>
      <c r="C88" s="63">
        <v>2840</v>
      </c>
      <c r="D88" s="4">
        <f t="shared" si="37"/>
        <v>1.0003522367030644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477.8</v>
      </c>
      <c r="O88" s="35">
        <v>239.8</v>
      </c>
      <c r="P88" s="4">
        <f t="shared" si="38"/>
        <v>0.50188363331938046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82">
        <v>8887</v>
      </c>
      <c r="W88" s="82">
        <v>9958</v>
      </c>
      <c r="X88" s="4">
        <f t="shared" si="39"/>
        <v>1.1205131090356701</v>
      </c>
      <c r="Y88" s="5">
        <v>5</v>
      </c>
      <c r="Z88" s="5">
        <v>683</v>
      </c>
      <c r="AA88" s="5">
        <v>692</v>
      </c>
      <c r="AB88" s="4">
        <f t="shared" si="40"/>
        <v>1.0131771595900438</v>
      </c>
      <c r="AC88" s="5">
        <v>20</v>
      </c>
      <c r="AD88" s="5" t="s">
        <v>360</v>
      </c>
      <c r="AE88" s="5" t="s">
        <v>360</v>
      </c>
      <c r="AF88" s="5" t="s">
        <v>360</v>
      </c>
      <c r="AG88" s="5" t="s">
        <v>360</v>
      </c>
      <c r="AH88" s="5" t="s">
        <v>360</v>
      </c>
      <c r="AI88" s="5" t="s">
        <v>360</v>
      </c>
      <c r="AJ88" s="5" t="s">
        <v>360</v>
      </c>
      <c r="AK88" s="5" t="s">
        <v>360</v>
      </c>
      <c r="AL88" s="5" t="s">
        <v>360</v>
      </c>
      <c r="AM88" s="5" t="s">
        <v>360</v>
      </c>
      <c r="AN88" s="5" t="s">
        <v>360</v>
      </c>
      <c r="AO88" s="5" t="s">
        <v>360</v>
      </c>
      <c r="AP88" s="43">
        <f t="shared" si="48"/>
        <v>0.81811085173764331</v>
      </c>
      <c r="AQ88" s="44">
        <v>1156</v>
      </c>
      <c r="AR88" s="35">
        <f t="shared" si="41"/>
        <v>315.27272727272725</v>
      </c>
      <c r="AS88" s="35">
        <f t="shared" si="42"/>
        <v>257.89999999999998</v>
      </c>
      <c r="AT88" s="35">
        <f t="shared" si="43"/>
        <v>-57.372727272727275</v>
      </c>
      <c r="AU88" s="35">
        <v>20.6</v>
      </c>
      <c r="AV88" s="35">
        <v>128.19999999999999</v>
      </c>
      <c r="AW88" s="35">
        <v>2.1</v>
      </c>
      <c r="AX88" s="35">
        <f t="shared" si="44"/>
        <v>107</v>
      </c>
      <c r="AY88" s="35"/>
      <c r="AZ88" s="35">
        <f t="shared" si="45"/>
        <v>107</v>
      </c>
      <c r="BA88" s="35">
        <v>0</v>
      </c>
      <c r="BB88" s="35">
        <f t="shared" si="49"/>
        <v>107</v>
      </c>
      <c r="BC88" s="35"/>
      <c r="BD88" s="35">
        <f t="shared" si="46"/>
        <v>107</v>
      </c>
      <c r="BE88" s="35">
        <v>96.4</v>
      </c>
      <c r="BF88" s="35">
        <f t="shared" si="47"/>
        <v>10.6</v>
      </c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10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10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10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10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10"/>
      <c r="HA88" s="9"/>
      <c r="HB88" s="9"/>
    </row>
    <row r="89" spans="1:210" s="2" customFormat="1" ht="17.149999999999999" customHeight="1">
      <c r="A89" s="14" t="s">
        <v>76</v>
      </c>
      <c r="B89" s="63">
        <v>2366</v>
      </c>
      <c r="C89" s="63">
        <v>2387.6999999999998</v>
      </c>
      <c r="D89" s="4">
        <f t="shared" si="37"/>
        <v>1.0091715976331359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1000.2</v>
      </c>
      <c r="O89" s="35">
        <v>1975</v>
      </c>
      <c r="P89" s="4">
        <f t="shared" si="38"/>
        <v>1.2774605078984202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82">
        <v>7616</v>
      </c>
      <c r="W89" s="82">
        <v>9184</v>
      </c>
      <c r="X89" s="4">
        <f t="shared" si="39"/>
        <v>1.2005882352941175</v>
      </c>
      <c r="Y89" s="5">
        <v>5</v>
      </c>
      <c r="Z89" s="5">
        <v>1440</v>
      </c>
      <c r="AA89" s="5">
        <v>1496</v>
      </c>
      <c r="AB89" s="4">
        <f t="shared" si="40"/>
        <v>1.038888888888889</v>
      </c>
      <c r="AC89" s="5">
        <v>20</v>
      </c>
      <c r="AD89" s="5" t="s">
        <v>360</v>
      </c>
      <c r="AE89" s="5" t="s">
        <v>360</v>
      </c>
      <c r="AF89" s="5" t="s">
        <v>360</v>
      </c>
      <c r="AG89" s="5" t="s">
        <v>360</v>
      </c>
      <c r="AH89" s="5" t="s">
        <v>360</v>
      </c>
      <c r="AI89" s="5" t="s">
        <v>360</v>
      </c>
      <c r="AJ89" s="5" t="s">
        <v>360</v>
      </c>
      <c r="AK89" s="5" t="s">
        <v>360</v>
      </c>
      <c r="AL89" s="5" t="s">
        <v>360</v>
      </c>
      <c r="AM89" s="5" t="s">
        <v>360</v>
      </c>
      <c r="AN89" s="5" t="s">
        <v>360</v>
      </c>
      <c r="AO89" s="5" t="s">
        <v>360</v>
      </c>
      <c r="AP89" s="43">
        <f t="shared" si="48"/>
        <v>1.1475157420076489</v>
      </c>
      <c r="AQ89" s="44">
        <v>794</v>
      </c>
      <c r="AR89" s="35">
        <f t="shared" si="41"/>
        <v>216.54545454545456</v>
      </c>
      <c r="AS89" s="35">
        <f t="shared" si="42"/>
        <v>248.5</v>
      </c>
      <c r="AT89" s="35">
        <f t="shared" si="43"/>
        <v>31.954545454545439</v>
      </c>
      <c r="AU89" s="35">
        <v>44.2</v>
      </c>
      <c r="AV89" s="35">
        <v>47.6</v>
      </c>
      <c r="AW89" s="35"/>
      <c r="AX89" s="35">
        <f t="shared" si="44"/>
        <v>156.69999999999999</v>
      </c>
      <c r="AY89" s="35"/>
      <c r="AZ89" s="35">
        <f t="shared" si="45"/>
        <v>156.69999999999999</v>
      </c>
      <c r="BA89" s="35">
        <v>0</v>
      </c>
      <c r="BB89" s="35">
        <f t="shared" si="49"/>
        <v>156.69999999999999</v>
      </c>
      <c r="BC89" s="35"/>
      <c r="BD89" s="35">
        <f t="shared" si="46"/>
        <v>156.69999999999999</v>
      </c>
      <c r="BE89" s="35">
        <v>155.4</v>
      </c>
      <c r="BF89" s="35">
        <f t="shared" si="47"/>
        <v>1.3</v>
      </c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10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10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10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10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10"/>
      <c r="HA89" s="9"/>
      <c r="HB89" s="9"/>
    </row>
    <row r="90" spans="1:210" s="2" customFormat="1" ht="17.149999999999999" customHeight="1">
      <c r="A90" s="18" t="s">
        <v>77</v>
      </c>
      <c r="B90" s="5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83"/>
      <c r="W90" s="83"/>
      <c r="X90" s="11"/>
      <c r="Y90" s="11"/>
      <c r="Z90" s="11"/>
      <c r="AA90" s="11"/>
      <c r="AB90" s="11"/>
      <c r="AC90" s="11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35"/>
      <c r="BB90" s="35"/>
      <c r="BC90" s="35"/>
      <c r="BD90" s="35"/>
      <c r="BE90" s="35"/>
      <c r="BF90" s="35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10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10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10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10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10"/>
      <c r="HA90" s="9"/>
      <c r="HB90" s="9"/>
    </row>
    <row r="91" spans="1:210" s="2" customFormat="1" ht="17.149999999999999" customHeight="1">
      <c r="A91" s="14" t="s">
        <v>78</v>
      </c>
      <c r="B91" s="63">
        <v>29508</v>
      </c>
      <c r="C91" s="63">
        <v>36569</v>
      </c>
      <c r="D91" s="4">
        <f t="shared" si="37"/>
        <v>1.2039291039718043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1175.5</v>
      </c>
      <c r="O91" s="35">
        <v>791.1</v>
      </c>
      <c r="P91" s="4">
        <f t="shared" si="38"/>
        <v>0.67299021692896643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82">
        <v>13100</v>
      </c>
      <c r="W91" s="82">
        <v>23329</v>
      </c>
      <c r="X91" s="4">
        <f t="shared" si="39"/>
        <v>1.2580839694656487</v>
      </c>
      <c r="Y91" s="5">
        <v>5</v>
      </c>
      <c r="Z91" s="5">
        <v>1477</v>
      </c>
      <c r="AA91" s="5">
        <v>1477</v>
      </c>
      <c r="AB91" s="4">
        <f t="shared" si="40"/>
        <v>1</v>
      </c>
      <c r="AC91" s="5">
        <v>20</v>
      </c>
      <c r="AD91" s="5" t="s">
        <v>360</v>
      </c>
      <c r="AE91" s="5" t="s">
        <v>360</v>
      </c>
      <c r="AF91" s="5" t="s">
        <v>360</v>
      </c>
      <c r="AG91" s="5" t="s">
        <v>360</v>
      </c>
      <c r="AH91" s="5" t="s">
        <v>360</v>
      </c>
      <c r="AI91" s="5" t="s">
        <v>360</v>
      </c>
      <c r="AJ91" s="5" t="s">
        <v>360</v>
      </c>
      <c r="AK91" s="5" t="s">
        <v>360</v>
      </c>
      <c r="AL91" s="5" t="s">
        <v>360</v>
      </c>
      <c r="AM91" s="5" t="s">
        <v>360</v>
      </c>
      <c r="AN91" s="5" t="s">
        <v>360</v>
      </c>
      <c r="AO91" s="5" t="s">
        <v>360</v>
      </c>
      <c r="AP91" s="43">
        <f t="shared" si="48"/>
        <v>0.91539739411533194</v>
      </c>
      <c r="AQ91" s="44">
        <v>1872</v>
      </c>
      <c r="AR91" s="35">
        <f t="shared" si="41"/>
        <v>510.54545454545456</v>
      </c>
      <c r="AS91" s="35">
        <f t="shared" si="42"/>
        <v>467.4</v>
      </c>
      <c r="AT91" s="35">
        <f t="shared" si="43"/>
        <v>-43.145454545454584</v>
      </c>
      <c r="AU91" s="35">
        <v>206</v>
      </c>
      <c r="AV91" s="35">
        <v>5.4</v>
      </c>
      <c r="AW91" s="35">
        <v>85.1</v>
      </c>
      <c r="AX91" s="35">
        <f t="shared" si="44"/>
        <v>170.9</v>
      </c>
      <c r="AY91" s="35"/>
      <c r="AZ91" s="35">
        <f t="shared" si="45"/>
        <v>170.9</v>
      </c>
      <c r="BA91" s="35">
        <v>0</v>
      </c>
      <c r="BB91" s="35">
        <f t="shared" si="49"/>
        <v>170.9</v>
      </c>
      <c r="BC91" s="35">
        <f>MIN(BB91,39.5)</f>
        <v>39.5</v>
      </c>
      <c r="BD91" s="35">
        <f t="shared" si="46"/>
        <v>131.4</v>
      </c>
      <c r="BE91" s="35">
        <v>111.9</v>
      </c>
      <c r="BF91" s="35">
        <f t="shared" si="47"/>
        <v>19.5</v>
      </c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10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10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10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10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10"/>
      <c r="HA91" s="9"/>
      <c r="HB91" s="9"/>
    </row>
    <row r="92" spans="1:210" s="2" customFormat="1" ht="17.149999999999999" customHeight="1">
      <c r="A92" s="45" t="s">
        <v>79</v>
      </c>
      <c r="B92" s="63">
        <v>42703</v>
      </c>
      <c r="C92" s="63">
        <v>49280.7</v>
      </c>
      <c r="D92" s="4">
        <f t="shared" si="37"/>
        <v>1.1540336744491018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3034.6</v>
      </c>
      <c r="O92" s="35">
        <v>2976.3</v>
      </c>
      <c r="P92" s="4">
        <f t="shared" si="38"/>
        <v>0.98078824227245776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82">
        <v>70000</v>
      </c>
      <c r="W92" s="82">
        <v>184129</v>
      </c>
      <c r="X92" s="4">
        <f t="shared" si="39"/>
        <v>1.3</v>
      </c>
      <c r="Y92" s="5">
        <v>5</v>
      </c>
      <c r="Z92" s="5">
        <v>1354</v>
      </c>
      <c r="AA92" s="5">
        <v>1354</v>
      </c>
      <c r="AB92" s="4">
        <f t="shared" si="40"/>
        <v>1</v>
      </c>
      <c r="AC92" s="5">
        <v>20</v>
      </c>
      <c r="AD92" s="5" t="s">
        <v>360</v>
      </c>
      <c r="AE92" s="5" t="s">
        <v>360</v>
      </c>
      <c r="AF92" s="5" t="s">
        <v>360</v>
      </c>
      <c r="AG92" s="5" t="s">
        <v>360</v>
      </c>
      <c r="AH92" s="5" t="s">
        <v>360</v>
      </c>
      <c r="AI92" s="5" t="s">
        <v>360</v>
      </c>
      <c r="AJ92" s="5" t="s">
        <v>360</v>
      </c>
      <c r="AK92" s="5" t="s">
        <v>360</v>
      </c>
      <c r="AL92" s="5" t="s">
        <v>360</v>
      </c>
      <c r="AM92" s="5" t="s">
        <v>360</v>
      </c>
      <c r="AN92" s="5" t="s">
        <v>360</v>
      </c>
      <c r="AO92" s="5" t="s">
        <v>360</v>
      </c>
      <c r="AP92" s="43">
        <f t="shared" si="48"/>
        <v>1.0377186643538934</v>
      </c>
      <c r="AQ92" s="44">
        <v>2319</v>
      </c>
      <c r="AR92" s="35">
        <f t="shared" si="41"/>
        <v>632.4545454545455</v>
      </c>
      <c r="AS92" s="35">
        <f t="shared" si="42"/>
        <v>656.3</v>
      </c>
      <c r="AT92" s="35">
        <f t="shared" si="43"/>
        <v>23.845454545454459</v>
      </c>
      <c r="AU92" s="35">
        <v>253.2</v>
      </c>
      <c r="AV92" s="35">
        <v>212.1</v>
      </c>
      <c r="AW92" s="35"/>
      <c r="AX92" s="35">
        <f t="shared" si="44"/>
        <v>191</v>
      </c>
      <c r="AY92" s="35"/>
      <c r="AZ92" s="35">
        <f t="shared" si="45"/>
        <v>191</v>
      </c>
      <c r="BA92" s="35">
        <v>0</v>
      </c>
      <c r="BB92" s="35">
        <f t="shared" si="49"/>
        <v>191</v>
      </c>
      <c r="BC92" s="35"/>
      <c r="BD92" s="35">
        <f t="shared" si="46"/>
        <v>191</v>
      </c>
      <c r="BE92" s="35">
        <v>172.6</v>
      </c>
      <c r="BF92" s="35">
        <f t="shared" si="47"/>
        <v>18.399999999999999</v>
      </c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10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10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10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10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10"/>
      <c r="HA92" s="9"/>
      <c r="HB92" s="9"/>
    </row>
    <row r="93" spans="1:210" s="2" customFormat="1" ht="17.149999999999999" customHeight="1">
      <c r="A93" s="14" t="s">
        <v>80</v>
      </c>
      <c r="B93" s="63">
        <v>121</v>
      </c>
      <c r="C93" s="63">
        <v>124</v>
      </c>
      <c r="D93" s="4">
        <f t="shared" si="37"/>
        <v>1.024793388429752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115.8</v>
      </c>
      <c r="O93" s="35">
        <v>185.7</v>
      </c>
      <c r="P93" s="4">
        <f t="shared" si="38"/>
        <v>1.2403626943005182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82">
        <v>5110</v>
      </c>
      <c r="W93" s="82">
        <v>4928</v>
      </c>
      <c r="X93" s="4">
        <f t="shared" si="39"/>
        <v>0.96438356164383565</v>
      </c>
      <c r="Y93" s="5">
        <v>5</v>
      </c>
      <c r="Z93" s="5">
        <v>1977</v>
      </c>
      <c r="AA93" s="5">
        <v>1981</v>
      </c>
      <c r="AB93" s="4">
        <f t="shared" si="40"/>
        <v>1.002023267577137</v>
      </c>
      <c r="AC93" s="5">
        <v>20</v>
      </c>
      <c r="AD93" s="5" t="s">
        <v>360</v>
      </c>
      <c r="AE93" s="5" t="s">
        <v>360</v>
      </c>
      <c r="AF93" s="5" t="s">
        <v>360</v>
      </c>
      <c r="AG93" s="5" t="s">
        <v>360</v>
      </c>
      <c r="AH93" s="5" t="s">
        <v>360</v>
      </c>
      <c r="AI93" s="5" t="s">
        <v>360</v>
      </c>
      <c r="AJ93" s="5" t="s">
        <v>360</v>
      </c>
      <c r="AK93" s="5" t="s">
        <v>360</v>
      </c>
      <c r="AL93" s="5" t="s">
        <v>360</v>
      </c>
      <c r="AM93" s="5" t="s">
        <v>360</v>
      </c>
      <c r="AN93" s="5" t="s">
        <v>360</v>
      </c>
      <c r="AO93" s="5" t="s">
        <v>360</v>
      </c>
      <c r="AP93" s="43">
        <f t="shared" si="48"/>
        <v>1.0958720797584209</v>
      </c>
      <c r="AQ93" s="44">
        <v>2922</v>
      </c>
      <c r="AR93" s="35">
        <f t="shared" si="41"/>
        <v>796.90909090909088</v>
      </c>
      <c r="AS93" s="35">
        <f t="shared" si="42"/>
        <v>873.3</v>
      </c>
      <c r="AT93" s="35">
        <f t="shared" si="43"/>
        <v>76.390909090909076</v>
      </c>
      <c r="AU93" s="35">
        <v>326.60000000000002</v>
      </c>
      <c r="AV93" s="35">
        <v>165.7</v>
      </c>
      <c r="AW93" s="35"/>
      <c r="AX93" s="35">
        <f t="shared" si="44"/>
        <v>381</v>
      </c>
      <c r="AY93" s="35"/>
      <c r="AZ93" s="35">
        <f t="shared" si="45"/>
        <v>381</v>
      </c>
      <c r="BA93" s="35">
        <v>0</v>
      </c>
      <c r="BB93" s="35">
        <f t="shared" si="49"/>
        <v>381</v>
      </c>
      <c r="BC93" s="35"/>
      <c r="BD93" s="35">
        <f t="shared" si="46"/>
        <v>381</v>
      </c>
      <c r="BE93" s="35">
        <v>392.7</v>
      </c>
      <c r="BF93" s="35">
        <f t="shared" si="47"/>
        <v>-11.7</v>
      </c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10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10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10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10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10"/>
      <c r="HA93" s="9"/>
      <c r="HB93" s="9"/>
    </row>
    <row r="94" spans="1:210" s="2" customFormat="1" ht="17.149999999999999" customHeight="1">
      <c r="A94" s="14" t="s">
        <v>81</v>
      </c>
      <c r="B94" s="63">
        <v>1758</v>
      </c>
      <c r="C94" s="63">
        <v>2041.6</v>
      </c>
      <c r="D94" s="4">
        <f t="shared" si="37"/>
        <v>1.1613196814562001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517.70000000000005</v>
      </c>
      <c r="O94" s="35">
        <v>316.3</v>
      </c>
      <c r="P94" s="4">
        <f t="shared" si="38"/>
        <v>0.6109716051767432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82">
        <v>5000</v>
      </c>
      <c r="W94" s="82">
        <v>5036</v>
      </c>
      <c r="X94" s="4">
        <f t="shared" si="39"/>
        <v>1.0072000000000001</v>
      </c>
      <c r="Y94" s="5">
        <v>5</v>
      </c>
      <c r="Z94" s="5">
        <v>1356</v>
      </c>
      <c r="AA94" s="5">
        <v>1458</v>
      </c>
      <c r="AB94" s="4">
        <f t="shared" si="40"/>
        <v>1.0752212389380531</v>
      </c>
      <c r="AC94" s="5">
        <v>20</v>
      </c>
      <c r="AD94" s="5" t="s">
        <v>360</v>
      </c>
      <c r="AE94" s="5" t="s">
        <v>360</v>
      </c>
      <c r="AF94" s="5" t="s">
        <v>360</v>
      </c>
      <c r="AG94" s="5" t="s">
        <v>360</v>
      </c>
      <c r="AH94" s="5" t="s">
        <v>360</v>
      </c>
      <c r="AI94" s="5" t="s">
        <v>360</v>
      </c>
      <c r="AJ94" s="5" t="s">
        <v>360</v>
      </c>
      <c r="AK94" s="5" t="s">
        <v>360</v>
      </c>
      <c r="AL94" s="5" t="s">
        <v>360</v>
      </c>
      <c r="AM94" s="5" t="s">
        <v>360</v>
      </c>
      <c r="AN94" s="5" t="s">
        <v>360</v>
      </c>
      <c r="AO94" s="5" t="s">
        <v>360</v>
      </c>
      <c r="AP94" s="43">
        <f t="shared" si="48"/>
        <v>0.89132910579153857</v>
      </c>
      <c r="AQ94" s="44">
        <v>2861</v>
      </c>
      <c r="AR94" s="35">
        <f t="shared" si="41"/>
        <v>780.27272727272725</v>
      </c>
      <c r="AS94" s="35">
        <f t="shared" si="42"/>
        <v>695.5</v>
      </c>
      <c r="AT94" s="35">
        <f t="shared" si="43"/>
        <v>-84.772727272727252</v>
      </c>
      <c r="AU94" s="35">
        <v>186.6</v>
      </c>
      <c r="AV94" s="35">
        <v>46.8</v>
      </c>
      <c r="AW94" s="35">
        <v>130</v>
      </c>
      <c r="AX94" s="35">
        <f t="shared" si="44"/>
        <v>332.1</v>
      </c>
      <c r="AY94" s="35"/>
      <c r="AZ94" s="35">
        <f t="shared" si="45"/>
        <v>332.1</v>
      </c>
      <c r="BA94" s="35">
        <v>0</v>
      </c>
      <c r="BB94" s="35">
        <f t="shared" si="49"/>
        <v>332.1</v>
      </c>
      <c r="BC94" s="35">
        <f>MIN(BB94,44.7)</f>
        <v>44.7</v>
      </c>
      <c r="BD94" s="35">
        <f t="shared" si="46"/>
        <v>287.39999999999998</v>
      </c>
      <c r="BE94" s="35">
        <v>277.3</v>
      </c>
      <c r="BF94" s="35">
        <f t="shared" si="47"/>
        <v>10.1</v>
      </c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10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10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10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10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10"/>
      <c r="HA94" s="9"/>
      <c r="HB94" s="9"/>
    </row>
    <row r="95" spans="1:210" s="2" customFormat="1" ht="17.149999999999999" customHeight="1">
      <c r="A95" s="14" t="s">
        <v>82</v>
      </c>
      <c r="B95" s="63">
        <v>138</v>
      </c>
      <c r="C95" s="63">
        <v>141</v>
      </c>
      <c r="D95" s="4">
        <f t="shared" si="37"/>
        <v>1.0217391304347827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224.3</v>
      </c>
      <c r="O95" s="35">
        <v>735.4</v>
      </c>
      <c r="P95" s="4">
        <f t="shared" si="38"/>
        <v>1.3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82">
        <v>3600</v>
      </c>
      <c r="W95" s="82">
        <v>3449</v>
      </c>
      <c r="X95" s="4">
        <f t="shared" si="39"/>
        <v>0.95805555555555555</v>
      </c>
      <c r="Y95" s="5">
        <v>5</v>
      </c>
      <c r="Z95" s="5">
        <v>800</v>
      </c>
      <c r="AA95" s="5">
        <v>807</v>
      </c>
      <c r="AB95" s="4">
        <f t="shared" si="40"/>
        <v>1.00875</v>
      </c>
      <c r="AC95" s="5">
        <v>20</v>
      </c>
      <c r="AD95" s="5" t="s">
        <v>360</v>
      </c>
      <c r="AE95" s="5" t="s">
        <v>360</v>
      </c>
      <c r="AF95" s="5" t="s">
        <v>360</v>
      </c>
      <c r="AG95" s="5" t="s">
        <v>360</v>
      </c>
      <c r="AH95" s="5" t="s">
        <v>360</v>
      </c>
      <c r="AI95" s="5" t="s">
        <v>360</v>
      </c>
      <c r="AJ95" s="5" t="s">
        <v>360</v>
      </c>
      <c r="AK95" s="5" t="s">
        <v>360</v>
      </c>
      <c r="AL95" s="5" t="s">
        <v>360</v>
      </c>
      <c r="AM95" s="5" t="s">
        <v>360</v>
      </c>
      <c r="AN95" s="5" t="s">
        <v>360</v>
      </c>
      <c r="AO95" s="5" t="s">
        <v>360</v>
      </c>
      <c r="AP95" s="43">
        <f t="shared" si="48"/>
        <v>1.1214794685990339</v>
      </c>
      <c r="AQ95" s="44">
        <v>2161</v>
      </c>
      <c r="AR95" s="35">
        <f t="shared" si="41"/>
        <v>589.36363636363637</v>
      </c>
      <c r="AS95" s="35">
        <f t="shared" si="42"/>
        <v>661</v>
      </c>
      <c r="AT95" s="35">
        <f t="shared" si="43"/>
        <v>71.636363636363626</v>
      </c>
      <c r="AU95" s="35">
        <v>137.69999999999999</v>
      </c>
      <c r="AV95" s="35">
        <v>244.4</v>
      </c>
      <c r="AW95" s="35"/>
      <c r="AX95" s="35">
        <f t="shared" si="44"/>
        <v>278.89999999999998</v>
      </c>
      <c r="AY95" s="35"/>
      <c r="AZ95" s="35">
        <f t="shared" si="45"/>
        <v>278.89999999999998</v>
      </c>
      <c r="BA95" s="35">
        <v>0</v>
      </c>
      <c r="BB95" s="35">
        <f t="shared" si="49"/>
        <v>278.89999999999998</v>
      </c>
      <c r="BC95" s="35"/>
      <c r="BD95" s="35">
        <f t="shared" si="46"/>
        <v>278.89999999999998</v>
      </c>
      <c r="BE95" s="35">
        <v>289.60000000000002</v>
      </c>
      <c r="BF95" s="35">
        <f t="shared" si="47"/>
        <v>-10.7</v>
      </c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10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10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10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10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10"/>
      <c r="HA95" s="9"/>
      <c r="HB95" s="9"/>
    </row>
    <row r="96" spans="1:210" s="2" customFormat="1" ht="17.149999999999999" customHeight="1">
      <c r="A96" s="14" t="s">
        <v>83</v>
      </c>
      <c r="B96" s="63">
        <v>134</v>
      </c>
      <c r="C96" s="63">
        <v>137</v>
      </c>
      <c r="D96" s="4">
        <f t="shared" si="37"/>
        <v>1.0223880597014925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314.89999999999998</v>
      </c>
      <c r="O96" s="35">
        <v>1139.7</v>
      </c>
      <c r="P96" s="4">
        <f t="shared" si="38"/>
        <v>1.3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82">
        <v>3000</v>
      </c>
      <c r="W96" s="82">
        <v>2879</v>
      </c>
      <c r="X96" s="4">
        <f t="shared" si="39"/>
        <v>0.95966666666666667</v>
      </c>
      <c r="Y96" s="5">
        <v>5</v>
      </c>
      <c r="Z96" s="5">
        <v>1398</v>
      </c>
      <c r="AA96" s="5">
        <v>1398</v>
      </c>
      <c r="AB96" s="4">
        <f t="shared" si="40"/>
        <v>1</v>
      </c>
      <c r="AC96" s="5">
        <v>20</v>
      </c>
      <c r="AD96" s="5" t="s">
        <v>360</v>
      </c>
      <c r="AE96" s="5" t="s">
        <v>360</v>
      </c>
      <c r="AF96" s="5" t="s">
        <v>360</v>
      </c>
      <c r="AG96" s="5" t="s">
        <v>360</v>
      </c>
      <c r="AH96" s="5" t="s">
        <v>360</v>
      </c>
      <c r="AI96" s="5" t="s">
        <v>360</v>
      </c>
      <c r="AJ96" s="5" t="s">
        <v>360</v>
      </c>
      <c r="AK96" s="5" t="s">
        <v>360</v>
      </c>
      <c r="AL96" s="5" t="s">
        <v>360</v>
      </c>
      <c r="AM96" s="5" t="s">
        <v>360</v>
      </c>
      <c r="AN96" s="5" t="s">
        <v>360</v>
      </c>
      <c r="AO96" s="5" t="s">
        <v>360</v>
      </c>
      <c r="AP96" s="43">
        <f t="shared" si="48"/>
        <v>1.1182054726368158</v>
      </c>
      <c r="AQ96" s="44">
        <v>1616</v>
      </c>
      <c r="AR96" s="35">
        <f t="shared" si="41"/>
        <v>440.72727272727275</v>
      </c>
      <c r="AS96" s="35">
        <f t="shared" si="42"/>
        <v>492.8</v>
      </c>
      <c r="AT96" s="35">
        <f t="shared" si="43"/>
        <v>52.072727272727263</v>
      </c>
      <c r="AU96" s="35">
        <v>169.6</v>
      </c>
      <c r="AV96" s="35">
        <v>14.8</v>
      </c>
      <c r="AW96" s="35">
        <v>73.5</v>
      </c>
      <c r="AX96" s="35">
        <f t="shared" si="44"/>
        <v>234.9</v>
      </c>
      <c r="AY96" s="35"/>
      <c r="AZ96" s="35">
        <f t="shared" si="45"/>
        <v>234.9</v>
      </c>
      <c r="BA96" s="35">
        <v>0</v>
      </c>
      <c r="BB96" s="35">
        <f t="shared" si="49"/>
        <v>234.9</v>
      </c>
      <c r="BC96" s="35">
        <f>MIN(BB96,39.3)</f>
        <v>39.299999999999997</v>
      </c>
      <c r="BD96" s="35">
        <f t="shared" si="46"/>
        <v>195.6</v>
      </c>
      <c r="BE96" s="35">
        <v>203.4</v>
      </c>
      <c r="BF96" s="35">
        <f t="shared" si="47"/>
        <v>-7.8</v>
      </c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10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10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10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10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10"/>
      <c r="HA96" s="9"/>
      <c r="HB96" s="9"/>
    </row>
    <row r="97" spans="1:210" s="2" customFormat="1" ht="17.149999999999999" customHeight="1">
      <c r="A97" s="14" t="s">
        <v>84</v>
      </c>
      <c r="B97" s="63">
        <v>69</v>
      </c>
      <c r="C97" s="63">
        <v>88</v>
      </c>
      <c r="D97" s="4">
        <f t="shared" si="37"/>
        <v>1.2075362318840579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120.6</v>
      </c>
      <c r="O97" s="35">
        <v>414.1</v>
      </c>
      <c r="P97" s="4">
        <f t="shared" si="38"/>
        <v>1.3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82">
        <v>3000</v>
      </c>
      <c r="W97" s="82">
        <v>2877</v>
      </c>
      <c r="X97" s="4">
        <f t="shared" si="39"/>
        <v>0.95899999999999996</v>
      </c>
      <c r="Y97" s="5">
        <v>5</v>
      </c>
      <c r="Z97" s="5">
        <v>382</v>
      </c>
      <c r="AA97" s="5">
        <v>382</v>
      </c>
      <c r="AB97" s="4">
        <f t="shared" si="40"/>
        <v>1</v>
      </c>
      <c r="AC97" s="5">
        <v>20</v>
      </c>
      <c r="AD97" s="5" t="s">
        <v>360</v>
      </c>
      <c r="AE97" s="5" t="s">
        <v>360</v>
      </c>
      <c r="AF97" s="5" t="s">
        <v>360</v>
      </c>
      <c r="AG97" s="5" t="s">
        <v>360</v>
      </c>
      <c r="AH97" s="5" t="s">
        <v>360</v>
      </c>
      <c r="AI97" s="5" t="s">
        <v>360</v>
      </c>
      <c r="AJ97" s="5" t="s">
        <v>360</v>
      </c>
      <c r="AK97" s="5" t="s">
        <v>360</v>
      </c>
      <c r="AL97" s="5" t="s">
        <v>360</v>
      </c>
      <c r="AM97" s="5" t="s">
        <v>360</v>
      </c>
      <c r="AN97" s="5" t="s">
        <v>360</v>
      </c>
      <c r="AO97" s="5" t="s">
        <v>360</v>
      </c>
      <c r="AP97" s="43">
        <f t="shared" si="48"/>
        <v>1.1366536231884057</v>
      </c>
      <c r="AQ97" s="44">
        <v>1751</v>
      </c>
      <c r="AR97" s="35">
        <f t="shared" si="41"/>
        <v>477.54545454545456</v>
      </c>
      <c r="AS97" s="35">
        <f t="shared" si="42"/>
        <v>542.79999999999995</v>
      </c>
      <c r="AT97" s="35">
        <f t="shared" si="43"/>
        <v>65.254545454545394</v>
      </c>
      <c r="AU97" s="35">
        <v>203.9</v>
      </c>
      <c r="AV97" s="35">
        <v>133</v>
      </c>
      <c r="AW97" s="35"/>
      <c r="AX97" s="35">
        <f t="shared" si="44"/>
        <v>205.9</v>
      </c>
      <c r="AY97" s="35"/>
      <c r="AZ97" s="35">
        <f t="shared" si="45"/>
        <v>205.9</v>
      </c>
      <c r="BA97" s="35">
        <v>0</v>
      </c>
      <c r="BB97" s="35">
        <f t="shared" si="49"/>
        <v>205.9</v>
      </c>
      <c r="BC97" s="35"/>
      <c r="BD97" s="35">
        <f t="shared" si="46"/>
        <v>205.9</v>
      </c>
      <c r="BE97" s="35">
        <v>215.3</v>
      </c>
      <c r="BF97" s="35">
        <f t="shared" si="47"/>
        <v>-9.4</v>
      </c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10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10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10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10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10"/>
      <c r="HA97" s="9"/>
      <c r="HB97" s="9"/>
    </row>
    <row r="98" spans="1:210" s="2" customFormat="1" ht="17.149999999999999" customHeight="1">
      <c r="A98" s="14" t="s">
        <v>85</v>
      </c>
      <c r="B98" s="63">
        <v>120</v>
      </c>
      <c r="C98" s="63">
        <v>123</v>
      </c>
      <c r="D98" s="4">
        <f t="shared" si="37"/>
        <v>1.0249999999999999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124</v>
      </c>
      <c r="O98" s="35">
        <v>56.4</v>
      </c>
      <c r="P98" s="4">
        <f t="shared" si="38"/>
        <v>0.45483870967741935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82">
        <v>2000</v>
      </c>
      <c r="W98" s="82">
        <v>2043</v>
      </c>
      <c r="X98" s="4">
        <f t="shared" si="39"/>
        <v>1.0215000000000001</v>
      </c>
      <c r="Y98" s="5">
        <v>5</v>
      </c>
      <c r="Z98" s="5">
        <v>899</v>
      </c>
      <c r="AA98" s="5">
        <v>899</v>
      </c>
      <c r="AB98" s="4">
        <f t="shared" si="40"/>
        <v>1</v>
      </c>
      <c r="AC98" s="5">
        <v>20</v>
      </c>
      <c r="AD98" s="5" t="s">
        <v>360</v>
      </c>
      <c r="AE98" s="5" t="s">
        <v>360</v>
      </c>
      <c r="AF98" s="5" t="s">
        <v>360</v>
      </c>
      <c r="AG98" s="5" t="s">
        <v>360</v>
      </c>
      <c r="AH98" s="5" t="s">
        <v>360</v>
      </c>
      <c r="AI98" s="5" t="s">
        <v>360</v>
      </c>
      <c r="AJ98" s="5" t="s">
        <v>360</v>
      </c>
      <c r="AK98" s="5" t="s">
        <v>360</v>
      </c>
      <c r="AL98" s="5" t="s">
        <v>360</v>
      </c>
      <c r="AM98" s="5" t="s">
        <v>360</v>
      </c>
      <c r="AN98" s="5" t="s">
        <v>360</v>
      </c>
      <c r="AO98" s="5" t="s">
        <v>360</v>
      </c>
      <c r="AP98" s="43">
        <f t="shared" si="48"/>
        <v>0.78658548387096772</v>
      </c>
      <c r="AQ98" s="44">
        <v>1845</v>
      </c>
      <c r="AR98" s="35">
        <f t="shared" si="41"/>
        <v>503.18181818181813</v>
      </c>
      <c r="AS98" s="35">
        <f t="shared" si="42"/>
        <v>395.8</v>
      </c>
      <c r="AT98" s="35">
        <f t="shared" si="43"/>
        <v>-107.38181818181812</v>
      </c>
      <c r="AU98" s="35">
        <v>65.5</v>
      </c>
      <c r="AV98" s="35">
        <v>100.8</v>
      </c>
      <c r="AW98" s="35"/>
      <c r="AX98" s="35">
        <f t="shared" si="44"/>
        <v>229.5</v>
      </c>
      <c r="AY98" s="35"/>
      <c r="AZ98" s="35">
        <f t="shared" si="45"/>
        <v>229.5</v>
      </c>
      <c r="BA98" s="35">
        <v>0</v>
      </c>
      <c r="BB98" s="35">
        <f t="shared" si="49"/>
        <v>229.5</v>
      </c>
      <c r="BC98" s="35"/>
      <c r="BD98" s="35">
        <f t="shared" si="46"/>
        <v>229.5</v>
      </c>
      <c r="BE98" s="35">
        <v>216.4</v>
      </c>
      <c r="BF98" s="35">
        <f t="shared" si="47"/>
        <v>13.1</v>
      </c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10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10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10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10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10"/>
      <c r="HA98" s="9"/>
      <c r="HB98" s="9"/>
    </row>
    <row r="99" spans="1:210" s="2" customFormat="1" ht="17.149999999999999" customHeight="1">
      <c r="A99" s="14" t="s">
        <v>86</v>
      </c>
      <c r="B99" s="63">
        <v>1639</v>
      </c>
      <c r="C99" s="63">
        <v>1642</v>
      </c>
      <c r="D99" s="4">
        <f t="shared" si="37"/>
        <v>1.0018303843807199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384.2</v>
      </c>
      <c r="O99" s="35">
        <v>372</v>
      </c>
      <c r="P99" s="4">
        <f t="shared" si="38"/>
        <v>0.96824570536179078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82">
        <v>6500</v>
      </c>
      <c r="W99" s="82">
        <v>6246</v>
      </c>
      <c r="X99" s="4">
        <f t="shared" si="39"/>
        <v>0.96092307692307688</v>
      </c>
      <c r="Y99" s="5">
        <v>5</v>
      </c>
      <c r="Z99" s="5">
        <v>889</v>
      </c>
      <c r="AA99" s="5">
        <v>894</v>
      </c>
      <c r="AB99" s="4">
        <f t="shared" si="40"/>
        <v>1.0056242969628797</v>
      </c>
      <c r="AC99" s="5">
        <v>20</v>
      </c>
      <c r="AD99" s="5" t="s">
        <v>360</v>
      </c>
      <c r="AE99" s="5" t="s">
        <v>360</v>
      </c>
      <c r="AF99" s="5" t="s">
        <v>360</v>
      </c>
      <c r="AG99" s="5" t="s">
        <v>360</v>
      </c>
      <c r="AH99" s="5" t="s">
        <v>360</v>
      </c>
      <c r="AI99" s="5" t="s">
        <v>360</v>
      </c>
      <c r="AJ99" s="5" t="s">
        <v>360</v>
      </c>
      <c r="AK99" s="5" t="s">
        <v>360</v>
      </c>
      <c r="AL99" s="5" t="s">
        <v>360</v>
      </c>
      <c r="AM99" s="5" t="s">
        <v>360</v>
      </c>
      <c r="AN99" s="5" t="s">
        <v>360</v>
      </c>
      <c r="AO99" s="5" t="s">
        <v>360</v>
      </c>
      <c r="AP99" s="43">
        <f t="shared" si="48"/>
        <v>0.98582334706024799</v>
      </c>
      <c r="AQ99" s="44">
        <v>2157</v>
      </c>
      <c r="AR99" s="35">
        <f t="shared" si="41"/>
        <v>588.27272727272725</v>
      </c>
      <c r="AS99" s="35">
        <f t="shared" si="42"/>
        <v>579.9</v>
      </c>
      <c r="AT99" s="35">
        <f t="shared" si="43"/>
        <v>-8.3727272727272748</v>
      </c>
      <c r="AU99" s="35">
        <v>229</v>
      </c>
      <c r="AV99" s="35">
        <v>203.7</v>
      </c>
      <c r="AW99" s="35"/>
      <c r="AX99" s="35">
        <f t="shared" si="44"/>
        <v>147.19999999999999</v>
      </c>
      <c r="AY99" s="35"/>
      <c r="AZ99" s="35">
        <f t="shared" si="45"/>
        <v>147.19999999999999</v>
      </c>
      <c r="BA99" s="35">
        <v>0</v>
      </c>
      <c r="BB99" s="35">
        <f t="shared" si="49"/>
        <v>147.19999999999999</v>
      </c>
      <c r="BC99" s="35"/>
      <c r="BD99" s="35">
        <f t="shared" si="46"/>
        <v>147.19999999999999</v>
      </c>
      <c r="BE99" s="35">
        <v>148.9</v>
      </c>
      <c r="BF99" s="35">
        <f t="shared" si="47"/>
        <v>-1.7</v>
      </c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10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10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10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10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10"/>
      <c r="HA99" s="9"/>
      <c r="HB99" s="9"/>
    </row>
    <row r="100" spans="1:210" s="2" customFormat="1" ht="17.149999999999999" customHeight="1">
      <c r="A100" s="18" t="s">
        <v>87</v>
      </c>
      <c r="B100" s="59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83"/>
      <c r="W100" s="83"/>
      <c r="X100" s="11"/>
      <c r="Y100" s="11"/>
      <c r="Z100" s="11"/>
      <c r="AA100" s="11"/>
      <c r="AB100" s="11"/>
      <c r="AC100" s="11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35"/>
      <c r="BB100" s="35"/>
      <c r="BC100" s="35"/>
      <c r="BD100" s="35"/>
      <c r="BE100" s="35"/>
      <c r="BF100" s="35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10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10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10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10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10"/>
      <c r="HA100" s="9"/>
      <c r="HB100" s="9"/>
    </row>
    <row r="101" spans="1:210" s="2" customFormat="1" ht="17.149999999999999" customHeight="1">
      <c r="A101" s="14" t="s">
        <v>88</v>
      </c>
      <c r="B101" s="63">
        <v>0</v>
      </c>
      <c r="C101" s="63">
        <v>0</v>
      </c>
      <c r="D101" s="4">
        <f t="shared" si="37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71.8</v>
      </c>
      <c r="O101" s="35">
        <v>49.6</v>
      </c>
      <c r="P101" s="4">
        <f t="shared" si="38"/>
        <v>0.69080779944289694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63">
        <v>1403.1</v>
      </c>
      <c r="W101" s="82">
        <v>923</v>
      </c>
      <c r="X101" s="4">
        <f t="shared" si="39"/>
        <v>0.65782909272325574</v>
      </c>
      <c r="Y101" s="5">
        <v>5</v>
      </c>
      <c r="Z101" s="5">
        <v>44</v>
      </c>
      <c r="AA101" s="5">
        <v>44</v>
      </c>
      <c r="AB101" s="4">
        <f t="shared" si="40"/>
        <v>1</v>
      </c>
      <c r="AC101" s="5">
        <v>20</v>
      </c>
      <c r="AD101" s="5" t="s">
        <v>360</v>
      </c>
      <c r="AE101" s="5" t="s">
        <v>360</v>
      </c>
      <c r="AF101" s="5" t="s">
        <v>360</v>
      </c>
      <c r="AG101" s="5" t="s">
        <v>360</v>
      </c>
      <c r="AH101" s="5" t="s">
        <v>360</v>
      </c>
      <c r="AI101" s="5" t="s">
        <v>360</v>
      </c>
      <c r="AJ101" s="5" t="s">
        <v>360</v>
      </c>
      <c r="AK101" s="5" t="s">
        <v>360</v>
      </c>
      <c r="AL101" s="5" t="s">
        <v>360</v>
      </c>
      <c r="AM101" s="5" t="s">
        <v>360</v>
      </c>
      <c r="AN101" s="5" t="s">
        <v>360</v>
      </c>
      <c r="AO101" s="5" t="s">
        <v>360</v>
      </c>
      <c r="AP101" s="43">
        <f t="shared" si="48"/>
        <v>0.82456225449942722</v>
      </c>
      <c r="AQ101" s="44">
        <v>650</v>
      </c>
      <c r="AR101" s="35">
        <f t="shared" si="41"/>
        <v>177.27272727272728</v>
      </c>
      <c r="AS101" s="35">
        <f t="shared" si="42"/>
        <v>146.19999999999999</v>
      </c>
      <c r="AT101" s="35">
        <f t="shared" si="43"/>
        <v>-31.072727272727292</v>
      </c>
      <c r="AU101" s="35">
        <v>59.1</v>
      </c>
      <c r="AV101" s="35">
        <v>34.799999999999997</v>
      </c>
      <c r="AW101" s="35"/>
      <c r="AX101" s="35">
        <f t="shared" si="44"/>
        <v>52.3</v>
      </c>
      <c r="AY101" s="35"/>
      <c r="AZ101" s="35">
        <f t="shared" si="45"/>
        <v>52.3</v>
      </c>
      <c r="BA101" s="35">
        <v>0</v>
      </c>
      <c r="BB101" s="35">
        <f t="shared" si="49"/>
        <v>52.3</v>
      </c>
      <c r="BC101" s="35"/>
      <c r="BD101" s="35">
        <f t="shared" si="46"/>
        <v>52.3</v>
      </c>
      <c r="BE101" s="35">
        <v>56</v>
      </c>
      <c r="BF101" s="35">
        <f t="shared" si="47"/>
        <v>-3.7</v>
      </c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10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10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10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10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10"/>
      <c r="HA101" s="9"/>
      <c r="HB101" s="9"/>
    </row>
    <row r="102" spans="1:210" s="2" customFormat="1" ht="17.149999999999999" customHeight="1">
      <c r="A102" s="14" t="s">
        <v>89</v>
      </c>
      <c r="B102" s="63">
        <v>69631</v>
      </c>
      <c r="C102" s="63">
        <v>53634.8</v>
      </c>
      <c r="D102" s="4">
        <f t="shared" si="37"/>
        <v>0.77027186167080763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1636</v>
      </c>
      <c r="O102" s="35">
        <v>1945.7</v>
      </c>
      <c r="P102" s="4">
        <f t="shared" si="38"/>
        <v>1.1893031784841077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63">
        <v>202020.6</v>
      </c>
      <c r="W102" s="82">
        <v>192679</v>
      </c>
      <c r="X102" s="4">
        <f t="shared" si="39"/>
        <v>0.95375917109443287</v>
      </c>
      <c r="Y102" s="5">
        <v>5</v>
      </c>
      <c r="Z102" s="5">
        <v>104</v>
      </c>
      <c r="AA102" s="5">
        <v>104</v>
      </c>
      <c r="AB102" s="4">
        <f t="shared" si="40"/>
        <v>1</v>
      </c>
      <c r="AC102" s="5">
        <v>20</v>
      </c>
      <c r="AD102" s="5" t="s">
        <v>360</v>
      </c>
      <c r="AE102" s="5" t="s">
        <v>360</v>
      </c>
      <c r="AF102" s="5" t="s">
        <v>360</v>
      </c>
      <c r="AG102" s="5" t="s">
        <v>360</v>
      </c>
      <c r="AH102" s="5" t="s">
        <v>360</v>
      </c>
      <c r="AI102" s="5" t="s">
        <v>360</v>
      </c>
      <c r="AJ102" s="5" t="s">
        <v>360</v>
      </c>
      <c r="AK102" s="5" t="s">
        <v>360</v>
      </c>
      <c r="AL102" s="5" t="s">
        <v>360</v>
      </c>
      <c r="AM102" s="5" t="s">
        <v>360</v>
      </c>
      <c r="AN102" s="5" t="s">
        <v>360</v>
      </c>
      <c r="AO102" s="5" t="s">
        <v>360</v>
      </c>
      <c r="AP102" s="43">
        <f t="shared" si="48"/>
        <v>1.0481243746701672</v>
      </c>
      <c r="AQ102" s="44">
        <v>2371</v>
      </c>
      <c r="AR102" s="35">
        <f t="shared" si="41"/>
        <v>646.63636363636363</v>
      </c>
      <c r="AS102" s="35">
        <f t="shared" si="42"/>
        <v>677.8</v>
      </c>
      <c r="AT102" s="35">
        <f t="shared" si="43"/>
        <v>31.163636363636328</v>
      </c>
      <c r="AU102" s="35">
        <v>246.8</v>
      </c>
      <c r="AV102" s="35">
        <v>202.5</v>
      </c>
      <c r="AW102" s="35"/>
      <c r="AX102" s="35">
        <f t="shared" si="44"/>
        <v>228.5</v>
      </c>
      <c r="AY102" s="35"/>
      <c r="AZ102" s="35">
        <f t="shared" si="45"/>
        <v>228.5</v>
      </c>
      <c r="BA102" s="35">
        <v>0</v>
      </c>
      <c r="BB102" s="35">
        <f t="shared" si="49"/>
        <v>228.5</v>
      </c>
      <c r="BC102" s="35"/>
      <c r="BD102" s="35">
        <f t="shared" si="46"/>
        <v>228.5</v>
      </c>
      <c r="BE102" s="35">
        <v>235.2</v>
      </c>
      <c r="BF102" s="35">
        <f t="shared" si="47"/>
        <v>-6.7</v>
      </c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10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10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10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10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10"/>
      <c r="HA102" s="9"/>
      <c r="HB102" s="9"/>
    </row>
    <row r="103" spans="1:210" s="2" customFormat="1" ht="17.149999999999999" customHeight="1">
      <c r="A103" s="14" t="s">
        <v>90</v>
      </c>
      <c r="B103" s="63">
        <v>0</v>
      </c>
      <c r="C103" s="63">
        <v>0</v>
      </c>
      <c r="D103" s="4">
        <f t="shared" si="37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441.8</v>
      </c>
      <c r="O103" s="35">
        <v>272.39999999999998</v>
      </c>
      <c r="P103" s="4">
        <f t="shared" si="38"/>
        <v>0.61656858306926199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63">
        <v>7499.1</v>
      </c>
      <c r="W103" s="82">
        <v>5554</v>
      </c>
      <c r="X103" s="4">
        <f t="shared" si="39"/>
        <v>0.74062220799829315</v>
      </c>
      <c r="Y103" s="5">
        <v>5</v>
      </c>
      <c r="Z103" s="5">
        <v>219</v>
      </c>
      <c r="AA103" s="5">
        <v>219</v>
      </c>
      <c r="AB103" s="4">
        <f t="shared" si="40"/>
        <v>1</v>
      </c>
      <c r="AC103" s="5">
        <v>20</v>
      </c>
      <c r="AD103" s="5" t="s">
        <v>360</v>
      </c>
      <c r="AE103" s="5" t="s">
        <v>360</v>
      </c>
      <c r="AF103" s="5" t="s">
        <v>360</v>
      </c>
      <c r="AG103" s="5" t="s">
        <v>360</v>
      </c>
      <c r="AH103" s="5" t="s">
        <v>360</v>
      </c>
      <c r="AI103" s="5" t="s">
        <v>360</v>
      </c>
      <c r="AJ103" s="5" t="s">
        <v>360</v>
      </c>
      <c r="AK103" s="5" t="s">
        <v>360</v>
      </c>
      <c r="AL103" s="5" t="s">
        <v>360</v>
      </c>
      <c r="AM103" s="5" t="s">
        <v>360</v>
      </c>
      <c r="AN103" s="5" t="s">
        <v>360</v>
      </c>
      <c r="AO103" s="5" t="s">
        <v>360</v>
      </c>
      <c r="AP103" s="43">
        <f t="shared" si="48"/>
        <v>0.80076628225281565</v>
      </c>
      <c r="AQ103" s="44">
        <v>1198</v>
      </c>
      <c r="AR103" s="35">
        <f t="shared" si="41"/>
        <v>326.72727272727275</v>
      </c>
      <c r="AS103" s="35">
        <f t="shared" si="42"/>
        <v>261.60000000000002</v>
      </c>
      <c r="AT103" s="35">
        <f t="shared" si="43"/>
        <v>-65.127272727272725</v>
      </c>
      <c r="AU103" s="35">
        <v>97.6</v>
      </c>
      <c r="AV103" s="35">
        <v>0</v>
      </c>
      <c r="AW103" s="35">
        <v>28.9</v>
      </c>
      <c r="AX103" s="35">
        <f t="shared" si="44"/>
        <v>135.1</v>
      </c>
      <c r="AY103" s="35"/>
      <c r="AZ103" s="35">
        <f t="shared" si="45"/>
        <v>135.1</v>
      </c>
      <c r="BA103" s="35">
        <v>0</v>
      </c>
      <c r="BB103" s="35">
        <f t="shared" si="49"/>
        <v>135.1</v>
      </c>
      <c r="BC103" s="35">
        <f>MIN(BB103,54.5)</f>
        <v>54.5</v>
      </c>
      <c r="BD103" s="35">
        <f t="shared" si="46"/>
        <v>80.599999999999994</v>
      </c>
      <c r="BE103" s="35">
        <v>83.1</v>
      </c>
      <c r="BF103" s="35">
        <f t="shared" si="47"/>
        <v>-2.5</v>
      </c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10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10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10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10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10"/>
      <c r="HA103" s="9"/>
      <c r="HB103" s="9"/>
    </row>
    <row r="104" spans="1:210" s="2" customFormat="1" ht="17.149999999999999" customHeight="1">
      <c r="A104" s="14" t="s">
        <v>91</v>
      </c>
      <c r="B104" s="63">
        <v>0</v>
      </c>
      <c r="C104" s="63">
        <v>0</v>
      </c>
      <c r="D104" s="4">
        <f t="shared" si="37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182.6</v>
      </c>
      <c r="O104" s="35">
        <v>567.4</v>
      </c>
      <c r="P104" s="4">
        <f t="shared" si="38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63">
        <v>36913.800000000003</v>
      </c>
      <c r="W104" s="82">
        <v>34195</v>
      </c>
      <c r="X104" s="4">
        <f t="shared" si="39"/>
        <v>0.92634732809951825</v>
      </c>
      <c r="Y104" s="5">
        <v>5</v>
      </c>
      <c r="Z104" s="5">
        <v>105</v>
      </c>
      <c r="AA104" s="5">
        <v>105</v>
      </c>
      <c r="AB104" s="4">
        <f t="shared" si="40"/>
        <v>1</v>
      </c>
      <c r="AC104" s="5">
        <v>20</v>
      </c>
      <c r="AD104" s="5" t="s">
        <v>360</v>
      </c>
      <c r="AE104" s="5" t="s">
        <v>360</v>
      </c>
      <c r="AF104" s="5" t="s">
        <v>360</v>
      </c>
      <c r="AG104" s="5" t="s">
        <v>360</v>
      </c>
      <c r="AH104" s="5" t="s">
        <v>360</v>
      </c>
      <c r="AI104" s="5" t="s">
        <v>360</v>
      </c>
      <c r="AJ104" s="5" t="s">
        <v>360</v>
      </c>
      <c r="AK104" s="5" t="s">
        <v>360</v>
      </c>
      <c r="AL104" s="5" t="s">
        <v>360</v>
      </c>
      <c r="AM104" s="5" t="s">
        <v>360</v>
      </c>
      <c r="AN104" s="5" t="s">
        <v>360</v>
      </c>
      <c r="AO104" s="5" t="s">
        <v>360</v>
      </c>
      <c r="AP104" s="43">
        <f t="shared" si="48"/>
        <v>1.1251497031221687</v>
      </c>
      <c r="AQ104" s="44">
        <v>857</v>
      </c>
      <c r="AR104" s="35">
        <f t="shared" si="41"/>
        <v>233.72727272727272</v>
      </c>
      <c r="AS104" s="35">
        <f t="shared" si="42"/>
        <v>263</v>
      </c>
      <c r="AT104" s="35">
        <f t="shared" si="43"/>
        <v>29.27272727272728</v>
      </c>
      <c r="AU104" s="35">
        <v>101.3</v>
      </c>
      <c r="AV104" s="35">
        <v>101.3</v>
      </c>
      <c r="AW104" s="35"/>
      <c r="AX104" s="35">
        <f t="shared" si="44"/>
        <v>60.4</v>
      </c>
      <c r="AY104" s="35"/>
      <c r="AZ104" s="35">
        <f t="shared" si="45"/>
        <v>60.4</v>
      </c>
      <c r="BA104" s="35">
        <v>0</v>
      </c>
      <c r="BB104" s="35">
        <f t="shared" si="49"/>
        <v>60.4</v>
      </c>
      <c r="BC104" s="35"/>
      <c r="BD104" s="35">
        <f t="shared" si="46"/>
        <v>60.4</v>
      </c>
      <c r="BE104" s="35">
        <v>66.2</v>
      </c>
      <c r="BF104" s="35">
        <f t="shared" si="47"/>
        <v>-5.8</v>
      </c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10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10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10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10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10"/>
      <c r="HA104" s="9"/>
      <c r="HB104" s="9"/>
    </row>
    <row r="105" spans="1:210" s="2" customFormat="1" ht="17.149999999999999" customHeight="1">
      <c r="A105" s="14" t="s">
        <v>92</v>
      </c>
      <c r="B105" s="63">
        <v>834</v>
      </c>
      <c r="C105" s="63">
        <v>777</v>
      </c>
      <c r="D105" s="4">
        <f t="shared" si="37"/>
        <v>0.93165467625899279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479.9</v>
      </c>
      <c r="O105" s="35">
        <v>315.89999999999998</v>
      </c>
      <c r="P105" s="4">
        <f t="shared" si="38"/>
        <v>0.65826213794540522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82">
        <v>2120</v>
      </c>
      <c r="W105" s="82">
        <v>2001</v>
      </c>
      <c r="X105" s="4">
        <f t="shared" si="39"/>
        <v>0.94386792452830193</v>
      </c>
      <c r="Y105" s="5">
        <v>5</v>
      </c>
      <c r="Z105" s="5">
        <v>395</v>
      </c>
      <c r="AA105" s="5">
        <v>395</v>
      </c>
      <c r="AB105" s="4">
        <f t="shared" si="40"/>
        <v>1</v>
      </c>
      <c r="AC105" s="5">
        <v>20</v>
      </c>
      <c r="AD105" s="5" t="s">
        <v>360</v>
      </c>
      <c r="AE105" s="5" t="s">
        <v>360</v>
      </c>
      <c r="AF105" s="5" t="s">
        <v>360</v>
      </c>
      <c r="AG105" s="5" t="s">
        <v>360</v>
      </c>
      <c r="AH105" s="5" t="s">
        <v>360</v>
      </c>
      <c r="AI105" s="5" t="s">
        <v>360</v>
      </c>
      <c r="AJ105" s="5" t="s">
        <v>360</v>
      </c>
      <c r="AK105" s="5" t="s">
        <v>360</v>
      </c>
      <c r="AL105" s="5" t="s">
        <v>360</v>
      </c>
      <c r="AM105" s="5" t="s">
        <v>360</v>
      </c>
      <c r="AN105" s="5" t="s">
        <v>360</v>
      </c>
      <c r="AO105" s="5" t="s">
        <v>360</v>
      </c>
      <c r="AP105" s="43">
        <f t="shared" si="48"/>
        <v>0.85085711525689167</v>
      </c>
      <c r="AQ105" s="44">
        <v>1240</v>
      </c>
      <c r="AR105" s="35">
        <f t="shared" si="41"/>
        <v>338.18181818181819</v>
      </c>
      <c r="AS105" s="35">
        <f t="shared" si="42"/>
        <v>287.7</v>
      </c>
      <c r="AT105" s="35">
        <f t="shared" si="43"/>
        <v>-50.481818181818198</v>
      </c>
      <c r="AU105" s="35">
        <v>57.3</v>
      </c>
      <c r="AV105" s="35">
        <v>53.9</v>
      </c>
      <c r="AW105" s="35"/>
      <c r="AX105" s="35">
        <f t="shared" si="44"/>
        <v>176.5</v>
      </c>
      <c r="AY105" s="35"/>
      <c r="AZ105" s="35">
        <f t="shared" si="45"/>
        <v>176.5</v>
      </c>
      <c r="BA105" s="35">
        <v>0</v>
      </c>
      <c r="BB105" s="35">
        <f t="shared" si="49"/>
        <v>176.5</v>
      </c>
      <c r="BC105" s="35"/>
      <c r="BD105" s="35">
        <f t="shared" si="46"/>
        <v>176.5</v>
      </c>
      <c r="BE105" s="35">
        <v>173</v>
      </c>
      <c r="BF105" s="35">
        <f t="shared" si="47"/>
        <v>3.5</v>
      </c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10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10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10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10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10"/>
      <c r="HA105" s="9"/>
      <c r="HB105" s="9"/>
    </row>
    <row r="106" spans="1:210" s="2" customFormat="1" ht="17.149999999999999" customHeight="1">
      <c r="A106" s="14" t="s">
        <v>93</v>
      </c>
      <c r="B106" s="63">
        <v>0</v>
      </c>
      <c r="C106" s="63">
        <v>0</v>
      </c>
      <c r="D106" s="4">
        <f t="shared" si="37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304.60000000000002</v>
      </c>
      <c r="O106" s="35">
        <v>461.9</v>
      </c>
      <c r="P106" s="4">
        <f t="shared" si="38"/>
        <v>1.2316414970453053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63">
        <v>2527.6999999999998</v>
      </c>
      <c r="W106" s="82">
        <v>2744</v>
      </c>
      <c r="X106" s="4">
        <f t="shared" si="39"/>
        <v>1.0855718637496539</v>
      </c>
      <c r="Y106" s="5">
        <v>5</v>
      </c>
      <c r="Z106" s="5">
        <v>174</v>
      </c>
      <c r="AA106" s="5">
        <v>174</v>
      </c>
      <c r="AB106" s="4">
        <f t="shared" si="40"/>
        <v>1</v>
      </c>
      <c r="AC106" s="5">
        <v>20</v>
      </c>
      <c r="AD106" s="5" t="s">
        <v>360</v>
      </c>
      <c r="AE106" s="5" t="s">
        <v>360</v>
      </c>
      <c r="AF106" s="5" t="s">
        <v>360</v>
      </c>
      <c r="AG106" s="5" t="s">
        <v>360</v>
      </c>
      <c r="AH106" s="5" t="s">
        <v>360</v>
      </c>
      <c r="AI106" s="5" t="s">
        <v>360</v>
      </c>
      <c r="AJ106" s="5" t="s">
        <v>360</v>
      </c>
      <c r="AK106" s="5" t="s">
        <v>360</v>
      </c>
      <c r="AL106" s="5" t="s">
        <v>360</v>
      </c>
      <c r="AM106" s="5" t="s">
        <v>360</v>
      </c>
      <c r="AN106" s="5" t="s">
        <v>360</v>
      </c>
      <c r="AO106" s="5" t="s">
        <v>360</v>
      </c>
      <c r="AP106" s="43">
        <f t="shared" si="48"/>
        <v>1.1124597613256528</v>
      </c>
      <c r="AQ106" s="44">
        <v>881</v>
      </c>
      <c r="AR106" s="35">
        <f t="shared" si="41"/>
        <v>240.27272727272728</v>
      </c>
      <c r="AS106" s="35">
        <f t="shared" si="42"/>
        <v>267.3</v>
      </c>
      <c r="AT106" s="35">
        <f t="shared" si="43"/>
        <v>27.027272727272731</v>
      </c>
      <c r="AU106" s="35">
        <v>51.4</v>
      </c>
      <c r="AV106" s="35">
        <v>20.9</v>
      </c>
      <c r="AW106" s="35"/>
      <c r="AX106" s="35">
        <f t="shared" si="44"/>
        <v>195</v>
      </c>
      <c r="AY106" s="35"/>
      <c r="AZ106" s="35">
        <f t="shared" si="45"/>
        <v>195</v>
      </c>
      <c r="BA106" s="35">
        <v>0</v>
      </c>
      <c r="BB106" s="35">
        <f t="shared" si="49"/>
        <v>195</v>
      </c>
      <c r="BC106" s="35"/>
      <c r="BD106" s="35">
        <f t="shared" si="46"/>
        <v>195</v>
      </c>
      <c r="BE106" s="35">
        <v>195.8</v>
      </c>
      <c r="BF106" s="35">
        <f t="shared" si="47"/>
        <v>-0.8</v>
      </c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10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10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10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10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10"/>
      <c r="HA106" s="9"/>
      <c r="HB106" s="9"/>
    </row>
    <row r="107" spans="1:210" s="2" customFormat="1" ht="17.149999999999999" customHeight="1">
      <c r="A107" s="14" t="s">
        <v>94</v>
      </c>
      <c r="B107" s="63">
        <v>4408</v>
      </c>
      <c r="C107" s="63">
        <v>4744.8999999999996</v>
      </c>
      <c r="D107" s="4">
        <f t="shared" si="37"/>
        <v>1.0764292196007259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105.8</v>
      </c>
      <c r="O107" s="35">
        <v>383.7</v>
      </c>
      <c r="P107" s="4">
        <f t="shared" si="38"/>
        <v>1.3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82">
        <v>5348</v>
      </c>
      <c r="W107" s="82">
        <v>2377</v>
      </c>
      <c r="X107" s="4">
        <f t="shared" si="39"/>
        <v>0.44446522064323113</v>
      </c>
      <c r="Y107" s="5">
        <v>5</v>
      </c>
      <c r="Z107" s="5">
        <v>27</v>
      </c>
      <c r="AA107" s="5">
        <v>27</v>
      </c>
      <c r="AB107" s="4">
        <f t="shared" si="40"/>
        <v>1</v>
      </c>
      <c r="AC107" s="5">
        <v>20</v>
      </c>
      <c r="AD107" s="5" t="s">
        <v>360</v>
      </c>
      <c r="AE107" s="5" t="s">
        <v>360</v>
      </c>
      <c r="AF107" s="5" t="s">
        <v>360</v>
      </c>
      <c r="AG107" s="5" t="s">
        <v>360</v>
      </c>
      <c r="AH107" s="5" t="s">
        <v>360</v>
      </c>
      <c r="AI107" s="5" t="s">
        <v>360</v>
      </c>
      <c r="AJ107" s="5" t="s">
        <v>360</v>
      </c>
      <c r="AK107" s="5" t="s">
        <v>360</v>
      </c>
      <c r="AL107" s="5" t="s">
        <v>360</v>
      </c>
      <c r="AM107" s="5" t="s">
        <v>360</v>
      </c>
      <c r="AN107" s="5" t="s">
        <v>360</v>
      </c>
      <c r="AO107" s="5" t="s">
        <v>360</v>
      </c>
      <c r="AP107" s="43">
        <f t="shared" si="48"/>
        <v>1.0720894440243958</v>
      </c>
      <c r="AQ107" s="44">
        <v>1254</v>
      </c>
      <c r="AR107" s="35">
        <f t="shared" si="41"/>
        <v>342</v>
      </c>
      <c r="AS107" s="35">
        <f t="shared" si="42"/>
        <v>366.7</v>
      </c>
      <c r="AT107" s="35">
        <f t="shared" si="43"/>
        <v>24.699999999999989</v>
      </c>
      <c r="AU107" s="35">
        <v>141.80000000000001</v>
      </c>
      <c r="AV107" s="35">
        <v>140.5</v>
      </c>
      <c r="AW107" s="35"/>
      <c r="AX107" s="35">
        <f t="shared" si="44"/>
        <v>84.4</v>
      </c>
      <c r="AY107" s="35"/>
      <c r="AZ107" s="35">
        <f t="shared" si="45"/>
        <v>84.4</v>
      </c>
      <c r="BA107" s="35">
        <v>0</v>
      </c>
      <c r="BB107" s="35">
        <f t="shared" si="49"/>
        <v>84.4</v>
      </c>
      <c r="BC107" s="35"/>
      <c r="BD107" s="35">
        <f t="shared" si="46"/>
        <v>84.4</v>
      </c>
      <c r="BE107" s="35">
        <v>108.2</v>
      </c>
      <c r="BF107" s="35">
        <f t="shared" si="47"/>
        <v>-23.8</v>
      </c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10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10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10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10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10"/>
      <c r="HA107" s="9"/>
      <c r="HB107" s="9"/>
    </row>
    <row r="108" spans="1:210" s="2" customFormat="1" ht="17.149999999999999" customHeight="1">
      <c r="A108" s="14" t="s">
        <v>95</v>
      </c>
      <c r="B108" s="63">
        <v>256</v>
      </c>
      <c r="C108" s="63">
        <v>258</v>
      </c>
      <c r="D108" s="4">
        <f t="shared" si="37"/>
        <v>1.0078125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478.4</v>
      </c>
      <c r="O108" s="35">
        <v>657.8</v>
      </c>
      <c r="P108" s="4">
        <f t="shared" si="38"/>
        <v>1.2175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63">
        <v>4498.8999999999996</v>
      </c>
      <c r="W108" s="82">
        <v>2296</v>
      </c>
      <c r="X108" s="4">
        <f t="shared" si="39"/>
        <v>0.5103469737046834</v>
      </c>
      <c r="Y108" s="5">
        <v>5</v>
      </c>
      <c r="Z108" s="5">
        <v>1675</v>
      </c>
      <c r="AA108" s="5">
        <v>1675</v>
      </c>
      <c r="AB108" s="4">
        <f t="shared" si="40"/>
        <v>1</v>
      </c>
      <c r="AC108" s="5">
        <v>20</v>
      </c>
      <c r="AD108" s="5" t="s">
        <v>360</v>
      </c>
      <c r="AE108" s="5" t="s">
        <v>360</v>
      </c>
      <c r="AF108" s="5" t="s">
        <v>360</v>
      </c>
      <c r="AG108" s="5" t="s">
        <v>360</v>
      </c>
      <c r="AH108" s="5" t="s">
        <v>360</v>
      </c>
      <c r="AI108" s="5" t="s">
        <v>360</v>
      </c>
      <c r="AJ108" s="5" t="s">
        <v>360</v>
      </c>
      <c r="AK108" s="5" t="s">
        <v>360</v>
      </c>
      <c r="AL108" s="5" t="s">
        <v>360</v>
      </c>
      <c r="AM108" s="5" t="s">
        <v>360</v>
      </c>
      <c r="AN108" s="5" t="s">
        <v>360</v>
      </c>
      <c r="AO108" s="5" t="s">
        <v>360</v>
      </c>
      <c r="AP108" s="43">
        <f t="shared" si="48"/>
        <v>1.0388159473704683</v>
      </c>
      <c r="AQ108" s="44">
        <v>918</v>
      </c>
      <c r="AR108" s="35">
        <f t="shared" si="41"/>
        <v>250.36363636363637</v>
      </c>
      <c r="AS108" s="35">
        <f t="shared" si="42"/>
        <v>260.10000000000002</v>
      </c>
      <c r="AT108" s="35">
        <f t="shared" si="43"/>
        <v>9.7363636363636488</v>
      </c>
      <c r="AU108" s="35">
        <v>103.1</v>
      </c>
      <c r="AV108" s="35">
        <v>0</v>
      </c>
      <c r="AW108" s="35">
        <v>32.6</v>
      </c>
      <c r="AX108" s="35">
        <f t="shared" si="44"/>
        <v>124.4</v>
      </c>
      <c r="AY108" s="35"/>
      <c r="AZ108" s="35">
        <f t="shared" si="45"/>
        <v>124.4</v>
      </c>
      <c r="BA108" s="35">
        <v>0</v>
      </c>
      <c r="BB108" s="35">
        <f t="shared" si="49"/>
        <v>124.4</v>
      </c>
      <c r="BC108" s="35">
        <f>MIN(BB108,34.7)</f>
        <v>34.700000000000003</v>
      </c>
      <c r="BD108" s="35">
        <f t="shared" si="46"/>
        <v>89.7</v>
      </c>
      <c r="BE108" s="35">
        <v>104.4</v>
      </c>
      <c r="BF108" s="35">
        <f t="shared" si="47"/>
        <v>-14.7</v>
      </c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10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10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10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10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10"/>
      <c r="HA108" s="9"/>
      <c r="HB108" s="9"/>
    </row>
    <row r="109" spans="1:210" s="2" customFormat="1" ht="17.149999999999999" customHeight="1">
      <c r="A109" s="14" t="s">
        <v>96</v>
      </c>
      <c r="B109" s="63">
        <v>869</v>
      </c>
      <c r="C109" s="63">
        <v>889.9</v>
      </c>
      <c r="D109" s="4">
        <f t="shared" si="37"/>
        <v>1.0240506329113923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673.8</v>
      </c>
      <c r="O109" s="35">
        <v>900.8</v>
      </c>
      <c r="P109" s="4">
        <f t="shared" si="38"/>
        <v>1.2136895221133868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63">
        <v>7181.6</v>
      </c>
      <c r="W109" s="82">
        <v>4679</v>
      </c>
      <c r="X109" s="4">
        <f t="shared" si="39"/>
        <v>0.65152612231257656</v>
      </c>
      <c r="Y109" s="5">
        <v>5</v>
      </c>
      <c r="Z109" s="5">
        <v>570</v>
      </c>
      <c r="AA109" s="5">
        <v>570</v>
      </c>
      <c r="AB109" s="4">
        <f t="shared" si="40"/>
        <v>1</v>
      </c>
      <c r="AC109" s="5">
        <v>20</v>
      </c>
      <c r="AD109" s="5" t="s">
        <v>360</v>
      </c>
      <c r="AE109" s="5" t="s">
        <v>360</v>
      </c>
      <c r="AF109" s="5" t="s">
        <v>360</v>
      </c>
      <c r="AG109" s="5" t="s">
        <v>360</v>
      </c>
      <c r="AH109" s="5" t="s">
        <v>360</v>
      </c>
      <c r="AI109" s="5" t="s">
        <v>360</v>
      </c>
      <c r="AJ109" s="5" t="s">
        <v>360</v>
      </c>
      <c r="AK109" s="5" t="s">
        <v>360</v>
      </c>
      <c r="AL109" s="5" t="s">
        <v>360</v>
      </c>
      <c r="AM109" s="5" t="s">
        <v>360</v>
      </c>
      <c r="AN109" s="5" t="s">
        <v>360</v>
      </c>
      <c r="AO109" s="5" t="s">
        <v>360</v>
      </c>
      <c r="AP109" s="43">
        <f t="shared" si="48"/>
        <v>1.0530334843677516</v>
      </c>
      <c r="AQ109" s="44">
        <v>930</v>
      </c>
      <c r="AR109" s="35">
        <f t="shared" si="41"/>
        <v>253.63636363636363</v>
      </c>
      <c r="AS109" s="35">
        <f t="shared" si="42"/>
        <v>267.10000000000002</v>
      </c>
      <c r="AT109" s="35">
        <f t="shared" si="43"/>
        <v>13.463636363636397</v>
      </c>
      <c r="AU109" s="35">
        <v>58.8</v>
      </c>
      <c r="AV109" s="35">
        <v>68.8</v>
      </c>
      <c r="AW109" s="35"/>
      <c r="AX109" s="35">
        <f t="shared" si="44"/>
        <v>139.5</v>
      </c>
      <c r="AY109" s="35"/>
      <c r="AZ109" s="35">
        <f t="shared" si="45"/>
        <v>139.5</v>
      </c>
      <c r="BA109" s="35">
        <v>0</v>
      </c>
      <c r="BB109" s="35">
        <f t="shared" si="49"/>
        <v>139.5</v>
      </c>
      <c r="BC109" s="35"/>
      <c r="BD109" s="35">
        <f t="shared" si="46"/>
        <v>139.5</v>
      </c>
      <c r="BE109" s="35">
        <v>150.80000000000001</v>
      </c>
      <c r="BF109" s="35">
        <f t="shared" si="47"/>
        <v>-11.3</v>
      </c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10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10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10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10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10"/>
      <c r="HA109" s="9"/>
      <c r="HB109" s="9"/>
    </row>
    <row r="110" spans="1:210" s="2" customFormat="1" ht="17.149999999999999" customHeight="1">
      <c r="A110" s="14" t="s">
        <v>97</v>
      </c>
      <c r="B110" s="63">
        <v>0</v>
      </c>
      <c r="C110" s="63">
        <v>0</v>
      </c>
      <c r="D110" s="4">
        <f t="shared" si="37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72.400000000000006</v>
      </c>
      <c r="O110" s="35">
        <v>131.30000000000001</v>
      </c>
      <c r="P110" s="4">
        <f t="shared" si="38"/>
        <v>1.2613535911602209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63">
        <v>4640.3</v>
      </c>
      <c r="W110" s="82">
        <v>4029</v>
      </c>
      <c r="X110" s="4">
        <f t="shared" si="39"/>
        <v>0.86826282783440722</v>
      </c>
      <c r="Y110" s="5">
        <v>5</v>
      </c>
      <c r="Z110" s="5">
        <v>182</v>
      </c>
      <c r="AA110" s="5">
        <v>182</v>
      </c>
      <c r="AB110" s="4">
        <f t="shared" si="40"/>
        <v>1</v>
      </c>
      <c r="AC110" s="5">
        <v>20</v>
      </c>
      <c r="AD110" s="5" t="s">
        <v>360</v>
      </c>
      <c r="AE110" s="5" t="s">
        <v>360</v>
      </c>
      <c r="AF110" s="5" t="s">
        <v>360</v>
      </c>
      <c r="AG110" s="5" t="s">
        <v>360</v>
      </c>
      <c r="AH110" s="5" t="s">
        <v>360</v>
      </c>
      <c r="AI110" s="5" t="s">
        <v>360</v>
      </c>
      <c r="AJ110" s="5" t="s">
        <v>360</v>
      </c>
      <c r="AK110" s="5" t="s">
        <v>360</v>
      </c>
      <c r="AL110" s="5" t="s">
        <v>360</v>
      </c>
      <c r="AM110" s="5" t="s">
        <v>360</v>
      </c>
      <c r="AN110" s="5" t="s">
        <v>360</v>
      </c>
      <c r="AO110" s="5" t="s">
        <v>360</v>
      </c>
      <c r="AP110" s="43">
        <f t="shared" si="48"/>
        <v>1.10151968805281</v>
      </c>
      <c r="AQ110" s="44">
        <v>1407</v>
      </c>
      <c r="AR110" s="35">
        <f t="shared" si="41"/>
        <v>383.72727272727275</v>
      </c>
      <c r="AS110" s="35">
        <f t="shared" si="42"/>
        <v>422.7</v>
      </c>
      <c r="AT110" s="35">
        <f t="shared" si="43"/>
        <v>38.972727272727241</v>
      </c>
      <c r="AU110" s="35">
        <v>155.4</v>
      </c>
      <c r="AV110" s="35">
        <v>165.6</v>
      </c>
      <c r="AW110" s="35"/>
      <c r="AX110" s="35">
        <f t="shared" si="44"/>
        <v>101.7</v>
      </c>
      <c r="AY110" s="35"/>
      <c r="AZ110" s="35">
        <f t="shared" si="45"/>
        <v>101.7</v>
      </c>
      <c r="BA110" s="35">
        <v>0</v>
      </c>
      <c r="BB110" s="35">
        <f t="shared" si="49"/>
        <v>101.7</v>
      </c>
      <c r="BC110" s="35"/>
      <c r="BD110" s="35">
        <f t="shared" si="46"/>
        <v>101.7</v>
      </c>
      <c r="BE110" s="35">
        <v>112.9</v>
      </c>
      <c r="BF110" s="35">
        <f t="shared" si="47"/>
        <v>-11.2</v>
      </c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10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10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10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10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10"/>
      <c r="HA110" s="9"/>
      <c r="HB110" s="9"/>
    </row>
    <row r="111" spans="1:210" s="2" customFormat="1" ht="17.149999999999999" customHeight="1">
      <c r="A111" s="45" t="s">
        <v>98</v>
      </c>
      <c r="B111" s="63">
        <v>0</v>
      </c>
      <c r="C111" s="63">
        <v>0</v>
      </c>
      <c r="D111" s="4">
        <f t="shared" si="37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311.5</v>
      </c>
      <c r="O111" s="35">
        <v>472.2</v>
      </c>
      <c r="P111" s="4">
        <f t="shared" si="38"/>
        <v>1.2315890850722311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82">
        <v>3876</v>
      </c>
      <c r="W111" s="82">
        <v>2526</v>
      </c>
      <c r="X111" s="4">
        <f t="shared" si="39"/>
        <v>0.65170278637770895</v>
      </c>
      <c r="Y111" s="5">
        <v>5</v>
      </c>
      <c r="Z111" s="5">
        <v>443</v>
      </c>
      <c r="AA111" s="5">
        <v>443</v>
      </c>
      <c r="AB111" s="4">
        <f t="shared" si="40"/>
        <v>1</v>
      </c>
      <c r="AC111" s="5">
        <v>20</v>
      </c>
      <c r="AD111" s="5" t="s">
        <v>360</v>
      </c>
      <c r="AE111" s="5" t="s">
        <v>360</v>
      </c>
      <c r="AF111" s="5" t="s">
        <v>360</v>
      </c>
      <c r="AG111" s="5" t="s">
        <v>360</v>
      </c>
      <c r="AH111" s="5" t="s">
        <v>360</v>
      </c>
      <c r="AI111" s="5" t="s">
        <v>360</v>
      </c>
      <c r="AJ111" s="5" t="s">
        <v>360</v>
      </c>
      <c r="AK111" s="5" t="s">
        <v>360</v>
      </c>
      <c r="AL111" s="5" t="s">
        <v>360</v>
      </c>
      <c r="AM111" s="5" t="s">
        <v>360</v>
      </c>
      <c r="AN111" s="5" t="s">
        <v>360</v>
      </c>
      <c r="AO111" s="5" t="s">
        <v>360</v>
      </c>
      <c r="AP111" s="43">
        <f t="shared" si="48"/>
        <v>1.0642287918518483</v>
      </c>
      <c r="AQ111" s="44">
        <v>408</v>
      </c>
      <c r="AR111" s="35">
        <f t="shared" si="41"/>
        <v>111.27272727272728</v>
      </c>
      <c r="AS111" s="35">
        <f t="shared" si="42"/>
        <v>118.4</v>
      </c>
      <c r="AT111" s="35">
        <f t="shared" si="43"/>
        <v>7.1272727272727252</v>
      </c>
      <c r="AU111" s="35">
        <v>21.2</v>
      </c>
      <c r="AV111" s="35">
        <v>30.2</v>
      </c>
      <c r="AW111" s="35"/>
      <c r="AX111" s="35">
        <f t="shared" si="44"/>
        <v>67</v>
      </c>
      <c r="AY111" s="35"/>
      <c r="AZ111" s="35">
        <f t="shared" si="45"/>
        <v>67</v>
      </c>
      <c r="BA111" s="35">
        <v>0</v>
      </c>
      <c r="BB111" s="35">
        <f t="shared" si="49"/>
        <v>67</v>
      </c>
      <c r="BC111" s="35"/>
      <c r="BD111" s="35">
        <f t="shared" si="46"/>
        <v>67</v>
      </c>
      <c r="BE111" s="35">
        <v>72.8</v>
      </c>
      <c r="BF111" s="35">
        <f t="shared" si="47"/>
        <v>-5.8</v>
      </c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10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10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10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10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10"/>
      <c r="HA111" s="9"/>
      <c r="HB111" s="9"/>
    </row>
    <row r="112" spans="1:210" s="2" customFormat="1" ht="17.149999999999999" customHeight="1">
      <c r="A112" s="14" t="s">
        <v>99</v>
      </c>
      <c r="B112" s="63">
        <v>0</v>
      </c>
      <c r="C112" s="63">
        <v>0</v>
      </c>
      <c r="D112" s="4">
        <f t="shared" si="37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173</v>
      </c>
      <c r="O112" s="35">
        <v>250.4</v>
      </c>
      <c r="P112" s="4">
        <f t="shared" si="38"/>
        <v>1.2247398843930635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63">
        <v>2548.1</v>
      </c>
      <c r="W112" s="82">
        <v>1816</v>
      </c>
      <c r="X112" s="4">
        <f t="shared" si="39"/>
        <v>0.71268788509085201</v>
      </c>
      <c r="Y112" s="5">
        <v>5</v>
      </c>
      <c r="Z112" s="5">
        <v>207</v>
      </c>
      <c r="AA112" s="5">
        <v>207</v>
      </c>
      <c r="AB112" s="4">
        <f t="shared" si="40"/>
        <v>1</v>
      </c>
      <c r="AC112" s="5">
        <v>20</v>
      </c>
      <c r="AD112" s="5" t="s">
        <v>360</v>
      </c>
      <c r="AE112" s="5" t="s">
        <v>360</v>
      </c>
      <c r="AF112" s="5" t="s">
        <v>360</v>
      </c>
      <c r="AG112" s="5" t="s">
        <v>360</v>
      </c>
      <c r="AH112" s="5" t="s">
        <v>360</v>
      </c>
      <c r="AI112" s="5" t="s">
        <v>360</v>
      </c>
      <c r="AJ112" s="5" t="s">
        <v>360</v>
      </c>
      <c r="AK112" s="5" t="s">
        <v>360</v>
      </c>
      <c r="AL112" s="5" t="s">
        <v>360</v>
      </c>
      <c r="AM112" s="5" t="s">
        <v>360</v>
      </c>
      <c r="AN112" s="5" t="s">
        <v>360</v>
      </c>
      <c r="AO112" s="5" t="s">
        <v>360</v>
      </c>
      <c r="AP112" s="43">
        <f t="shared" si="48"/>
        <v>1.0679608247403451</v>
      </c>
      <c r="AQ112" s="44">
        <v>849</v>
      </c>
      <c r="AR112" s="35">
        <f t="shared" si="41"/>
        <v>231.54545454545456</v>
      </c>
      <c r="AS112" s="35">
        <f t="shared" si="42"/>
        <v>247.3</v>
      </c>
      <c r="AT112" s="35">
        <f t="shared" si="43"/>
        <v>15.75454545454545</v>
      </c>
      <c r="AU112" s="35">
        <v>46.7</v>
      </c>
      <c r="AV112" s="35">
        <v>32.700000000000003</v>
      </c>
      <c r="AW112" s="35"/>
      <c r="AX112" s="35">
        <f t="shared" si="44"/>
        <v>167.9</v>
      </c>
      <c r="AY112" s="35"/>
      <c r="AZ112" s="35">
        <f t="shared" si="45"/>
        <v>167.9</v>
      </c>
      <c r="BA112" s="35">
        <v>0</v>
      </c>
      <c r="BB112" s="35">
        <f t="shared" si="49"/>
        <v>167.9</v>
      </c>
      <c r="BC112" s="35"/>
      <c r="BD112" s="35">
        <f t="shared" si="46"/>
        <v>167.9</v>
      </c>
      <c r="BE112" s="35">
        <v>178.2</v>
      </c>
      <c r="BF112" s="35">
        <f t="shared" si="47"/>
        <v>-10.3</v>
      </c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10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10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10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10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10"/>
      <c r="HA112" s="9"/>
      <c r="HB112" s="9"/>
    </row>
    <row r="113" spans="1:210" s="2" customFormat="1" ht="17.149999999999999" customHeight="1">
      <c r="A113" s="14" t="s">
        <v>100</v>
      </c>
      <c r="B113" s="63">
        <v>0</v>
      </c>
      <c r="C113" s="63">
        <v>0</v>
      </c>
      <c r="D113" s="4">
        <f t="shared" si="37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95.6</v>
      </c>
      <c r="O113" s="35">
        <v>90.4</v>
      </c>
      <c r="P113" s="4">
        <f t="shared" si="38"/>
        <v>0.94560669456066959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82">
        <v>5565</v>
      </c>
      <c r="W113" s="82">
        <v>1152</v>
      </c>
      <c r="X113" s="4">
        <f t="shared" si="39"/>
        <v>0.20700808625336928</v>
      </c>
      <c r="Y113" s="5">
        <v>5</v>
      </c>
      <c r="Z113" s="5">
        <v>121</v>
      </c>
      <c r="AA113" s="5">
        <v>121</v>
      </c>
      <c r="AB113" s="4">
        <f t="shared" si="40"/>
        <v>1</v>
      </c>
      <c r="AC113" s="5">
        <v>20</v>
      </c>
      <c r="AD113" s="5" t="s">
        <v>360</v>
      </c>
      <c r="AE113" s="5" t="s">
        <v>360</v>
      </c>
      <c r="AF113" s="5" t="s">
        <v>360</v>
      </c>
      <c r="AG113" s="5" t="s">
        <v>360</v>
      </c>
      <c r="AH113" s="5" t="s">
        <v>360</v>
      </c>
      <c r="AI113" s="5" t="s">
        <v>360</v>
      </c>
      <c r="AJ113" s="5" t="s">
        <v>360</v>
      </c>
      <c r="AK113" s="5" t="s">
        <v>360</v>
      </c>
      <c r="AL113" s="5" t="s">
        <v>360</v>
      </c>
      <c r="AM113" s="5" t="s">
        <v>360</v>
      </c>
      <c r="AN113" s="5" t="s">
        <v>360</v>
      </c>
      <c r="AO113" s="5" t="s">
        <v>360</v>
      </c>
      <c r="AP113" s="43">
        <f t="shared" si="48"/>
        <v>0.88771498494400525</v>
      </c>
      <c r="AQ113" s="44">
        <v>557</v>
      </c>
      <c r="AR113" s="35">
        <f t="shared" si="41"/>
        <v>151.90909090909091</v>
      </c>
      <c r="AS113" s="35">
        <f t="shared" si="42"/>
        <v>134.9</v>
      </c>
      <c r="AT113" s="35">
        <f t="shared" si="43"/>
        <v>-17.009090909090901</v>
      </c>
      <c r="AU113" s="35">
        <v>53</v>
      </c>
      <c r="AV113" s="35">
        <v>40.9</v>
      </c>
      <c r="AW113" s="35"/>
      <c r="AX113" s="35">
        <f t="shared" si="44"/>
        <v>41</v>
      </c>
      <c r="AY113" s="35"/>
      <c r="AZ113" s="35">
        <f t="shared" si="45"/>
        <v>41</v>
      </c>
      <c r="BA113" s="35">
        <v>0</v>
      </c>
      <c r="BB113" s="35">
        <f t="shared" si="49"/>
        <v>41</v>
      </c>
      <c r="BC113" s="35"/>
      <c r="BD113" s="35">
        <f t="shared" si="46"/>
        <v>41</v>
      </c>
      <c r="BE113" s="35">
        <v>53.9</v>
      </c>
      <c r="BF113" s="35">
        <f t="shared" si="47"/>
        <v>-12.9</v>
      </c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10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10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10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10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10"/>
      <c r="HA113" s="9"/>
      <c r="HB113" s="9"/>
    </row>
    <row r="114" spans="1:210" s="2" customFormat="1" ht="17.149999999999999" customHeight="1">
      <c r="A114" s="18" t="s">
        <v>101</v>
      </c>
      <c r="B114" s="59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83"/>
      <c r="W114" s="83"/>
      <c r="X114" s="11"/>
      <c r="Y114" s="11"/>
      <c r="Z114" s="11"/>
      <c r="AA114" s="11"/>
      <c r="AB114" s="11"/>
      <c r="AC114" s="1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35"/>
      <c r="BB114" s="35"/>
      <c r="BC114" s="35"/>
      <c r="BD114" s="35"/>
      <c r="BE114" s="35"/>
      <c r="BF114" s="35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10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10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10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10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10"/>
      <c r="HA114" s="9"/>
      <c r="HB114" s="9"/>
    </row>
    <row r="115" spans="1:210" s="2" customFormat="1" ht="15.55" customHeight="1">
      <c r="A115" s="14" t="s">
        <v>102</v>
      </c>
      <c r="B115" s="63">
        <v>1192150</v>
      </c>
      <c r="C115" s="63">
        <v>1691440.6</v>
      </c>
      <c r="D115" s="4">
        <f t="shared" si="37"/>
        <v>1.2218815249758839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8426.1</v>
      </c>
      <c r="O115" s="35">
        <v>6731.1</v>
      </c>
      <c r="P115" s="4">
        <f t="shared" si="38"/>
        <v>0.79883932068216612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82">
        <v>23568</v>
      </c>
      <c r="W115" s="82">
        <v>22483</v>
      </c>
      <c r="X115" s="4">
        <f t="shared" si="39"/>
        <v>0.95396300067888662</v>
      </c>
      <c r="Y115" s="5">
        <v>10</v>
      </c>
      <c r="Z115" s="5">
        <v>84</v>
      </c>
      <c r="AA115" s="5">
        <v>80</v>
      </c>
      <c r="AB115" s="4">
        <f t="shared" si="40"/>
        <v>0.95238095238095233</v>
      </c>
      <c r="AC115" s="5">
        <v>20</v>
      </c>
      <c r="AD115" s="5" t="s">
        <v>360</v>
      </c>
      <c r="AE115" s="5" t="s">
        <v>360</v>
      </c>
      <c r="AF115" s="5" t="s">
        <v>360</v>
      </c>
      <c r="AG115" s="5" t="s">
        <v>360</v>
      </c>
      <c r="AH115" s="5" t="s">
        <v>360</v>
      </c>
      <c r="AI115" s="5" t="s">
        <v>360</v>
      </c>
      <c r="AJ115" s="5" t="s">
        <v>360</v>
      </c>
      <c r="AK115" s="5" t="s">
        <v>360</v>
      </c>
      <c r="AL115" s="5" t="s">
        <v>360</v>
      </c>
      <c r="AM115" s="5" t="s">
        <v>360</v>
      </c>
      <c r="AN115" s="5" t="s">
        <v>360</v>
      </c>
      <c r="AO115" s="5" t="s">
        <v>360</v>
      </c>
      <c r="AP115" s="43">
        <f t="shared" si="48"/>
        <v>0.92133532896237558</v>
      </c>
      <c r="AQ115" s="44">
        <v>1729</v>
      </c>
      <c r="AR115" s="35">
        <f t="shared" si="41"/>
        <v>471.54545454545456</v>
      </c>
      <c r="AS115" s="35">
        <f t="shared" si="42"/>
        <v>434.5</v>
      </c>
      <c r="AT115" s="35">
        <f t="shared" si="43"/>
        <v>-37.045454545454561</v>
      </c>
      <c r="AU115" s="35">
        <v>164.9</v>
      </c>
      <c r="AV115" s="35">
        <v>89.6</v>
      </c>
      <c r="AW115" s="35">
        <v>19.100000000000001</v>
      </c>
      <c r="AX115" s="35">
        <f t="shared" si="44"/>
        <v>160.9</v>
      </c>
      <c r="AY115" s="35"/>
      <c r="AZ115" s="35">
        <f t="shared" si="45"/>
        <v>160.9</v>
      </c>
      <c r="BA115" s="35">
        <v>0</v>
      </c>
      <c r="BB115" s="35">
        <f t="shared" si="49"/>
        <v>160.9</v>
      </c>
      <c r="BC115" s="35"/>
      <c r="BD115" s="35">
        <f t="shared" si="46"/>
        <v>160.9</v>
      </c>
      <c r="BE115" s="35">
        <v>157.4</v>
      </c>
      <c r="BF115" s="35">
        <f t="shared" si="47"/>
        <v>3.5</v>
      </c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10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10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10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10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10"/>
      <c r="HA115" s="9"/>
      <c r="HB115" s="9"/>
    </row>
    <row r="116" spans="1:210" s="2" customFormat="1" ht="17.149999999999999" customHeight="1">
      <c r="A116" s="14" t="s">
        <v>103</v>
      </c>
      <c r="B116" s="63">
        <v>1370</v>
      </c>
      <c r="C116" s="63">
        <v>1247.3</v>
      </c>
      <c r="D116" s="4">
        <f t="shared" si="37"/>
        <v>0.91043795620437951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3398.9</v>
      </c>
      <c r="O116" s="35">
        <v>0</v>
      </c>
      <c r="P116" s="4">
        <f t="shared" si="38"/>
        <v>0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82">
        <v>25532</v>
      </c>
      <c r="W116" s="82">
        <v>24950</v>
      </c>
      <c r="X116" s="4">
        <f t="shared" si="39"/>
        <v>0.97720507598308004</v>
      </c>
      <c r="Y116" s="5">
        <v>10</v>
      </c>
      <c r="Z116" s="5">
        <v>1102</v>
      </c>
      <c r="AA116" s="5">
        <v>1064</v>
      </c>
      <c r="AB116" s="4">
        <f t="shared" si="40"/>
        <v>0.96551724137931039</v>
      </c>
      <c r="AC116" s="5">
        <v>20</v>
      </c>
      <c r="AD116" s="5" t="s">
        <v>360</v>
      </c>
      <c r="AE116" s="5" t="s">
        <v>360</v>
      </c>
      <c r="AF116" s="5" t="s">
        <v>360</v>
      </c>
      <c r="AG116" s="5" t="s">
        <v>360</v>
      </c>
      <c r="AH116" s="5" t="s">
        <v>360</v>
      </c>
      <c r="AI116" s="5" t="s">
        <v>360</v>
      </c>
      <c r="AJ116" s="5" t="s">
        <v>360</v>
      </c>
      <c r="AK116" s="5" t="s">
        <v>360</v>
      </c>
      <c r="AL116" s="5" t="s">
        <v>360</v>
      </c>
      <c r="AM116" s="5" t="s">
        <v>360</v>
      </c>
      <c r="AN116" s="5" t="s">
        <v>360</v>
      </c>
      <c r="AO116" s="5" t="s">
        <v>360</v>
      </c>
      <c r="AP116" s="43">
        <f t="shared" si="48"/>
        <v>0.61153791578979833</v>
      </c>
      <c r="AQ116" s="44">
        <v>1637</v>
      </c>
      <c r="AR116" s="35">
        <f t="shared" si="41"/>
        <v>446.45454545454544</v>
      </c>
      <c r="AS116" s="35">
        <f t="shared" si="42"/>
        <v>273</v>
      </c>
      <c r="AT116" s="35">
        <f t="shared" si="43"/>
        <v>-173.45454545454544</v>
      </c>
      <c r="AU116" s="35">
        <v>183.2</v>
      </c>
      <c r="AV116" s="35">
        <v>25.8</v>
      </c>
      <c r="AW116" s="35"/>
      <c r="AX116" s="35">
        <f t="shared" si="44"/>
        <v>64</v>
      </c>
      <c r="AY116" s="35"/>
      <c r="AZ116" s="35">
        <f t="shared" si="45"/>
        <v>64</v>
      </c>
      <c r="BA116" s="35">
        <v>0</v>
      </c>
      <c r="BB116" s="35">
        <f t="shared" si="49"/>
        <v>64</v>
      </c>
      <c r="BC116" s="35"/>
      <c r="BD116" s="35">
        <f t="shared" si="46"/>
        <v>64</v>
      </c>
      <c r="BE116" s="35">
        <v>27.7</v>
      </c>
      <c r="BF116" s="35">
        <f t="shared" si="47"/>
        <v>36.299999999999997</v>
      </c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10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10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10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10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10"/>
      <c r="HA116" s="9"/>
      <c r="HB116" s="9"/>
    </row>
    <row r="117" spans="1:210" s="2" customFormat="1" ht="17.149999999999999" customHeight="1">
      <c r="A117" s="14" t="s">
        <v>104</v>
      </c>
      <c r="B117" s="63">
        <v>5260</v>
      </c>
      <c r="C117" s="63">
        <v>6606.6</v>
      </c>
      <c r="D117" s="4">
        <f t="shared" si="37"/>
        <v>1.2056007604562737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5266.8</v>
      </c>
      <c r="O117" s="35">
        <v>4446.8</v>
      </c>
      <c r="P117" s="4">
        <f t="shared" si="38"/>
        <v>0.84430773904458112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82">
        <v>60885</v>
      </c>
      <c r="W117" s="82">
        <v>57472</v>
      </c>
      <c r="X117" s="4">
        <f t="shared" si="39"/>
        <v>0.94394350004106098</v>
      </c>
      <c r="Y117" s="5">
        <v>10</v>
      </c>
      <c r="Z117" s="5">
        <v>322</v>
      </c>
      <c r="AA117" s="5">
        <v>367</v>
      </c>
      <c r="AB117" s="4">
        <f t="shared" si="40"/>
        <v>1.139751552795031</v>
      </c>
      <c r="AC117" s="5">
        <v>20</v>
      </c>
      <c r="AD117" s="5" t="s">
        <v>360</v>
      </c>
      <c r="AE117" s="5" t="s">
        <v>360</v>
      </c>
      <c r="AF117" s="5" t="s">
        <v>360</v>
      </c>
      <c r="AG117" s="5" t="s">
        <v>360</v>
      </c>
      <c r="AH117" s="5" t="s">
        <v>360</v>
      </c>
      <c r="AI117" s="5" t="s">
        <v>360</v>
      </c>
      <c r="AJ117" s="5" t="s">
        <v>360</v>
      </c>
      <c r="AK117" s="5" t="s">
        <v>360</v>
      </c>
      <c r="AL117" s="5" t="s">
        <v>360</v>
      </c>
      <c r="AM117" s="5" t="s">
        <v>360</v>
      </c>
      <c r="AN117" s="5" t="s">
        <v>360</v>
      </c>
      <c r="AO117" s="5" t="s">
        <v>360</v>
      </c>
      <c r="AP117" s="43">
        <f t="shared" si="48"/>
        <v>1.0027022661724405</v>
      </c>
      <c r="AQ117" s="44">
        <v>2518</v>
      </c>
      <c r="AR117" s="35">
        <f t="shared" si="41"/>
        <v>686.72727272727275</v>
      </c>
      <c r="AS117" s="35">
        <f t="shared" si="42"/>
        <v>688.6</v>
      </c>
      <c r="AT117" s="35">
        <f t="shared" si="43"/>
        <v>1.8727272727272748</v>
      </c>
      <c r="AU117" s="35">
        <v>277.7</v>
      </c>
      <c r="AV117" s="35">
        <v>123.7</v>
      </c>
      <c r="AW117" s="35">
        <v>19.8</v>
      </c>
      <c r="AX117" s="35">
        <f t="shared" si="44"/>
        <v>267.39999999999998</v>
      </c>
      <c r="AY117" s="35"/>
      <c r="AZ117" s="35">
        <f t="shared" si="45"/>
        <v>267.39999999999998</v>
      </c>
      <c r="BA117" s="35">
        <v>0</v>
      </c>
      <c r="BB117" s="35">
        <f t="shared" si="49"/>
        <v>267.39999999999998</v>
      </c>
      <c r="BC117" s="35"/>
      <c r="BD117" s="35">
        <f t="shared" si="46"/>
        <v>267.39999999999998</v>
      </c>
      <c r="BE117" s="35">
        <v>276.3</v>
      </c>
      <c r="BF117" s="35">
        <f t="shared" si="47"/>
        <v>-8.9</v>
      </c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10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10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10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10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10"/>
      <c r="HA117" s="9"/>
      <c r="HB117" s="9"/>
    </row>
    <row r="118" spans="1:210" s="2" customFormat="1" ht="17.149999999999999" customHeight="1">
      <c r="A118" s="14" t="s">
        <v>105</v>
      </c>
      <c r="B118" s="63">
        <v>813300</v>
      </c>
      <c r="C118" s="63">
        <v>764057.59999999998</v>
      </c>
      <c r="D118" s="4">
        <f t="shared" si="37"/>
        <v>0.93945358416328539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7659.1</v>
      </c>
      <c r="O118" s="35">
        <v>6404</v>
      </c>
      <c r="P118" s="4">
        <f t="shared" si="38"/>
        <v>0.83612957135955923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82">
        <v>186583</v>
      </c>
      <c r="W118" s="82">
        <v>150459</v>
      </c>
      <c r="X118" s="4">
        <f t="shared" si="39"/>
        <v>0.80639179346457068</v>
      </c>
      <c r="Y118" s="5">
        <v>10</v>
      </c>
      <c r="Z118" s="5">
        <v>64</v>
      </c>
      <c r="AA118" s="5">
        <v>67</v>
      </c>
      <c r="AB118" s="4">
        <f t="shared" si="40"/>
        <v>1.046875</v>
      </c>
      <c r="AC118" s="5">
        <v>20</v>
      </c>
      <c r="AD118" s="5" t="s">
        <v>360</v>
      </c>
      <c r="AE118" s="5" t="s">
        <v>360</v>
      </c>
      <c r="AF118" s="5" t="s">
        <v>360</v>
      </c>
      <c r="AG118" s="5" t="s">
        <v>360</v>
      </c>
      <c r="AH118" s="5" t="s">
        <v>360</v>
      </c>
      <c r="AI118" s="5" t="s">
        <v>360</v>
      </c>
      <c r="AJ118" s="5" t="s">
        <v>360</v>
      </c>
      <c r="AK118" s="5" t="s">
        <v>360</v>
      </c>
      <c r="AL118" s="5" t="s">
        <v>360</v>
      </c>
      <c r="AM118" s="5" t="s">
        <v>360</v>
      </c>
      <c r="AN118" s="5" t="s">
        <v>360</v>
      </c>
      <c r="AO118" s="5" t="s">
        <v>360</v>
      </c>
      <c r="AP118" s="43">
        <f t="shared" si="48"/>
        <v>0.9167504960482421</v>
      </c>
      <c r="AQ118" s="44">
        <v>1673</v>
      </c>
      <c r="AR118" s="35">
        <f t="shared" si="41"/>
        <v>456.27272727272725</v>
      </c>
      <c r="AS118" s="35">
        <f t="shared" si="42"/>
        <v>418.3</v>
      </c>
      <c r="AT118" s="35">
        <f t="shared" si="43"/>
        <v>-37.972727272727241</v>
      </c>
      <c r="AU118" s="35">
        <v>81.900000000000006</v>
      </c>
      <c r="AV118" s="35">
        <v>177</v>
      </c>
      <c r="AW118" s="35">
        <v>9.5</v>
      </c>
      <c r="AX118" s="35">
        <f t="shared" si="44"/>
        <v>149.9</v>
      </c>
      <c r="AY118" s="35"/>
      <c r="AZ118" s="35">
        <f t="shared" si="45"/>
        <v>149.9</v>
      </c>
      <c r="BA118" s="35">
        <v>0</v>
      </c>
      <c r="BB118" s="35">
        <f t="shared" si="49"/>
        <v>149.9</v>
      </c>
      <c r="BC118" s="35"/>
      <c r="BD118" s="35">
        <f t="shared" si="46"/>
        <v>149.9</v>
      </c>
      <c r="BE118" s="35">
        <v>161.1</v>
      </c>
      <c r="BF118" s="35">
        <f t="shared" si="47"/>
        <v>-11.2</v>
      </c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10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10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10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10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10"/>
      <c r="HA118" s="9"/>
      <c r="HB118" s="9"/>
    </row>
    <row r="119" spans="1:210" s="2" customFormat="1" ht="17.149999999999999" customHeight="1">
      <c r="A119" s="14" t="s">
        <v>106</v>
      </c>
      <c r="B119" s="63">
        <v>7010</v>
      </c>
      <c r="C119" s="63">
        <v>16438.7</v>
      </c>
      <c r="D119" s="4">
        <f t="shared" si="37"/>
        <v>1.3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13832.7</v>
      </c>
      <c r="O119" s="35">
        <v>12413.1</v>
      </c>
      <c r="P119" s="4">
        <f t="shared" si="38"/>
        <v>0.8973736146956125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82">
        <v>76597</v>
      </c>
      <c r="W119" s="82">
        <v>152460</v>
      </c>
      <c r="X119" s="4">
        <f t="shared" si="39"/>
        <v>1.2790417379270729</v>
      </c>
      <c r="Y119" s="5">
        <v>10</v>
      </c>
      <c r="Z119" s="5">
        <v>632</v>
      </c>
      <c r="AA119" s="5">
        <v>629</v>
      </c>
      <c r="AB119" s="4">
        <f t="shared" si="40"/>
        <v>0.995253164556962</v>
      </c>
      <c r="AC119" s="5">
        <v>20</v>
      </c>
      <c r="AD119" s="5" t="s">
        <v>360</v>
      </c>
      <c r="AE119" s="5" t="s">
        <v>360</v>
      </c>
      <c r="AF119" s="5" t="s">
        <v>360</v>
      </c>
      <c r="AG119" s="5" t="s">
        <v>360</v>
      </c>
      <c r="AH119" s="5" t="s">
        <v>360</v>
      </c>
      <c r="AI119" s="5" t="s">
        <v>360</v>
      </c>
      <c r="AJ119" s="5" t="s">
        <v>360</v>
      </c>
      <c r="AK119" s="5" t="s">
        <v>360</v>
      </c>
      <c r="AL119" s="5" t="s">
        <v>360</v>
      </c>
      <c r="AM119" s="5" t="s">
        <v>360</v>
      </c>
      <c r="AN119" s="5" t="s">
        <v>360</v>
      </c>
      <c r="AO119" s="5" t="s">
        <v>360</v>
      </c>
      <c r="AP119" s="43">
        <f t="shared" si="48"/>
        <v>1.0389627811694948</v>
      </c>
      <c r="AQ119" s="44">
        <v>1909</v>
      </c>
      <c r="AR119" s="35">
        <f t="shared" si="41"/>
        <v>520.63636363636363</v>
      </c>
      <c r="AS119" s="35">
        <f t="shared" si="42"/>
        <v>540.9</v>
      </c>
      <c r="AT119" s="35">
        <f t="shared" si="43"/>
        <v>20.263636363636351</v>
      </c>
      <c r="AU119" s="35">
        <v>225.6</v>
      </c>
      <c r="AV119" s="35">
        <v>143.80000000000001</v>
      </c>
      <c r="AW119" s="35"/>
      <c r="AX119" s="35">
        <f t="shared" si="44"/>
        <v>171.5</v>
      </c>
      <c r="AY119" s="35"/>
      <c r="AZ119" s="35">
        <f t="shared" si="45"/>
        <v>171.5</v>
      </c>
      <c r="BA119" s="35">
        <v>0</v>
      </c>
      <c r="BB119" s="35">
        <f t="shared" si="49"/>
        <v>171.5</v>
      </c>
      <c r="BC119" s="35"/>
      <c r="BD119" s="35">
        <f t="shared" si="46"/>
        <v>171.5</v>
      </c>
      <c r="BE119" s="35">
        <v>143.69999999999999</v>
      </c>
      <c r="BF119" s="35">
        <f t="shared" si="47"/>
        <v>27.8</v>
      </c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10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10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10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10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10"/>
      <c r="HA119" s="9"/>
      <c r="HB119" s="9"/>
    </row>
    <row r="120" spans="1:210" s="2" customFormat="1" ht="17.149999999999999" customHeight="1">
      <c r="A120" s="14" t="s">
        <v>107</v>
      </c>
      <c r="B120" s="63">
        <v>173600</v>
      </c>
      <c r="C120" s="63">
        <v>99504.3</v>
      </c>
      <c r="D120" s="4">
        <f t="shared" si="37"/>
        <v>0.57318145161290324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6451.6</v>
      </c>
      <c r="O120" s="35">
        <v>2714.6</v>
      </c>
      <c r="P120" s="4">
        <f t="shared" si="38"/>
        <v>0.42076384152768304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82">
        <v>282821</v>
      </c>
      <c r="W120" s="82">
        <v>297856</v>
      </c>
      <c r="X120" s="4">
        <f t="shared" si="39"/>
        <v>1.0531608331771687</v>
      </c>
      <c r="Y120" s="5">
        <v>10</v>
      </c>
      <c r="Z120" s="5">
        <v>21</v>
      </c>
      <c r="AA120" s="5">
        <v>21</v>
      </c>
      <c r="AB120" s="4">
        <f t="shared" si="40"/>
        <v>1</v>
      </c>
      <c r="AC120" s="5">
        <v>20</v>
      </c>
      <c r="AD120" s="5" t="s">
        <v>360</v>
      </c>
      <c r="AE120" s="5" t="s">
        <v>360</v>
      </c>
      <c r="AF120" s="5" t="s">
        <v>360</v>
      </c>
      <c r="AG120" s="5" t="s">
        <v>360</v>
      </c>
      <c r="AH120" s="5" t="s">
        <v>360</v>
      </c>
      <c r="AI120" s="5" t="s">
        <v>360</v>
      </c>
      <c r="AJ120" s="5" t="s">
        <v>360</v>
      </c>
      <c r="AK120" s="5" t="s">
        <v>360</v>
      </c>
      <c r="AL120" s="5" t="s">
        <v>360</v>
      </c>
      <c r="AM120" s="5" t="s">
        <v>360</v>
      </c>
      <c r="AN120" s="5" t="s">
        <v>360</v>
      </c>
      <c r="AO120" s="5" t="s">
        <v>360</v>
      </c>
      <c r="AP120" s="43">
        <f t="shared" si="48"/>
        <v>0.76023258946163386</v>
      </c>
      <c r="AQ120" s="44">
        <v>1889</v>
      </c>
      <c r="AR120" s="35">
        <f t="shared" si="41"/>
        <v>515.18181818181813</v>
      </c>
      <c r="AS120" s="35">
        <f t="shared" si="42"/>
        <v>391.7</v>
      </c>
      <c r="AT120" s="35">
        <f t="shared" si="43"/>
        <v>-123.48181818181814</v>
      </c>
      <c r="AU120" s="35">
        <v>74.900000000000006</v>
      </c>
      <c r="AV120" s="35">
        <v>71.599999999999994</v>
      </c>
      <c r="AW120" s="35"/>
      <c r="AX120" s="35">
        <f t="shared" si="44"/>
        <v>245.2</v>
      </c>
      <c r="AY120" s="35"/>
      <c r="AZ120" s="35">
        <f t="shared" si="45"/>
        <v>245.2</v>
      </c>
      <c r="BA120" s="35">
        <v>0</v>
      </c>
      <c r="BB120" s="35">
        <f t="shared" si="49"/>
        <v>245.2</v>
      </c>
      <c r="BC120" s="35"/>
      <c r="BD120" s="35">
        <f t="shared" si="46"/>
        <v>245.2</v>
      </c>
      <c r="BE120" s="35">
        <v>211.6</v>
      </c>
      <c r="BF120" s="35">
        <f t="shared" si="47"/>
        <v>33.6</v>
      </c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10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10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10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10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10"/>
      <c r="HA120" s="9"/>
      <c r="HB120" s="9"/>
    </row>
    <row r="121" spans="1:210" s="2" customFormat="1" ht="17.149999999999999" customHeight="1">
      <c r="A121" s="14" t="s">
        <v>108</v>
      </c>
      <c r="B121" s="63">
        <v>480</v>
      </c>
      <c r="C121" s="63">
        <v>195</v>
      </c>
      <c r="D121" s="4">
        <f t="shared" ref="D121:D184" si="50">IF(E121=0,0,IF(B121=0,1,IF(C121&lt;0,0,IF(C121/B121&gt;1.2,IF((C121/B121-1.2)*0.1+1.2&gt;1.3,1.3,(C121/B121-1.2)*0.1+1.2),C121/B121))))</f>
        <v>0.40625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2231.8000000000002</v>
      </c>
      <c r="O121" s="35">
        <v>517.29999999999995</v>
      </c>
      <c r="P121" s="4">
        <f t="shared" ref="P121:P184" si="51">IF(Q121=0,0,IF(N121=0,1,IF(O121&lt;0,0,IF(O121/N121&gt;1.2,IF((O121/N121-1.2)*0.1+1.2&gt;1.3,1.3,(O121/N121-1.2)*0.1+1.2),O121/N121))))</f>
        <v>0.23178600232995783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82">
        <v>571534</v>
      </c>
      <c r="W121" s="82">
        <v>524006</v>
      </c>
      <c r="X121" s="4">
        <f t="shared" ref="X121:X184" si="52">IF(Y121=0,0,IF(V121=0,1,IF(W121&lt;0,0,IF(W121/V121&gt;1.2,IF((W121/V121-1.2)*0.1+1.2&gt;1.3,1.3,(W121/V121-1.2)*0.1+1.2),W121/V121))))</f>
        <v>0.91684134277225848</v>
      </c>
      <c r="Y121" s="5">
        <v>10</v>
      </c>
      <c r="Z121" s="5">
        <v>653</v>
      </c>
      <c r="AA121" s="5">
        <v>535</v>
      </c>
      <c r="AB121" s="4">
        <f t="shared" ref="AB121:AB184" si="53">IF(AC121=0,0,IF(Z121=0,1,IF(AA121&lt;0,0,IF(AA121/Z121&gt;1.2,IF((AA121/Z121-1.2)*0.1+1.2&gt;1.3,1.3,(AA121/Z121-1.2)*0.1+1.2),AA121/Z121))))</f>
        <v>0.81929555895865236</v>
      </c>
      <c r="AC121" s="5">
        <v>20</v>
      </c>
      <c r="AD121" s="5" t="s">
        <v>360</v>
      </c>
      <c r="AE121" s="5" t="s">
        <v>360</v>
      </c>
      <c r="AF121" s="5" t="s">
        <v>360</v>
      </c>
      <c r="AG121" s="5" t="s">
        <v>360</v>
      </c>
      <c r="AH121" s="5" t="s">
        <v>360</v>
      </c>
      <c r="AI121" s="5" t="s">
        <v>360</v>
      </c>
      <c r="AJ121" s="5" t="s">
        <v>360</v>
      </c>
      <c r="AK121" s="5" t="s">
        <v>360</v>
      </c>
      <c r="AL121" s="5" t="s">
        <v>360</v>
      </c>
      <c r="AM121" s="5" t="s">
        <v>360</v>
      </c>
      <c r="AN121" s="5" t="s">
        <v>360</v>
      </c>
      <c r="AO121" s="5" t="s">
        <v>360</v>
      </c>
      <c r="AP121" s="43">
        <f t="shared" si="48"/>
        <v>0.58584172097263254</v>
      </c>
      <c r="AQ121" s="44">
        <v>2943</v>
      </c>
      <c r="AR121" s="35">
        <f t="shared" ref="AR121:AR184" si="54">AQ121/11*3</f>
        <v>802.63636363636374</v>
      </c>
      <c r="AS121" s="35">
        <f t="shared" ref="AS121:AS184" si="55">ROUND(AP121*AR121,1)</f>
        <v>470.2</v>
      </c>
      <c r="AT121" s="35">
        <f t="shared" ref="AT121:AT184" si="56">AS121-AR121</f>
        <v>-332.43636363636375</v>
      </c>
      <c r="AU121" s="35">
        <v>91.1</v>
      </c>
      <c r="AV121" s="35">
        <v>0</v>
      </c>
      <c r="AW121" s="35">
        <v>36.9</v>
      </c>
      <c r="AX121" s="35">
        <f t="shared" ref="AX121:AX184" si="57">ROUND(AS121-SUM(AU121:AW121),1)</f>
        <v>342.2</v>
      </c>
      <c r="AY121" s="35"/>
      <c r="AZ121" s="35">
        <f t="shared" ref="AZ121:AZ184" si="58">IF(OR(AX121&lt;0,AY121="+"),0,AX121)</f>
        <v>342.2</v>
      </c>
      <c r="BA121" s="35">
        <v>0</v>
      </c>
      <c r="BB121" s="35">
        <f t="shared" si="49"/>
        <v>342.2</v>
      </c>
      <c r="BC121" s="35">
        <f>MIN(BB121,28.1)</f>
        <v>28.1</v>
      </c>
      <c r="BD121" s="35">
        <f t="shared" ref="BD121:BD184" si="59">IF((BB121-BC121)&gt;0,ROUND(BB121-BC121,1),0)</f>
        <v>314.10000000000002</v>
      </c>
      <c r="BE121" s="35">
        <v>255.1</v>
      </c>
      <c r="BF121" s="35">
        <f t="shared" ref="BF121:BF184" si="60">ROUND(BD121-BE121,1)</f>
        <v>59</v>
      </c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10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10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10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10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10"/>
      <c r="HA121" s="9"/>
      <c r="HB121" s="9"/>
    </row>
    <row r="122" spans="1:210" s="2" customFormat="1" ht="17.149999999999999" customHeight="1">
      <c r="A122" s="14" t="s">
        <v>109</v>
      </c>
      <c r="B122" s="63">
        <v>0</v>
      </c>
      <c r="C122" s="63">
        <v>10366</v>
      </c>
      <c r="D122" s="4">
        <f t="shared" si="50"/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5233.1000000000004</v>
      </c>
      <c r="O122" s="35">
        <v>1812.4</v>
      </c>
      <c r="P122" s="4">
        <f t="shared" si="51"/>
        <v>0.34633391297701172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82">
        <v>15712</v>
      </c>
      <c r="W122" s="82">
        <v>23884</v>
      </c>
      <c r="X122" s="4">
        <f t="shared" si="52"/>
        <v>1.2320112016293279</v>
      </c>
      <c r="Y122" s="5">
        <v>10</v>
      </c>
      <c r="Z122" s="5">
        <v>430</v>
      </c>
      <c r="AA122" s="5">
        <v>335</v>
      </c>
      <c r="AB122" s="4">
        <f t="shared" si="53"/>
        <v>0.77906976744186052</v>
      </c>
      <c r="AC122" s="5">
        <v>20</v>
      </c>
      <c r="AD122" s="5" t="s">
        <v>360</v>
      </c>
      <c r="AE122" s="5" t="s">
        <v>360</v>
      </c>
      <c r="AF122" s="5" t="s">
        <v>360</v>
      </c>
      <c r="AG122" s="5" t="s">
        <v>360</v>
      </c>
      <c r="AH122" s="5" t="s">
        <v>360</v>
      </c>
      <c r="AI122" s="5" t="s">
        <v>360</v>
      </c>
      <c r="AJ122" s="5" t="s">
        <v>360</v>
      </c>
      <c r="AK122" s="5" t="s">
        <v>360</v>
      </c>
      <c r="AL122" s="5" t="s">
        <v>360</v>
      </c>
      <c r="AM122" s="5" t="s">
        <v>360</v>
      </c>
      <c r="AN122" s="5" t="s">
        <v>360</v>
      </c>
      <c r="AO122" s="5" t="s">
        <v>360</v>
      </c>
      <c r="AP122" s="43">
        <f t="shared" ref="AP122:AP185" si="61">(D122*E122+P122*Q122+X122*Y122+AB122*AC122)/(E122+Q122+Y122+AC122)</f>
        <v>0.69656371249341442</v>
      </c>
      <c r="AQ122" s="44">
        <v>2038</v>
      </c>
      <c r="AR122" s="35">
        <f t="shared" si="54"/>
        <v>555.81818181818187</v>
      </c>
      <c r="AS122" s="35">
        <f t="shared" si="55"/>
        <v>387.2</v>
      </c>
      <c r="AT122" s="35">
        <f t="shared" si="56"/>
        <v>-168.61818181818188</v>
      </c>
      <c r="AU122" s="35">
        <v>58.3</v>
      </c>
      <c r="AV122" s="35">
        <v>0</v>
      </c>
      <c r="AW122" s="35">
        <v>47</v>
      </c>
      <c r="AX122" s="35">
        <f t="shared" si="57"/>
        <v>281.89999999999998</v>
      </c>
      <c r="AY122" s="35"/>
      <c r="AZ122" s="35">
        <f t="shared" si="58"/>
        <v>281.89999999999998</v>
      </c>
      <c r="BA122" s="35">
        <v>0</v>
      </c>
      <c r="BB122" s="35">
        <f t="shared" ref="BB122:BB185" si="62">ROUND(AZ122+BA122,1)</f>
        <v>281.89999999999998</v>
      </c>
      <c r="BC122" s="35">
        <f>MIN(BB122,5.1)</f>
        <v>5.0999999999999996</v>
      </c>
      <c r="BD122" s="35">
        <f t="shared" si="59"/>
        <v>276.8</v>
      </c>
      <c r="BE122" s="35">
        <v>202.4</v>
      </c>
      <c r="BF122" s="35">
        <f t="shared" si="60"/>
        <v>74.400000000000006</v>
      </c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10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10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10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10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10"/>
      <c r="HA122" s="9"/>
      <c r="HB122" s="9"/>
    </row>
    <row r="123" spans="1:210" s="2" customFormat="1" ht="17.149999999999999" customHeight="1">
      <c r="A123" s="14" t="s">
        <v>110</v>
      </c>
      <c r="B123" s="63">
        <v>4100</v>
      </c>
      <c r="C123" s="63">
        <v>7596.2</v>
      </c>
      <c r="D123" s="4">
        <f t="shared" si="50"/>
        <v>1.2652731707317073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1904.6</v>
      </c>
      <c r="O123" s="35">
        <v>1694.8</v>
      </c>
      <c r="P123" s="4">
        <f t="shared" si="51"/>
        <v>0.88984563687913476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82">
        <v>11784</v>
      </c>
      <c r="W123" s="82">
        <v>10423</v>
      </c>
      <c r="X123" s="4">
        <f t="shared" si="52"/>
        <v>0.88450441276306857</v>
      </c>
      <c r="Y123" s="5">
        <v>10</v>
      </c>
      <c r="Z123" s="5">
        <v>178</v>
      </c>
      <c r="AA123" s="5">
        <v>177</v>
      </c>
      <c r="AB123" s="4">
        <f t="shared" si="53"/>
        <v>0.9943820224719101</v>
      </c>
      <c r="AC123" s="5">
        <v>20</v>
      </c>
      <c r="AD123" s="5" t="s">
        <v>360</v>
      </c>
      <c r="AE123" s="5" t="s">
        <v>360</v>
      </c>
      <c r="AF123" s="5" t="s">
        <v>360</v>
      </c>
      <c r="AG123" s="5" t="s">
        <v>360</v>
      </c>
      <c r="AH123" s="5" t="s">
        <v>360</v>
      </c>
      <c r="AI123" s="5" t="s">
        <v>360</v>
      </c>
      <c r="AJ123" s="5" t="s">
        <v>360</v>
      </c>
      <c r="AK123" s="5" t="s">
        <v>360</v>
      </c>
      <c r="AL123" s="5" t="s">
        <v>360</v>
      </c>
      <c r="AM123" s="5" t="s">
        <v>360</v>
      </c>
      <c r="AN123" s="5" t="s">
        <v>360</v>
      </c>
      <c r="AO123" s="5" t="s">
        <v>360</v>
      </c>
      <c r="AP123" s="43">
        <f t="shared" si="61"/>
        <v>0.9610175121510931</v>
      </c>
      <c r="AQ123" s="44">
        <v>4971</v>
      </c>
      <c r="AR123" s="35">
        <f t="shared" si="54"/>
        <v>1355.7272727272727</v>
      </c>
      <c r="AS123" s="35">
        <f t="shared" si="55"/>
        <v>1302.9000000000001</v>
      </c>
      <c r="AT123" s="35">
        <f t="shared" si="56"/>
        <v>-52.827272727272657</v>
      </c>
      <c r="AU123" s="35">
        <v>578.6</v>
      </c>
      <c r="AV123" s="35">
        <v>325.7</v>
      </c>
      <c r="AW123" s="35"/>
      <c r="AX123" s="35">
        <f t="shared" si="57"/>
        <v>398.6</v>
      </c>
      <c r="AY123" s="35"/>
      <c r="AZ123" s="35">
        <f t="shared" si="58"/>
        <v>398.6</v>
      </c>
      <c r="BA123" s="35">
        <v>0</v>
      </c>
      <c r="BB123" s="35">
        <f t="shared" si="62"/>
        <v>398.6</v>
      </c>
      <c r="BC123" s="35"/>
      <c r="BD123" s="35">
        <f t="shared" si="59"/>
        <v>398.6</v>
      </c>
      <c r="BE123" s="35">
        <v>421.6</v>
      </c>
      <c r="BF123" s="35">
        <f t="shared" si="60"/>
        <v>-23</v>
      </c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10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10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10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10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10"/>
      <c r="HA123" s="9"/>
      <c r="HB123" s="9"/>
    </row>
    <row r="124" spans="1:210" s="2" customFormat="1" ht="17.149999999999999" customHeight="1">
      <c r="A124" s="14" t="s">
        <v>111</v>
      </c>
      <c r="B124" s="63">
        <v>4950</v>
      </c>
      <c r="C124" s="63">
        <v>53715</v>
      </c>
      <c r="D124" s="4">
        <f t="shared" si="50"/>
        <v>1.3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5578.7</v>
      </c>
      <c r="O124" s="35">
        <v>3942.8</v>
      </c>
      <c r="P124" s="4">
        <f t="shared" si="51"/>
        <v>0.70675963934249919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82">
        <v>15712</v>
      </c>
      <c r="W124" s="82">
        <v>46290</v>
      </c>
      <c r="X124" s="4">
        <f t="shared" si="52"/>
        <v>1.3</v>
      </c>
      <c r="Y124" s="5">
        <v>10</v>
      </c>
      <c r="Z124" s="5">
        <v>0</v>
      </c>
      <c r="AA124" s="5">
        <v>0</v>
      </c>
      <c r="AB124" s="4">
        <f t="shared" si="53"/>
        <v>0</v>
      </c>
      <c r="AC124" s="5">
        <v>0</v>
      </c>
      <c r="AD124" s="5" t="s">
        <v>360</v>
      </c>
      <c r="AE124" s="5" t="s">
        <v>360</v>
      </c>
      <c r="AF124" s="5" t="s">
        <v>360</v>
      </c>
      <c r="AG124" s="5" t="s">
        <v>360</v>
      </c>
      <c r="AH124" s="5" t="s">
        <v>360</v>
      </c>
      <c r="AI124" s="5" t="s">
        <v>360</v>
      </c>
      <c r="AJ124" s="5" t="s">
        <v>360</v>
      </c>
      <c r="AK124" s="5" t="s">
        <v>360</v>
      </c>
      <c r="AL124" s="5" t="s">
        <v>360</v>
      </c>
      <c r="AM124" s="5" t="s">
        <v>360</v>
      </c>
      <c r="AN124" s="5" t="s">
        <v>360</v>
      </c>
      <c r="AO124" s="5" t="s">
        <v>360</v>
      </c>
      <c r="AP124" s="43">
        <f t="shared" si="61"/>
        <v>0.96100550819571384</v>
      </c>
      <c r="AQ124" s="44">
        <v>0</v>
      </c>
      <c r="AR124" s="35">
        <f t="shared" si="54"/>
        <v>0</v>
      </c>
      <c r="AS124" s="35">
        <f t="shared" si="55"/>
        <v>0</v>
      </c>
      <c r="AT124" s="35">
        <f t="shared" si="56"/>
        <v>0</v>
      </c>
      <c r="AU124" s="35">
        <v>0</v>
      </c>
      <c r="AV124" s="35">
        <v>0</v>
      </c>
      <c r="AW124" s="35"/>
      <c r="AX124" s="35">
        <f t="shared" si="57"/>
        <v>0</v>
      </c>
      <c r="AY124" s="35"/>
      <c r="AZ124" s="35">
        <f t="shared" si="58"/>
        <v>0</v>
      </c>
      <c r="BA124" s="35">
        <v>0</v>
      </c>
      <c r="BB124" s="35">
        <f t="shared" si="62"/>
        <v>0</v>
      </c>
      <c r="BC124" s="35"/>
      <c r="BD124" s="35">
        <f t="shared" si="59"/>
        <v>0</v>
      </c>
      <c r="BE124" s="35">
        <v>0</v>
      </c>
      <c r="BF124" s="35">
        <f t="shared" si="60"/>
        <v>0</v>
      </c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10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10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10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10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10"/>
      <c r="HA124" s="9"/>
      <c r="HB124" s="9"/>
    </row>
    <row r="125" spans="1:210" s="2" customFormat="1" ht="17.149999999999999" customHeight="1">
      <c r="A125" s="14" t="s">
        <v>112</v>
      </c>
      <c r="B125" s="63">
        <v>2200200</v>
      </c>
      <c r="C125" s="63">
        <v>2441124.1</v>
      </c>
      <c r="D125" s="4">
        <f t="shared" si="50"/>
        <v>1.1095009999090992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23400.1</v>
      </c>
      <c r="O125" s="35">
        <v>32711.1</v>
      </c>
      <c r="P125" s="4">
        <f t="shared" si="51"/>
        <v>1.219790428246033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82">
        <v>648132</v>
      </c>
      <c r="W125" s="82">
        <v>571730</v>
      </c>
      <c r="X125" s="4">
        <f t="shared" si="52"/>
        <v>0.88211969166774673</v>
      </c>
      <c r="Y125" s="5">
        <v>10</v>
      </c>
      <c r="Z125" s="5">
        <v>78</v>
      </c>
      <c r="AA125" s="5">
        <v>81</v>
      </c>
      <c r="AB125" s="4">
        <f t="shared" si="53"/>
        <v>1.0384615384615385</v>
      </c>
      <c r="AC125" s="5">
        <v>20</v>
      </c>
      <c r="AD125" s="5" t="s">
        <v>360</v>
      </c>
      <c r="AE125" s="5" t="s">
        <v>360</v>
      </c>
      <c r="AF125" s="5" t="s">
        <v>360</v>
      </c>
      <c r="AG125" s="5" t="s">
        <v>360</v>
      </c>
      <c r="AH125" s="5" t="s">
        <v>360</v>
      </c>
      <c r="AI125" s="5" t="s">
        <v>360</v>
      </c>
      <c r="AJ125" s="5" t="s">
        <v>360</v>
      </c>
      <c r="AK125" s="5" t="s">
        <v>360</v>
      </c>
      <c r="AL125" s="5" t="s">
        <v>360</v>
      </c>
      <c r="AM125" s="5" t="s">
        <v>360</v>
      </c>
      <c r="AN125" s="5" t="s">
        <v>360</v>
      </c>
      <c r="AO125" s="5" t="s">
        <v>360</v>
      </c>
      <c r="AP125" s="43">
        <f t="shared" si="61"/>
        <v>1.0824316590977161</v>
      </c>
      <c r="AQ125" s="44">
        <v>3175</v>
      </c>
      <c r="AR125" s="35">
        <f t="shared" si="54"/>
        <v>865.90909090909088</v>
      </c>
      <c r="AS125" s="35">
        <f t="shared" si="55"/>
        <v>937.3</v>
      </c>
      <c r="AT125" s="35">
        <f t="shared" si="56"/>
        <v>71.390909090909076</v>
      </c>
      <c r="AU125" s="35">
        <v>362.6</v>
      </c>
      <c r="AV125" s="35">
        <v>265.10000000000002</v>
      </c>
      <c r="AW125" s="35"/>
      <c r="AX125" s="35">
        <f t="shared" si="57"/>
        <v>309.60000000000002</v>
      </c>
      <c r="AY125" s="35"/>
      <c r="AZ125" s="35">
        <f t="shared" si="58"/>
        <v>309.60000000000002</v>
      </c>
      <c r="BA125" s="35">
        <v>0</v>
      </c>
      <c r="BB125" s="35">
        <f t="shared" si="62"/>
        <v>309.60000000000002</v>
      </c>
      <c r="BC125" s="35"/>
      <c r="BD125" s="35">
        <f t="shared" si="59"/>
        <v>309.60000000000002</v>
      </c>
      <c r="BE125" s="35">
        <v>348.1</v>
      </c>
      <c r="BF125" s="35">
        <f t="shared" si="60"/>
        <v>-38.5</v>
      </c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10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10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10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10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10"/>
      <c r="HA125" s="9"/>
      <c r="HB125" s="9"/>
    </row>
    <row r="126" spans="1:210" s="2" customFormat="1" ht="17.149999999999999" customHeight="1">
      <c r="A126" s="14" t="s">
        <v>113</v>
      </c>
      <c r="B126" s="63">
        <v>15690</v>
      </c>
      <c r="C126" s="63">
        <v>20441.5</v>
      </c>
      <c r="D126" s="4">
        <f t="shared" si="50"/>
        <v>1.2102836201402167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1331.5</v>
      </c>
      <c r="O126" s="35">
        <v>1075.9000000000001</v>
      </c>
      <c r="P126" s="4">
        <f t="shared" si="51"/>
        <v>0.80803604956815633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82">
        <v>5892</v>
      </c>
      <c r="W126" s="82">
        <v>5090</v>
      </c>
      <c r="X126" s="4">
        <f t="shared" si="52"/>
        <v>0.86388323150033941</v>
      </c>
      <c r="Y126" s="5">
        <v>10</v>
      </c>
      <c r="Z126" s="5">
        <v>95</v>
      </c>
      <c r="AA126" s="5">
        <v>96</v>
      </c>
      <c r="AB126" s="4">
        <f t="shared" si="53"/>
        <v>1.0105263157894737</v>
      </c>
      <c r="AC126" s="5">
        <v>20</v>
      </c>
      <c r="AD126" s="5" t="s">
        <v>360</v>
      </c>
      <c r="AE126" s="5" t="s">
        <v>360</v>
      </c>
      <c r="AF126" s="5" t="s">
        <v>360</v>
      </c>
      <c r="AG126" s="5" t="s">
        <v>360</v>
      </c>
      <c r="AH126" s="5" t="s">
        <v>360</v>
      </c>
      <c r="AI126" s="5" t="s">
        <v>360</v>
      </c>
      <c r="AJ126" s="5" t="s">
        <v>360</v>
      </c>
      <c r="AK126" s="5" t="s">
        <v>360</v>
      </c>
      <c r="AL126" s="5" t="s">
        <v>360</v>
      </c>
      <c r="AM126" s="5" t="s">
        <v>360</v>
      </c>
      <c r="AN126" s="5" t="s">
        <v>360</v>
      </c>
      <c r="AO126" s="5" t="s">
        <v>360</v>
      </c>
      <c r="AP126" s="43">
        <f t="shared" si="61"/>
        <v>0.92839086768831058</v>
      </c>
      <c r="AQ126" s="44">
        <v>1294</v>
      </c>
      <c r="AR126" s="35">
        <f t="shared" si="54"/>
        <v>352.90909090909093</v>
      </c>
      <c r="AS126" s="35">
        <f t="shared" si="55"/>
        <v>327.60000000000002</v>
      </c>
      <c r="AT126" s="35">
        <f t="shared" si="56"/>
        <v>-25.309090909090912</v>
      </c>
      <c r="AU126" s="35">
        <v>98.6</v>
      </c>
      <c r="AV126" s="35">
        <v>90.7</v>
      </c>
      <c r="AW126" s="35">
        <v>0.5</v>
      </c>
      <c r="AX126" s="35">
        <f t="shared" si="57"/>
        <v>137.80000000000001</v>
      </c>
      <c r="AY126" s="35"/>
      <c r="AZ126" s="35">
        <f t="shared" si="58"/>
        <v>137.80000000000001</v>
      </c>
      <c r="BA126" s="35">
        <v>0</v>
      </c>
      <c r="BB126" s="35">
        <f t="shared" si="62"/>
        <v>137.80000000000001</v>
      </c>
      <c r="BC126" s="35"/>
      <c r="BD126" s="35">
        <f t="shared" si="59"/>
        <v>137.80000000000001</v>
      </c>
      <c r="BE126" s="35">
        <v>142.9</v>
      </c>
      <c r="BF126" s="35">
        <f t="shared" si="60"/>
        <v>-5.0999999999999996</v>
      </c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10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10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10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10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10"/>
      <c r="HA126" s="9"/>
      <c r="HB126" s="9"/>
    </row>
    <row r="127" spans="1:210" s="2" customFormat="1" ht="17.149999999999999" customHeight="1">
      <c r="A127" s="14" t="s">
        <v>114</v>
      </c>
      <c r="B127" s="63">
        <v>8200</v>
      </c>
      <c r="C127" s="63">
        <v>4260.5</v>
      </c>
      <c r="D127" s="4">
        <f t="shared" si="50"/>
        <v>0.51957317073170728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909.5</v>
      </c>
      <c r="O127" s="35">
        <v>229.4</v>
      </c>
      <c r="P127" s="4">
        <f t="shared" si="51"/>
        <v>0.25222649807586589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82">
        <v>9820</v>
      </c>
      <c r="W127" s="82">
        <v>11906</v>
      </c>
      <c r="X127" s="4">
        <f t="shared" si="52"/>
        <v>1.2012423625254582</v>
      </c>
      <c r="Y127" s="5">
        <v>10</v>
      </c>
      <c r="Z127" s="5">
        <v>420</v>
      </c>
      <c r="AA127" s="5">
        <v>414</v>
      </c>
      <c r="AB127" s="4">
        <f t="shared" si="53"/>
        <v>0.98571428571428577</v>
      </c>
      <c r="AC127" s="5">
        <v>20</v>
      </c>
      <c r="AD127" s="5" t="s">
        <v>360</v>
      </c>
      <c r="AE127" s="5" t="s">
        <v>360</v>
      </c>
      <c r="AF127" s="5" t="s">
        <v>360</v>
      </c>
      <c r="AG127" s="5" t="s">
        <v>360</v>
      </c>
      <c r="AH127" s="5" t="s">
        <v>360</v>
      </c>
      <c r="AI127" s="5" t="s">
        <v>360</v>
      </c>
      <c r="AJ127" s="5" t="s">
        <v>360</v>
      </c>
      <c r="AK127" s="5" t="s">
        <v>360</v>
      </c>
      <c r="AL127" s="5" t="s">
        <v>360</v>
      </c>
      <c r="AM127" s="5" t="s">
        <v>360</v>
      </c>
      <c r="AN127" s="5" t="s">
        <v>360</v>
      </c>
      <c r="AO127" s="5" t="s">
        <v>360</v>
      </c>
      <c r="AP127" s="43">
        <f t="shared" si="61"/>
        <v>0.71580191190393005</v>
      </c>
      <c r="AQ127" s="44">
        <v>2761</v>
      </c>
      <c r="AR127" s="35">
        <f t="shared" si="54"/>
        <v>753</v>
      </c>
      <c r="AS127" s="35">
        <f t="shared" si="55"/>
        <v>539</v>
      </c>
      <c r="AT127" s="35">
        <f t="shared" si="56"/>
        <v>-214</v>
      </c>
      <c r="AU127" s="35">
        <v>37.1</v>
      </c>
      <c r="AV127" s="35">
        <v>100.6</v>
      </c>
      <c r="AW127" s="35"/>
      <c r="AX127" s="35">
        <f t="shared" si="57"/>
        <v>401.3</v>
      </c>
      <c r="AY127" s="35"/>
      <c r="AZ127" s="35">
        <f t="shared" si="58"/>
        <v>401.3</v>
      </c>
      <c r="BA127" s="35">
        <v>0</v>
      </c>
      <c r="BB127" s="35">
        <f t="shared" si="62"/>
        <v>401.3</v>
      </c>
      <c r="BC127" s="35"/>
      <c r="BD127" s="35">
        <f t="shared" si="59"/>
        <v>401.3</v>
      </c>
      <c r="BE127" s="35">
        <v>320.10000000000002</v>
      </c>
      <c r="BF127" s="35">
        <f t="shared" si="60"/>
        <v>81.2</v>
      </c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10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10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10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10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10"/>
      <c r="HA127" s="9"/>
      <c r="HB127" s="9"/>
    </row>
    <row r="128" spans="1:210" s="2" customFormat="1" ht="17.149999999999999" customHeight="1">
      <c r="A128" s="14" t="s">
        <v>115</v>
      </c>
      <c r="B128" s="63">
        <v>0</v>
      </c>
      <c r="C128" s="63">
        <v>0</v>
      </c>
      <c r="D128" s="4">
        <f t="shared" si="50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2063.6</v>
      </c>
      <c r="O128" s="35">
        <v>679.3</v>
      </c>
      <c r="P128" s="4">
        <f t="shared" si="51"/>
        <v>0.32918201201783293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82">
        <v>19640</v>
      </c>
      <c r="W128" s="82">
        <v>32155</v>
      </c>
      <c r="X128" s="4">
        <f t="shared" si="52"/>
        <v>1.2437219959266801</v>
      </c>
      <c r="Y128" s="5">
        <v>10</v>
      </c>
      <c r="Z128" s="5">
        <v>246</v>
      </c>
      <c r="AA128" s="5">
        <v>246</v>
      </c>
      <c r="AB128" s="4">
        <f t="shared" si="53"/>
        <v>1</v>
      </c>
      <c r="AC128" s="5">
        <v>20</v>
      </c>
      <c r="AD128" s="5" t="s">
        <v>360</v>
      </c>
      <c r="AE128" s="5" t="s">
        <v>360</v>
      </c>
      <c r="AF128" s="5" t="s">
        <v>360</v>
      </c>
      <c r="AG128" s="5" t="s">
        <v>360</v>
      </c>
      <c r="AH128" s="5" t="s">
        <v>360</v>
      </c>
      <c r="AI128" s="5" t="s">
        <v>360</v>
      </c>
      <c r="AJ128" s="5" t="s">
        <v>360</v>
      </c>
      <c r="AK128" s="5" t="s">
        <v>360</v>
      </c>
      <c r="AL128" s="5" t="s">
        <v>360</v>
      </c>
      <c r="AM128" s="5" t="s">
        <v>360</v>
      </c>
      <c r="AN128" s="5" t="s">
        <v>360</v>
      </c>
      <c r="AO128" s="5" t="s">
        <v>360</v>
      </c>
      <c r="AP128" s="43">
        <f t="shared" si="61"/>
        <v>0.78041720399246917</v>
      </c>
      <c r="AQ128" s="44">
        <v>2875</v>
      </c>
      <c r="AR128" s="35">
        <f t="shared" si="54"/>
        <v>784.09090909090912</v>
      </c>
      <c r="AS128" s="35">
        <f t="shared" si="55"/>
        <v>611.9</v>
      </c>
      <c r="AT128" s="35">
        <f t="shared" si="56"/>
        <v>-172.19090909090914</v>
      </c>
      <c r="AU128" s="35">
        <v>245.1</v>
      </c>
      <c r="AV128" s="35">
        <v>87.2</v>
      </c>
      <c r="AW128" s="35"/>
      <c r="AX128" s="35">
        <f t="shared" si="57"/>
        <v>279.60000000000002</v>
      </c>
      <c r="AY128" s="35"/>
      <c r="AZ128" s="35">
        <f t="shared" si="58"/>
        <v>279.60000000000002</v>
      </c>
      <c r="BA128" s="35">
        <v>0</v>
      </c>
      <c r="BB128" s="35">
        <f t="shared" si="62"/>
        <v>279.60000000000002</v>
      </c>
      <c r="BC128" s="35"/>
      <c r="BD128" s="35">
        <f t="shared" si="59"/>
        <v>279.60000000000002</v>
      </c>
      <c r="BE128" s="35">
        <v>188.8</v>
      </c>
      <c r="BF128" s="35">
        <f t="shared" si="60"/>
        <v>90.8</v>
      </c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10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10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10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10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10"/>
      <c r="HA128" s="9"/>
      <c r="HB128" s="9"/>
    </row>
    <row r="129" spans="1:210" s="2" customFormat="1" ht="17.149999999999999" customHeight="1">
      <c r="A129" s="14" t="s">
        <v>116</v>
      </c>
      <c r="B129" s="63">
        <v>901970</v>
      </c>
      <c r="C129" s="63">
        <v>800411</v>
      </c>
      <c r="D129" s="4">
        <f t="shared" si="50"/>
        <v>0.8874031287071632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5561.2</v>
      </c>
      <c r="O129" s="35">
        <v>3783.1</v>
      </c>
      <c r="P129" s="4">
        <f t="shared" si="51"/>
        <v>0.68026684888153632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82">
        <v>9820</v>
      </c>
      <c r="W129" s="82">
        <v>31764</v>
      </c>
      <c r="X129" s="4">
        <f t="shared" si="52"/>
        <v>1.3</v>
      </c>
      <c r="Y129" s="5">
        <v>10</v>
      </c>
      <c r="Z129" s="5">
        <v>382</v>
      </c>
      <c r="AA129" s="5">
        <v>380</v>
      </c>
      <c r="AB129" s="4">
        <f t="shared" si="53"/>
        <v>0.99476439790575921</v>
      </c>
      <c r="AC129" s="5">
        <v>20</v>
      </c>
      <c r="AD129" s="5" t="s">
        <v>360</v>
      </c>
      <c r="AE129" s="5" t="s">
        <v>360</v>
      </c>
      <c r="AF129" s="5" t="s">
        <v>360</v>
      </c>
      <c r="AG129" s="5" t="s">
        <v>360</v>
      </c>
      <c r="AH129" s="5" t="s">
        <v>360</v>
      </c>
      <c r="AI129" s="5" t="s">
        <v>360</v>
      </c>
      <c r="AJ129" s="5" t="s">
        <v>360</v>
      </c>
      <c r="AK129" s="5" t="s">
        <v>360</v>
      </c>
      <c r="AL129" s="5" t="s">
        <v>360</v>
      </c>
      <c r="AM129" s="5" t="s">
        <v>360</v>
      </c>
      <c r="AN129" s="5" t="s">
        <v>360</v>
      </c>
      <c r="AO129" s="5" t="s">
        <v>360</v>
      </c>
      <c r="AP129" s="43">
        <f t="shared" si="61"/>
        <v>0.92613891962330408</v>
      </c>
      <c r="AQ129" s="44">
        <v>2589</v>
      </c>
      <c r="AR129" s="35">
        <f t="shared" si="54"/>
        <v>706.09090909090912</v>
      </c>
      <c r="AS129" s="35">
        <f t="shared" si="55"/>
        <v>653.9</v>
      </c>
      <c r="AT129" s="35">
        <f t="shared" si="56"/>
        <v>-52.190909090909145</v>
      </c>
      <c r="AU129" s="35">
        <v>186.7</v>
      </c>
      <c r="AV129" s="35">
        <v>129.1</v>
      </c>
      <c r="AW129" s="35"/>
      <c r="AX129" s="35">
        <f t="shared" si="57"/>
        <v>338.1</v>
      </c>
      <c r="AY129" s="35"/>
      <c r="AZ129" s="35">
        <f t="shared" si="58"/>
        <v>338.1</v>
      </c>
      <c r="BA129" s="35">
        <v>0</v>
      </c>
      <c r="BB129" s="35">
        <f t="shared" si="62"/>
        <v>338.1</v>
      </c>
      <c r="BC129" s="35"/>
      <c r="BD129" s="35">
        <f t="shared" si="59"/>
        <v>338.1</v>
      </c>
      <c r="BE129" s="35">
        <v>279.5</v>
      </c>
      <c r="BF129" s="35">
        <f t="shared" si="60"/>
        <v>58.6</v>
      </c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10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10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10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10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10"/>
      <c r="HA129" s="9"/>
      <c r="HB129" s="9"/>
    </row>
    <row r="130" spans="1:210" s="2" customFormat="1" ht="17.149999999999999" customHeight="1">
      <c r="A130" s="18" t="s">
        <v>117</v>
      </c>
      <c r="B130" s="59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83"/>
      <c r="W130" s="83"/>
      <c r="X130" s="11"/>
      <c r="Y130" s="11"/>
      <c r="Z130" s="11"/>
      <c r="AA130" s="11"/>
      <c r="AB130" s="11"/>
      <c r="AC130" s="11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35"/>
      <c r="BB130" s="35"/>
      <c r="BC130" s="35"/>
      <c r="BD130" s="35"/>
      <c r="BE130" s="35"/>
      <c r="BF130" s="35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10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10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10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10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10"/>
      <c r="HA130" s="9"/>
      <c r="HB130" s="9"/>
    </row>
    <row r="131" spans="1:210" s="2" customFormat="1" ht="17.149999999999999" customHeight="1">
      <c r="A131" s="14" t="s">
        <v>118</v>
      </c>
      <c r="B131" s="63">
        <v>1080</v>
      </c>
      <c r="C131" s="63">
        <v>1066.4000000000001</v>
      </c>
      <c r="D131" s="4">
        <f t="shared" si="50"/>
        <v>0.98740740740740751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106.3</v>
      </c>
      <c r="O131" s="35">
        <v>284</v>
      </c>
      <c r="P131" s="4">
        <f t="shared" si="51"/>
        <v>1.3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82">
        <v>3200</v>
      </c>
      <c r="W131" s="82">
        <v>2188</v>
      </c>
      <c r="X131" s="4">
        <f t="shared" si="52"/>
        <v>0.68374999999999997</v>
      </c>
      <c r="Y131" s="5">
        <v>5</v>
      </c>
      <c r="Z131" s="5">
        <v>73</v>
      </c>
      <c r="AA131" s="5">
        <v>73</v>
      </c>
      <c r="AB131" s="4">
        <f t="shared" si="53"/>
        <v>1</v>
      </c>
      <c r="AC131" s="5">
        <v>20</v>
      </c>
      <c r="AD131" s="5" t="s">
        <v>360</v>
      </c>
      <c r="AE131" s="5" t="s">
        <v>360</v>
      </c>
      <c r="AF131" s="5" t="s">
        <v>360</v>
      </c>
      <c r="AG131" s="5" t="s">
        <v>360</v>
      </c>
      <c r="AH131" s="5" t="s">
        <v>360</v>
      </c>
      <c r="AI131" s="5" t="s">
        <v>360</v>
      </c>
      <c r="AJ131" s="5" t="s">
        <v>360</v>
      </c>
      <c r="AK131" s="5" t="s">
        <v>360</v>
      </c>
      <c r="AL131" s="5" t="s">
        <v>360</v>
      </c>
      <c r="AM131" s="5" t="s">
        <v>360</v>
      </c>
      <c r="AN131" s="5" t="s">
        <v>360</v>
      </c>
      <c r="AO131" s="5" t="s">
        <v>360</v>
      </c>
      <c r="AP131" s="43">
        <f t="shared" si="61"/>
        <v>1.0871157407407408</v>
      </c>
      <c r="AQ131" s="44">
        <v>737</v>
      </c>
      <c r="AR131" s="35">
        <f t="shared" si="54"/>
        <v>201</v>
      </c>
      <c r="AS131" s="35">
        <f t="shared" si="55"/>
        <v>218.5</v>
      </c>
      <c r="AT131" s="35">
        <f t="shared" si="56"/>
        <v>17.5</v>
      </c>
      <c r="AU131" s="35">
        <v>31.8</v>
      </c>
      <c r="AV131" s="35">
        <v>38.6</v>
      </c>
      <c r="AW131" s="35">
        <v>0.3</v>
      </c>
      <c r="AX131" s="35">
        <f t="shared" si="57"/>
        <v>147.80000000000001</v>
      </c>
      <c r="AY131" s="35"/>
      <c r="AZ131" s="35">
        <f t="shared" si="58"/>
        <v>147.80000000000001</v>
      </c>
      <c r="BA131" s="35">
        <v>0</v>
      </c>
      <c r="BB131" s="35">
        <f t="shared" si="62"/>
        <v>147.80000000000001</v>
      </c>
      <c r="BC131" s="35"/>
      <c r="BD131" s="35">
        <f t="shared" si="59"/>
        <v>147.80000000000001</v>
      </c>
      <c r="BE131" s="35">
        <v>156.80000000000001</v>
      </c>
      <c r="BF131" s="35">
        <f t="shared" si="60"/>
        <v>-9</v>
      </c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10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10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10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10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10"/>
      <c r="HA131" s="9"/>
      <c r="HB131" s="9"/>
    </row>
    <row r="132" spans="1:210" s="2" customFormat="1" ht="17.149999999999999" customHeight="1">
      <c r="A132" s="14" t="s">
        <v>119</v>
      </c>
      <c r="B132" s="63">
        <v>47300</v>
      </c>
      <c r="C132" s="63">
        <v>80040.800000000003</v>
      </c>
      <c r="D132" s="4">
        <f t="shared" si="50"/>
        <v>1.2492194503171248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1432.6</v>
      </c>
      <c r="O132" s="35">
        <v>1362.3</v>
      </c>
      <c r="P132" s="4">
        <f t="shared" si="51"/>
        <v>0.95092838196286478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82">
        <v>50000</v>
      </c>
      <c r="W132" s="82">
        <v>61710</v>
      </c>
      <c r="X132" s="4">
        <f t="shared" si="52"/>
        <v>1.2034199999999999</v>
      </c>
      <c r="Y132" s="5">
        <v>5</v>
      </c>
      <c r="Z132" s="5">
        <v>144</v>
      </c>
      <c r="AA132" s="5">
        <v>147</v>
      </c>
      <c r="AB132" s="4">
        <f t="shared" si="53"/>
        <v>1.0208333333333333</v>
      </c>
      <c r="AC132" s="5">
        <v>20</v>
      </c>
      <c r="AD132" s="5" t="s">
        <v>360</v>
      </c>
      <c r="AE132" s="5" t="s">
        <v>360</v>
      </c>
      <c r="AF132" s="5" t="s">
        <v>360</v>
      </c>
      <c r="AG132" s="5" t="s">
        <v>360</v>
      </c>
      <c r="AH132" s="5" t="s">
        <v>360</v>
      </c>
      <c r="AI132" s="5" t="s">
        <v>360</v>
      </c>
      <c r="AJ132" s="5" t="s">
        <v>360</v>
      </c>
      <c r="AK132" s="5" t="s">
        <v>360</v>
      </c>
      <c r="AL132" s="5" t="s">
        <v>360</v>
      </c>
      <c r="AM132" s="5" t="s">
        <v>360</v>
      </c>
      <c r="AN132" s="5" t="s">
        <v>360</v>
      </c>
      <c r="AO132" s="5" t="s">
        <v>360</v>
      </c>
      <c r="AP132" s="43">
        <f t="shared" si="61"/>
        <v>1.0339686311501917</v>
      </c>
      <c r="AQ132" s="44">
        <v>875</v>
      </c>
      <c r="AR132" s="35">
        <f t="shared" si="54"/>
        <v>238.63636363636363</v>
      </c>
      <c r="AS132" s="35">
        <f t="shared" si="55"/>
        <v>246.7</v>
      </c>
      <c r="AT132" s="35">
        <f t="shared" si="56"/>
        <v>8.0636363636363626</v>
      </c>
      <c r="AU132" s="35">
        <v>51.2</v>
      </c>
      <c r="AV132" s="35">
        <v>98</v>
      </c>
      <c r="AW132" s="35"/>
      <c r="AX132" s="35">
        <f t="shared" si="57"/>
        <v>97.5</v>
      </c>
      <c r="AY132" s="35"/>
      <c r="AZ132" s="35">
        <f t="shared" si="58"/>
        <v>97.5</v>
      </c>
      <c r="BA132" s="35">
        <v>0</v>
      </c>
      <c r="BB132" s="35">
        <f t="shared" si="62"/>
        <v>97.5</v>
      </c>
      <c r="BC132" s="35"/>
      <c r="BD132" s="35">
        <f t="shared" si="59"/>
        <v>97.5</v>
      </c>
      <c r="BE132" s="35">
        <v>93</v>
      </c>
      <c r="BF132" s="35">
        <f t="shared" si="60"/>
        <v>4.5</v>
      </c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10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10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10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10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10"/>
      <c r="HA132" s="9"/>
      <c r="HB132" s="9"/>
    </row>
    <row r="133" spans="1:210" s="2" customFormat="1" ht="17.149999999999999" customHeight="1">
      <c r="A133" s="14" t="s">
        <v>120</v>
      </c>
      <c r="B133" s="63">
        <v>93</v>
      </c>
      <c r="C133" s="63">
        <v>92.1</v>
      </c>
      <c r="D133" s="4">
        <f t="shared" si="50"/>
        <v>0.99032258064516121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196.8</v>
      </c>
      <c r="O133" s="35">
        <v>278.39999999999998</v>
      </c>
      <c r="P133" s="4">
        <f t="shared" si="51"/>
        <v>1.2214634146341463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82">
        <v>4300</v>
      </c>
      <c r="W133" s="82">
        <v>3856</v>
      </c>
      <c r="X133" s="4">
        <f t="shared" si="52"/>
        <v>0.89674418604651163</v>
      </c>
      <c r="Y133" s="5">
        <v>5</v>
      </c>
      <c r="Z133" s="5">
        <v>102</v>
      </c>
      <c r="AA133" s="5">
        <v>102</v>
      </c>
      <c r="AB133" s="4">
        <f t="shared" si="53"/>
        <v>1</v>
      </c>
      <c r="AC133" s="5">
        <v>20</v>
      </c>
      <c r="AD133" s="5" t="s">
        <v>360</v>
      </c>
      <c r="AE133" s="5" t="s">
        <v>360</v>
      </c>
      <c r="AF133" s="5" t="s">
        <v>360</v>
      </c>
      <c r="AG133" s="5" t="s">
        <v>360</v>
      </c>
      <c r="AH133" s="5" t="s">
        <v>360</v>
      </c>
      <c r="AI133" s="5" t="s">
        <v>360</v>
      </c>
      <c r="AJ133" s="5" t="s">
        <v>360</v>
      </c>
      <c r="AK133" s="5" t="s">
        <v>360</v>
      </c>
      <c r="AL133" s="5" t="s">
        <v>360</v>
      </c>
      <c r="AM133" s="5" t="s">
        <v>360</v>
      </c>
      <c r="AN133" s="5" t="s">
        <v>360</v>
      </c>
      <c r="AO133" s="5" t="s">
        <v>360</v>
      </c>
      <c r="AP133" s="43">
        <f t="shared" si="61"/>
        <v>1.0772920425228258</v>
      </c>
      <c r="AQ133" s="44">
        <v>894</v>
      </c>
      <c r="AR133" s="35">
        <f t="shared" si="54"/>
        <v>243.81818181818181</v>
      </c>
      <c r="AS133" s="35">
        <f t="shared" si="55"/>
        <v>262.7</v>
      </c>
      <c r="AT133" s="35">
        <f t="shared" si="56"/>
        <v>18.881818181818176</v>
      </c>
      <c r="AU133" s="35">
        <v>72.8</v>
      </c>
      <c r="AV133" s="35">
        <v>70.7</v>
      </c>
      <c r="AW133" s="35"/>
      <c r="AX133" s="35">
        <f t="shared" si="57"/>
        <v>119.2</v>
      </c>
      <c r="AY133" s="35"/>
      <c r="AZ133" s="35">
        <f t="shared" si="58"/>
        <v>119.2</v>
      </c>
      <c r="BA133" s="35">
        <v>0</v>
      </c>
      <c r="BB133" s="35">
        <f t="shared" si="62"/>
        <v>119.2</v>
      </c>
      <c r="BC133" s="35"/>
      <c r="BD133" s="35">
        <f t="shared" si="59"/>
        <v>119.2</v>
      </c>
      <c r="BE133" s="35">
        <v>124.1</v>
      </c>
      <c r="BF133" s="35">
        <f t="shared" si="60"/>
        <v>-4.9000000000000004</v>
      </c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10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10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10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10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10"/>
      <c r="HA133" s="9"/>
      <c r="HB133" s="9"/>
    </row>
    <row r="134" spans="1:210" s="2" customFormat="1" ht="17.149999999999999" customHeight="1">
      <c r="A134" s="14" t="s">
        <v>121</v>
      </c>
      <c r="B134" s="63">
        <v>997</v>
      </c>
      <c r="C134" s="63">
        <v>1001.5</v>
      </c>
      <c r="D134" s="4">
        <f t="shared" si="50"/>
        <v>1.0045135406218655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223.5</v>
      </c>
      <c r="O134" s="35">
        <v>242.7</v>
      </c>
      <c r="P134" s="4">
        <f t="shared" si="51"/>
        <v>1.0859060402684564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82">
        <v>4600</v>
      </c>
      <c r="W134" s="82">
        <v>4461</v>
      </c>
      <c r="X134" s="4">
        <f t="shared" si="52"/>
        <v>0.96978260869565214</v>
      </c>
      <c r="Y134" s="5">
        <v>5</v>
      </c>
      <c r="Z134" s="5">
        <v>338</v>
      </c>
      <c r="AA134" s="5">
        <v>339</v>
      </c>
      <c r="AB134" s="4">
        <f t="shared" si="53"/>
        <v>1.0029585798816567</v>
      </c>
      <c r="AC134" s="5">
        <v>20</v>
      </c>
      <c r="AD134" s="5" t="s">
        <v>360</v>
      </c>
      <c r="AE134" s="5" t="s">
        <v>360</v>
      </c>
      <c r="AF134" s="5" t="s">
        <v>360</v>
      </c>
      <c r="AG134" s="5" t="s">
        <v>360</v>
      </c>
      <c r="AH134" s="5" t="s">
        <v>360</v>
      </c>
      <c r="AI134" s="5" t="s">
        <v>360</v>
      </c>
      <c r="AJ134" s="5" t="s">
        <v>360</v>
      </c>
      <c r="AK134" s="5" t="s">
        <v>360</v>
      </c>
      <c r="AL134" s="5" t="s">
        <v>360</v>
      </c>
      <c r="AM134" s="5" t="s">
        <v>360</v>
      </c>
      <c r="AN134" s="5" t="s">
        <v>360</v>
      </c>
      <c r="AO134" s="5" t="s">
        <v>360</v>
      </c>
      <c r="AP134" s="43">
        <f t="shared" si="61"/>
        <v>1.0329754629917971</v>
      </c>
      <c r="AQ134" s="44">
        <v>973</v>
      </c>
      <c r="AR134" s="35">
        <f t="shared" si="54"/>
        <v>265.36363636363637</v>
      </c>
      <c r="AS134" s="35">
        <f t="shared" si="55"/>
        <v>274.10000000000002</v>
      </c>
      <c r="AT134" s="35">
        <f t="shared" si="56"/>
        <v>8.7363636363636488</v>
      </c>
      <c r="AU134" s="35">
        <v>103.4</v>
      </c>
      <c r="AV134" s="35">
        <v>85.1</v>
      </c>
      <c r="AW134" s="35"/>
      <c r="AX134" s="35">
        <f t="shared" si="57"/>
        <v>85.6</v>
      </c>
      <c r="AY134" s="35"/>
      <c r="AZ134" s="35">
        <f t="shared" si="58"/>
        <v>85.6</v>
      </c>
      <c r="BA134" s="35">
        <v>0</v>
      </c>
      <c r="BB134" s="35">
        <f t="shared" si="62"/>
        <v>85.6</v>
      </c>
      <c r="BC134" s="35"/>
      <c r="BD134" s="35">
        <f t="shared" si="59"/>
        <v>85.6</v>
      </c>
      <c r="BE134" s="35">
        <v>87.5</v>
      </c>
      <c r="BF134" s="35">
        <f t="shared" si="60"/>
        <v>-1.9</v>
      </c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10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10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10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10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10"/>
      <c r="HA134" s="9"/>
      <c r="HB134" s="9"/>
    </row>
    <row r="135" spans="1:210" s="2" customFormat="1" ht="17.149999999999999" customHeight="1">
      <c r="A135" s="14" t="s">
        <v>122</v>
      </c>
      <c r="B135" s="63">
        <v>1630</v>
      </c>
      <c r="C135" s="63">
        <v>1738.8</v>
      </c>
      <c r="D135" s="4">
        <f t="shared" si="50"/>
        <v>1.0667484662576687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412.7</v>
      </c>
      <c r="O135" s="35">
        <v>339.2</v>
      </c>
      <c r="P135" s="4">
        <f t="shared" si="51"/>
        <v>0.8219045311364187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82">
        <v>3600</v>
      </c>
      <c r="W135" s="82">
        <v>2670</v>
      </c>
      <c r="X135" s="4">
        <f t="shared" si="52"/>
        <v>0.7416666666666667</v>
      </c>
      <c r="Y135" s="5">
        <v>5</v>
      </c>
      <c r="Z135" s="5">
        <v>172</v>
      </c>
      <c r="AA135" s="5">
        <v>167</v>
      </c>
      <c r="AB135" s="4">
        <f t="shared" si="53"/>
        <v>0.97093023255813948</v>
      </c>
      <c r="AC135" s="5">
        <v>20</v>
      </c>
      <c r="AD135" s="5" t="s">
        <v>360</v>
      </c>
      <c r="AE135" s="5" t="s">
        <v>360</v>
      </c>
      <c r="AF135" s="5" t="s">
        <v>360</v>
      </c>
      <c r="AG135" s="5" t="s">
        <v>360</v>
      </c>
      <c r="AH135" s="5" t="s">
        <v>360</v>
      </c>
      <c r="AI135" s="5" t="s">
        <v>360</v>
      </c>
      <c r="AJ135" s="5" t="s">
        <v>360</v>
      </c>
      <c r="AK135" s="5" t="s">
        <v>360</v>
      </c>
      <c r="AL135" s="5" t="s">
        <v>360</v>
      </c>
      <c r="AM135" s="5" t="s">
        <v>360</v>
      </c>
      <c r="AN135" s="5" t="s">
        <v>360</v>
      </c>
      <c r="AO135" s="5" t="s">
        <v>360</v>
      </c>
      <c r="AP135" s="43">
        <f t="shared" si="61"/>
        <v>0.89797541877025677</v>
      </c>
      <c r="AQ135" s="44">
        <v>757</v>
      </c>
      <c r="AR135" s="35">
        <f t="shared" si="54"/>
        <v>206.45454545454544</v>
      </c>
      <c r="AS135" s="35">
        <f t="shared" si="55"/>
        <v>185.4</v>
      </c>
      <c r="AT135" s="35">
        <f t="shared" si="56"/>
        <v>-21.054545454545433</v>
      </c>
      <c r="AU135" s="35">
        <v>57.4</v>
      </c>
      <c r="AV135" s="35">
        <v>54.5</v>
      </c>
      <c r="AW135" s="35"/>
      <c r="AX135" s="35">
        <f t="shared" si="57"/>
        <v>73.5</v>
      </c>
      <c r="AY135" s="35"/>
      <c r="AZ135" s="35">
        <f t="shared" si="58"/>
        <v>73.5</v>
      </c>
      <c r="BA135" s="35">
        <v>0</v>
      </c>
      <c r="BB135" s="35">
        <f t="shared" si="62"/>
        <v>73.5</v>
      </c>
      <c r="BC135" s="35"/>
      <c r="BD135" s="35">
        <f t="shared" si="59"/>
        <v>73.5</v>
      </c>
      <c r="BE135" s="35">
        <v>77.099999999999994</v>
      </c>
      <c r="BF135" s="35">
        <f t="shared" si="60"/>
        <v>-3.6</v>
      </c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10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10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10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10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10"/>
      <c r="HA135" s="9"/>
      <c r="HB135" s="9"/>
    </row>
    <row r="136" spans="1:210" s="2" customFormat="1" ht="17.149999999999999" customHeight="1">
      <c r="A136" s="14" t="s">
        <v>123</v>
      </c>
      <c r="B136" s="63">
        <v>203</v>
      </c>
      <c r="C136" s="63">
        <v>199</v>
      </c>
      <c r="D136" s="4">
        <f t="shared" si="50"/>
        <v>0.98029556650246308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102</v>
      </c>
      <c r="O136" s="35">
        <v>184</v>
      </c>
      <c r="P136" s="4">
        <f t="shared" si="51"/>
        <v>1.260392156862745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82">
        <v>3600</v>
      </c>
      <c r="W136" s="82">
        <v>3294</v>
      </c>
      <c r="X136" s="4">
        <f t="shared" si="52"/>
        <v>0.91500000000000004</v>
      </c>
      <c r="Y136" s="5">
        <v>5</v>
      </c>
      <c r="Z136" s="5">
        <v>321</v>
      </c>
      <c r="AA136" s="5">
        <v>321</v>
      </c>
      <c r="AB136" s="4">
        <f t="shared" si="53"/>
        <v>1</v>
      </c>
      <c r="AC136" s="5">
        <v>20</v>
      </c>
      <c r="AD136" s="5" t="s">
        <v>360</v>
      </c>
      <c r="AE136" s="5" t="s">
        <v>360</v>
      </c>
      <c r="AF136" s="5" t="s">
        <v>360</v>
      </c>
      <c r="AG136" s="5" t="s">
        <v>360</v>
      </c>
      <c r="AH136" s="5" t="s">
        <v>360</v>
      </c>
      <c r="AI136" s="5" t="s">
        <v>360</v>
      </c>
      <c r="AJ136" s="5" t="s">
        <v>360</v>
      </c>
      <c r="AK136" s="5" t="s">
        <v>360</v>
      </c>
      <c r="AL136" s="5" t="s">
        <v>360</v>
      </c>
      <c r="AM136" s="5" t="s">
        <v>360</v>
      </c>
      <c r="AN136" s="5" t="s">
        <v>360</v>
      </c>
      <c r="AO136" s="5" t="s">
        <v>360</v>
      </c>
      <c r="AP136" s="43">
        <f t="shared" si="61"/>
        <v>1.0936864193953442</v>
      </c>
      <c r="AQ136" s="44">
        <v>1014</v>
      </c>
      <c r="AR136" s="35">
        <f t="shared" si="54"/>
        <v>276.54545454545456</v>
      </c>
      <c r="AS136" s="35">
        <f t="shared" si="55"/>
        <v>302.5</v>
      </c>
      <c r="AT136" s="35">
        <f t="shared" si="56"/>
        <v>25.954545454545439</v>
      </c>
      <c r="AU136" s="35">
        <v>114.2</v>
      </c>
      <c r="AV136" s="35">
        <v>77</v>
      </c>
      <c r="AW136" s="35"/>
      <c r="AX136" s="35">
        <f t="shared" si="57"/>
        <v>111.3</v>
      </c>
      <c r="AY136" s="35"/>
      <c r="AZ136" s="35">
        <f t="shared" si="58"/>
        <v>111.3</v>
      </c>
      <c r="BA136" s="35">
        <v>0</v>
      </c>
      <c r="BB136" s="35">
        <f t="shared" si="62"/>
        <v>111.3</v>
      </c>
      <c r="BC136" s="35"/>
      <c r="BD136" s="35">
        <f t="shared" si="59"/>
        <v>111.3</v>
      </c>
      <c r="BE136" s="35">
        <v>116.7</v>
      </c>
      <c r="BF136" s="35">
        <f t="shared" si="60"/>
        <v>-5.4</v>
      </c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10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10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10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10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10"/>
      <c r="HA136" s="9"/>
      <c r="HB136" s="9"/>
    </row>
    <row r="137" spans="1:210" s="2" customFormat="1" ht="17.149999999999999" customHeight="1">
      <c r="A137" s="14" t="s">
        <v>124</v>
      </c>
      <c r="B137" s="63">
        <v>314</v>
      </c>
      <c r="C137" s="63">
        <v>295.3</v>
      </c>
      <c r="D137" s="4">
        <f t="shared" si="50"/>
        <v>0.94044585987261153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318.5</v>
      </c>
      <c r="O137" s="35">
        <v>304.89999999999998</v>
      </c>
      <c r="P137" s="4">
        <f t="shared" si="51"/>
        <v>0.95729984301412863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82">
        <v>8700</v>
      </c>
      <c r="W137" s="82">
        <v>1979</v>
      </c>
      <c r="X137" s="4">
        <f t="shared" si="52"/>
        <v>0.22747126436781609</v>
      </c>
      <c r="Y137" s="5">
        <v>5</v>
      </c>
      <c r="Z137" s="5">
        <v>155</v>
      </c>
      <c r="AA137" s="5">
        <v>156</v>
      </c>
      <c r="AB137" s="4">
        <f t="shared" si="53"/>
        <v>1.0064516129032257</v>
      </c>
      <c r="AC137" s="5">
        <v>20</v>
      </c>
      <c r="AD137" s="5" t="s">
        <v>360</v>
      </c>
      <c r="AE137" s="5" t="s">
        <v>360</v>
      </c>
      <c r="AF137" s="5" t="s">
        <v>360</v>
      </c>
      <c r="AG137" s="5" t="s">
        <v>360</v>
      </c>
      <c r="AH137" s="5" t="s">
        <v>360</v>
      </c>
      <c r="AI137" s="5" t="s">
        <v>360</v>
      </c>
      <c r="AJ137" s="5" t="s">
        <v>360</v>
      </c>
      <c r="AK137" s="5" t="s">
        <v>360</v>
      </c>
      <c r="AL137" s="5" t="s">
        <v>360</v>
      </c>
      <c r="AM137" s="5" t="s">
        <v>360</v>
      </c>
      <c r="AN137" s="5" t="s">
        <v>360</v>
      </c>
      <c r="AO137" s="5" t="s">
        <v>360</v>
      </c>
      <c r="AP137" s="43">
        <f t="shared" si="61"/>
        <v>0.90229229479098449</v>
      </c>
      <c r="AQ137" s="44">
        <v>742</v>
      </c>
      <c r="AR137" s="35">
        <f t="shared" si="54"/>
        <v>202.36363636363637</v>
      </c>
      <c r="AS137" s="35">
        <f t="shared" si="55"/>
        <v>182.6</v>
      </c>
      <c r="AT137" s="35">
        <f t="shared" si="56"/>
        <v>-19.76363636363638</v>
      </c>
      <c r="AU137" s="35">
        <v>53.2</v>
      </c>
      <c r="AV137" s="35">
        <v>25.2</v>
      </c>
      <c r="AW137" s="35"/>
      <c r="AX137" s="35">
        <f t="shared" si="57"/>
        <v>104.2</v>
      </c>
      <c r="AY137" s="35"/>
      <c r="AZ137" s="35">
        <f t="shared" si="58"/>
        <v>104.2</v>
      </c>
      <c r="BA137" s="35">
        <v>0</v>
      </c>
      <c r="BB137" s="35">
        <f t="shared" si="62"/>
        <v>104.2</v>
      </c>
      <c r="BC137" s="35"/>
      <c r="BD137" s="35">
        <f t="shared" si="59"/>
        <v>104.2</v>
      </c>
      <c r="BE137" s="35">
        <v>119.4</v>
      </c>
      <c r="BF137" s="35">
        <f t="shared" si="60"/>
        <v>-15.2</v>
      </c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10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10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10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10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10"/>
      <c r="HA137" s="9"/>
      <c r="HB137" s="9"/>
    </row>
    <row r="138" spans="1:210" s="2" customFormat="1" ht="17.149999999999999" customHeight="1">
      <c r="A138" s="18" t="s">
        <v>125</v>
      </c>
      <c r="B138" s="59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83"/>
      <c r="W138" s="83"/>
      <c r="X138" s="11"/>
      <c r="Y138" s="11"/>
      <c r="Z138" s="11"/>
      <c r="AA138" s="11"/>
      <c r="AB138" s="11"/>
      <c r="AC138" s="11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35"/>
      <c r="BB138" s="35"/>
      <c r="BC138" s="35"/>
      <c r="BD138" s="35"/>
      <c r="BE138" s="35"/>
      <c r="BF138" s="35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10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10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10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10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10"/>
      <c r="HA138" s="9"/>
      <c r="HB138" s="9"/>
    </row>
    <row r="139" spans="1:210" s="2" customFormat="1" ht="17.149999999999999" customHeight="1">
      <c r="A139" s="14" t="s">
        <v>126</v>
      </c>
      <c r="B139" s="63">
        <v>6052</v>
      </c>
      <c r="C139" s="63">
        <v>5689</v>
      </c>
      <c r="D139" s="4">
        <f t="shared" si="50"/>
        <v>0.94001982815598151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883.9</v>
      </c>
      <c r="O139" s="35">
        <v>787.4</v>
      </c>
      <c r="P139" s="4">
        <f t="shared" si="51"/>
        <v>0.89082475393144023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63">
        <v>9769.7999999999993</v>
      </c>
      <c r="W139" s="82">
        <v>9349</v>
      </c>
      <c r="X139" s="4">
        <f t="shared" si="52"/>
        <v>0.95692849393027501</v>
      </c>
      <c r="Y139" s="5">
        <v>5</v>
      </c>
      <c r="Z139" s="5">
        <v>981</v>
      </c>
      <c r="AA139" s="5">
        <v>981</v>
      </c>
      <c r="AB139" s="4">
        <f t="shared" si="53"/>
        <v>1</v>
      </c>
      <c r="AC139" s="5">
        <v>20</v>
      </c>
      <c r="AD139" s="5" t="s">
        <v>360</v>
      </c>
      <c r="AE139" s="5" t="s">
        <v>360</v>
      </c>
      <c r="AF139" s="5" t="s">
        <v>360</v>
      </c>
      <c r="AG139" s="5" t="s">
        <v>360</v>
      </c>
      <c r="AH139" s="5" t="s">
        <v>360</v>
      </c>
      <c r="AI139" s="5" t="s">
        <v>360</v>
      </c>
      <c r="AJ139" s="5" t="s">
        <v>360</v>
      </c>
      <c r="AK139" s="5" t="s">
        <v>360</v>
      </c>
      <c r="AL139" s="5" t="s">
        <v>360</v>
      </c>
      <c r="AM139" s="5" t="s">
        <v>360</v>
      </c>
      <c r="AN139" s="5" t="s">
        <v>360</v>
      </c>
      <c r="AO139" s="5" t="s">
        <v>360</v>
      </c>
      <c r="AP139" s="43">
        <f t="shared" si="61"/>
        <v>0.94602473378120178</v>
      </c>
      <c r="AQ139" s="44">
        <v>1035</v>
      </c>
      <c r="AR139" s="35">
        <f t="shared" si="54"/>
        <v>282.27272727272725</v>
      </c>
      <c r="AS139" s="35">
        <f t="shared" si="55"/>
        <v>267</v>
      </c>
      <c r="AT139" s="35">
        <f t="shared" si="56"/>
        <v>-15.272727272727252</v>
      </c>
      <c r="AU139" s="35">
        <v>115.7</v>
      </c>
      <c r="AV139" s="35">
        <v>110.2</v>
      </c>
      <c r="AW139" s="35"/>
      <c r="AX139" s="35">
        <f t="shared" si="57"/>
        <v>41.1</v>
      </c>
      <c r="AY139" s="35"/>
      <c r="AZ139" s="35">
        <f t="shared" si="58"/>
        <v>41.1</v>
      </c>
      <c r="BA139" s="35">
        <v>0</v>
      </c>
      <c r="BB139" s="35">
        <f t="shared" si="62"/>
        <v>41.1</v>
      </c>
      <c r="BC139" s="35"/>
      <c r="BD139" s="35">
        <f t="shared" si="59"/>
        <v>41.1</v>
      </c>
      <c r="BE139" s="35">
        <v>40.799999999999997</v>
      </c>
      <c r="BF139" s="35">
        <f t="shared" si="60"/>
        <v>0.3</v>
      </c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10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10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10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10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10"/>
      <c r="HA139" s="9"/>
      <c r="HB139" s="9"/>
    </row>
    <row r="140" spans="1:210" s="2" customFormat="1" ht="17.149999999999999" customHeight="1">
      <c r="A140" s="14" t="s">
        <v>127</v>
      </c>
      <c r="B140" s="63">
        <v>0</v>
      </c>
      <c r="C140" s="63">
        <v>0</v>
      </c>
      <c r="D140" s="4">
        <f t="shared" si="50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212.9</v>
      </c>
      <c r="O140" s="35">
        <v>162.80000000000001</v>
      </c>
      <c r="P140" s="4">
        <f t="shared" si="51"/>
        <v>0.76467825270079848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63">
        <v>4559.2</v>
      </c>
      <c r="W140" s="82">
        <v>2579</v>
      </c>
      <c r="X140" s="4">
        <f t="shared" si="52"/>
        <v>0.56566941568696261</v>
      </c>
      <c r="Y140" s="5">
        <v>5</v>
      </c>
      <c r="Z140" s="5">
        <v>495</v>
      </c>
      <c r="AA140" s="5">
        <v>503</v>
      </c>
      <c r="AB140" s="4">
        <f t="shared" si="53"/>
        <v>1.0161616161616163</v>
      </c>
      <c r="AC140" s="5">
        <v>20</v>
      </c>
      <c r="AD140" s="5" t="s">
        <v>360</v>
      </c>
      <c r="AE140" s="5" t="s">
        <v>360</v>
      </c>
      <c r="AF140" s="5" t="s">
        <v>360</v>
      </c>
      <c r="AG140" s="5" t="s">
        <v>360</v>
      </c>
      <c r="AH140" s="5" t="s">
        <v>360</v>
      </c>
      <c r="AI140" s="5" t="s">
        <v>360</v>
      </c>
      <c r="AJ140" s="5" t="s">
        <v>360</v>
      </c>
      <c r="AK140" s="5" t="s">
        <v>360</v>
      </c>
      <c r="AL140" s="5" t="s">
        <v>360</v>
      </c>
      <c r="AM140" s="5" t="s">
        <v>360</v>
      </c>
      <c r="AN140" s="5" t="s">
        <v>360</v>
      </c>
      <c r="AO140" s="5" t="s">
        <v>360</v>
      </c>
      <c r="AP140" s="43">
        <f t="shared" si="61"/>
        <v>0.85433654345962462</v>
      </c>
      <c r="AQ140" s="44">
        <v>1358</v>
      </c>
      <c r="AR140" s="35">
        <f t="shared" si="54"/>
        <v>370.36363636363637</v>
      </c>
      <c r="AS140" s="35">
        <f t="shared" si="55"/>
        <v>316.39999999999998</v>
      </c>
      <c r="AT140" s="35">
        <f t="shared" si="56"/>
        <v>-53.963636363636397</v>
      </c>
      <c r="AU140" s="35">
        <v>46.9</v>
      </c>
      <c r="AV140" s="35">
        <v>121.5</v>
      </c>
      <c r="AW140" s="35"/>
      <c r="AX140" s="35">
        <f t="shared" si="57"/>
        <v>148</v>
      </c>
      <c r="AY140" s="35"/>
      <c r="AZ140" s="35">
        <f t="shared" si="58"/>
        <v>148</v>
      </c>
      <c r="BA140" s="35">
        <v>0</v>
      </c>
      <c r="BB140" s="35">
        <f t="shared" si="62"/>
        <v>148</v>
      </c>
      <c r="BC140" s="35"/>
      <c r="BD140" s="35">
        <f t="shared" si="59"/>
        <v>148</v>
      </c>
      <c r="BE140" s="35">
        <v>161.4</v>
      </c>
      <c r="BF140" s="35">
        <f t="shared" si="60"/>
        <v>-13.4</v>
      </c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10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10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10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10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10"/>
      <c r="HA140" s="9"/>
      <c r="HB140" s="9"/>
    </row>
    <row r="141" spans="1:210" s="2" customFormat="1" ht="17.149999999999999" customHeight="1">
      <c r="A141" s="14" t="s">
        <v>128</v>
      </c>
      <c r="B141" s="63">
        <v>16375</v>
      </c>
      <c r="C141" s="63">
        <v>16607.7</v>
      </c>
      <c r="D141" s="4">
        <f t="shared" si="50"/>
        <v>1.0142106870229008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1681.3</v>
      </c>
      <c r="O141" s="35">
        <v>1221.2</v>
      </c>
      <c r="P141" s="4">
        <f t="shared" si="51"/>
        <v>0.72634271099744252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63">
        <v>95483.5</v>
      </c>
      <c r="W141" s="82">
        <v>105981</v>
      </c>
      <c r="X141" s="4">
        <f t="shared" si="52"/>
        <v>1.1099404609173313</v>
      </c>
      <c r="Y141" s="5">
        <v>5</v>
      </c>
      <c r="Z141" s="5">
        <v>548</v>
      </c>
      <c r="AA141" s="5">
        <v>572</v>
      </c>
      <c r="AB141" s="4">
        <f t="shared" si="53"/>
        <v>1.0437956204379562</v>
      </c>
      <c r="AC141" s="5">
        <v>20</v>
      </c>
      <c r="AD141" s="5" t="s">
        <v>360</v>
      </c>
      <c r="AE141" s="5" t="s">
        <v>360</v>
      </c>
      <c r="AF141" s="5" t="s">
        <v>360</v>
      </c>
      <c r="AG141" s="5" t="s">
        <v>360</v>
      </c>
      <c r="AH141" s="5" t="s">
        <v>360</v>
      </c>
      <c r="AI141" s="5" t="s">
        <v>360</v>
      </c>
      <c r="AJ141" s="5" t="s">
        <v>360</v>
      </c>
      <c r="AK141" s="5" t="s">
        <v>360</v>
      </c>
      <c r="AL141" s="5" t="s">
        <v>360</v>
      </c>
      <c r="AM141" s="5" t="s">
        <v>360</v>
      </c>
      <c r="AN141" s="5" t="s">
        <v>360</v>
      </c>
      <c r="AO141" s="5" t="s">
        <v>360</v>
      </c>
      <c r="AP141" s="43">
        <f t="shared" si="61"/>
        <v>0.92047044736818262</v>
      </c>
      <c r="AQ141" s="44">
        <v>1661</v>
      </c>
      <c r="AR141" s="35">
        <f t="shared" si="54"/>
        <v>453</v>
      </c>
      <c r="AS141" s="35">
        <f t="shared" si="55"/>
        <v>417</v>
      </c>
      <c r="AT141" s="35">
        <f t="shared" si="56"/>
        <v>-36</v>
      </c>
      <c r="AU141" s="35">
        <v>97.5</v>
      </c>
      <c r="AV141" s="35">
        <v>118.5</v>
      </c>
      <c r="AW141" s="35"/>
      <c r="AX141" s="35">
        <f t="shared" si="57"/>
        <v>201</v>
      </c>
      <c r="AY141" s="35"/>
      <c r="AZ141" s="35">
        <f t="shared" si="58"/>
        <v>201</v>
      </c>
      <c r="BA141" s="35">
        <v>0</v>
      </c>
      <c r="BB141" s="35">
        <f t="shared" si="62"/>
        <v>201</v>
      </c>
      <c r="BC141" s="35"/>
      <c r="BD141" s="35">
        <f t="shared" si="59"/>
        <v>201</v>
      </c>
      <c r="BE141" s="35">
        <v>191.4</v>
      </c>
      <c r="BF141" s="35">
        <f t="shared" si="60"/>
        <v>9.6</v>
      </c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10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10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10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10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10"/>
      <c r="HA141" s="9"/>
      <c r="HB141" s="9"/>
    </row>
    <row r="142" spans="1:210" s="2" customFormat="1" ht="17.149999999999999" customHeight="1">
      <c r="A142" s="14" t="s">
        <v>129</v>
      </c>
      <c r="B142" s="63">
        <v>0</v>
      </c>
      <c r="C142" s="63">
        <v>0</v>
      </c>
      <c r="D142" s="4">
        <f t="shared" si="50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971.9</v>
      </c>
      <c r="O142" s="35">
        <v>676.6</v>
      </c>
      <c r="P142" s="4">
        <f t="shared" si="51"/>
        <v>0.69616215660047331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63">
        <v>2605.3000000000002</v>
      </c>
      <c r="W142" s="82">
        <v>2446</v>
      </c>
      <c r="X142" s="4">
        <f t="shared" si="52"/>
        <v>0.93885541012551332</v>
      </c>
      <c r="Y142" s="5">
        <v>5</v>
      </c>
      <c r="Z142" s="5">
        <v>400</v>
      </c>
      <c r="AA142" s="5">
        <v>400</v>
      </c>
      <c r="AB142" s="4">
        <f t="shared" si="53"/>
        <v>1</v>
      </c>
      <c r="AC142" s="5">
        <v>20</v>
      </c>
      <c r="AD142" s="5" t="s">
        <v>360</v>
      </c>
      <c r="AE142" s="5" t="s">
        <v>360</v>
      </c>
      <c r="AF142" s="5" t="s">
        <v>360</v>
      </c>
      <c r="AG142" s="5" t="s">
        <v>360</v>
      </c>
      <c r="AH142" s="5" t="s">
        <v>360</v>
      </c>
      <c r="AI142" s="5" t="s">
        <v>360</v>
      </c>
      <c r="AJ142" s="5" t="s">
        <v>360</v>
      </c>
      <c r="AK142" s="5" t="s">
        <v>360</v>
      </c>
      <c r="AL142" s="5" t="s">
        <v>360</v>
      </c>
      <c r="AM142" s="5" t="s">
        <v>360</v>
      </c>
      <c r="AN142" s="5" t="s">
        <v>360</v>
      </c>
      <c r="AO142" s="5" t="s">
        <v>360</v>
      </c>
      <c r="AP142" s="43">
        <f t="shared" si="61"/>
        <v>0.85816711516971189</v>
      </c>
      <c r="AQ142" s="44">
        <v>1347</v>
      </c>
      <c r="AR142" s="35">
        <f t="shared" si="54"/>
        <v>367.36363636363637</v>
      </c>
      <c r="AS142" s="35">
        <f t="shared" si="55"/>
        <v>315.3</v>
      </c>
      <c r="AT142" s="35">
        <f t="shared" si="56"/>
        <v>-52.063636363636363</v>
      </c>
      <c r="AU142" s="35">
        <v>159.19999999999999</v>
      </c>
      <c r="AV142" s="35">
        <v>130.69999999999999</v>
      </c>
      <c r="AW142" s="35"/>
      <c r="AX142" s="35">
        <f t="shared" si="57"/>
        <v>25.4</v>
      </c>
      <c r="AY142" s="35"/>
      <c r="AZ142" s="35">
        <f t="shared" si="58"/>
        <v>25.4</v>
      </c>
      <c r="BA142" s="35">
        <v>0</v>
      </c>
      <c r="BB142" s="35">
        <f t="shared" si="62"/>
        <v>25.4</v>
      </c>
      <c r="BC142" s="35"/>
      <c r="BD142" s="35">
        <f t="shared" si="59"/>
        <v>25.4</v>
      </c>
      <c r="BE142" s="35">
        <v>21.7</v>
      </c>
      <c r="BF142" s="35">
        <f t="shared" si="60"/>
        <v>3.7</v>
      </c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10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10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10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10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10"/>
      <c r="HA142" s="9"/>
      <c r="HB142" s="9"/>
    </row>
    <row r="143" spans="1:210" s="2" customFormat="1" ht="17.149999999999999" customHeight="1">
      <c r="A143" s="14" t="s">
        <v>130</v>
      </c>
      <c r="B143" s="63">
        <v>0</v>
      </c>
      <c r="C143" s="63">
        <v>0</v>
      </c>
      <c r="D143" s="4">
        <f t="shared" si="50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103.8</v>
      </c>
      <c r="O143" s="35">
        <v>111.1</v>
      </c>
      <c r="P143" s="4">
        <f t="shared" si="51"/>
        <v>1.0703275529865126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63">
        <v>3386.9</v>
      </c>
      <c r="W143" s="82">
        <v>2848</v>
      </c>
      <c r="X143" s="4">
        <f t="shared" si="52"/>
        <v>0.8408869467654787</v>
      </c>
      <c r="Y143" s="5">
        <v>5</v>
      </c>
      <c r="Z143" s="5">
        <v>345</v>
      </c>
      <c r="AA143" s="5">
        <v>367</v>
      </c>
      <c r="AB143" s="4">
        <f t="shared" si="53"/>
        <v>1.0637681159420289</v>
      </c>
      <c r="AC143" s="5">
        <v>20</v>
      </c>
      <c r="AD143" s="5" t="s">
        <v>360</v>
      </c>
      <c r="AE143" s="5" t="s">
        <v>360</v>
      </c>
      <c r="AF143" s="5" t="s">
        <v>360</v>
      </c>
      <c r="AG143" s="5" t="s">
        <v>360</v>
      </c>
      <c r="AH143" s="5" t="s">
        <v>360</v>
      </c>
      <c r="AI143" s="5" t="s">
        <v>360</v>
      </c>
      <c r="AJ143" s="5" t="s">
        <v>360</v>
      </c>
      <c r="AK143" s="5" t="s">
        <v>360</v>
      </c>
      <c r="AL143" s="5" t="s">
        <v>360</v>
      </c>
      <c r="AM143" s="5" t="s">
        <v>360</v>
      </c>
      <c r="AN143" s="5" t="s">
        <v>360</v>
      </c>
      <c r="AO143" s="5" t="s">
        <v>360</v>
      </c>
      <c r="AP143" s="43">
        <f t="shared" si="61"/>
        <v>1.0419188469421827</v>
      </c>
      <c r="AQ143" s="44">
        <v>1968</v>
      </c>
      <c r="AR143" s="35">
        <f t="shared" si="54"/>
        <v>536.72727272727275</v>
      </c>
      <c r="AS143" s="35">
        <f t="shared" si="55"/>
        <v>559.20000000000005</v>
      </c>
      <c r="AT143" s="35">
        <f t="shared" si="56"/>
        <v>22.472727272727298</v>
      </c>
      <c r="AU143" s="35">
        <v>221.5</v>
      </c>
      <c r="AV143" s="35">
        <v>166</v>
      </c>
      <c r="AW143" s="35"/>
      <c r="AX143" s="35">
        <f t="shared" si="57"/>
        <v>171.7</v>
      </c>
      <c r="AY143" s="35"/>
      <c r="AZ143" s="35">
        <f t="shared" si="58"/>
        <v>171.7</v>
      </c>
      <c r="BA143" s="35">
        <v>0</v>
      </c>
      <c r="BB143" s="35">
        <f t="shared" si="62"/>
        <v>171.7</v>
      </c>
      <c r="BC143" s="35"/>
      <c r="BD143" s="35">
        <f t="shared" si="59"/>
        <v>171.7</v>
      </c>
      <c r="BE143" s="35">
        <v>185.2</v>
      </c>
      <c r="BF143" s="35">
        <f t="shared" si="60"/>
        <v>-13.5</v>
      </c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10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10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10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10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10"/>
      <c r="HA143" s="9"/>
      <c r="HB143" s="9"/>
    </row>
    <row r="144" spans="1:210" s="2" customFormat="1" ht="17.149999999999999" customHeight="1">
      <c r="A144" s="14" t="s">
        <v>131</v>
      </c>
      <c r="B144" s="63">
        <v>1315</v>
      </c>
      <c r="C144" s="63">
        <v>1918</v>
      </c>
      <c r="D144" s="4">
        <f t="shared" si="50"/>
        <v>1.2258555133079847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813.8</v>
      </c>
      <c r="O144" s="35">
        <v>774</v>
      </c>
      <c r="P144" s="4">
        <f t="shared" si="51"/>
        <v>0.9510936347997051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63">
        <v>6252.7</v>
      </c>
      <c r="W144" s="82">
        <v>6211</v>
      </c>
      <c r="X144" s="4">
        <f t="shared" si="52"/>
        <v>0.99333088105938239</v>
      </c>
      <c r="Y144" s="5">
        <v>5</v>
      </c>
      <c r="Z144" s="5">
        <v>803</v>
      </c>
      <c r="AA144" s="5">
        <v>803</v>
      </c>
      <c r="AB144" s="4">
        <f t="shared" si="53"/>
        <v>1</v>
      </c>
      <c r="AC144" s="5">
        <v>20</v>
      </c>
      <c r="AD144" s="5" t="s">
        <v>360</v>
      </c>
      <c r="AE144" s="5" t="s">
        <v>360</v>
      </c>
      <c r="AF144" s="5" t="s">
        <v>360</v>
      </c>
      <c r="AG144" s="5" t="s">
        <v>360</v>
      </c>
      <c r="AH144" s="5" t="s">
        <v>360</v>
      </c>
      <c r="AI144" s="5" t="s">
        <v>360</v>
      </c>
      <c r="AJ144" s="5" t="s">
        <v>360</v>
      </c>
      <c r="AK144" s="5" t="s">
        <v>360</v>
      </c>
      <c r="AL144" s="5" t="s">
        <v>360</v>
      </c>
      <c r="AM144" s="5" t="s">
        <v>360</v>
      </c>
      <c r="AN144" s="5" t="s">
        <v>360</v>
      </c>
      <c r="AO144" s="5" t="s">
        <v>360</v>
      </c>
      <c r="AP144" s="43">
        <f t="shared" si="61"/>
        <v>1.0023560933566187</v>
      </c>
      <c r="AQ144" s="44">
        <v>782</v>
      </c>
      <c r="AR144" s="35">
        <f t="shared" si="54"/>
        <v>213.27272727272728</v>
      </c>
      <c r="AS144" s="35">
        <f t="shared" si="55"/>
        <v>213.8</v>
      </c>
      <c r="AT144" s="35">
        <f t="shared" si="56"/>
        <v>0.52727272727273089</v>
      </c>
      <c r="AU144" s="35">
        <v>86.9</v>
      </c>
      <c r="AV144" s="35">
        <v>68.7</v>
      </c>
      <c r="AW144" s="35"/>
      <c r="AX144" s="35">
        <f t="shared" si="57"/>
        <v>58.2</v>
      </c>
      <c r="AY144" s="35"/>
      <c r="AZ144" s="35">
        <f t="shared" si="58"/>
        <v>58.2</v>
      </c>
      <c r="BA144" s="35">
        <v>0</v>
      </c>
      <c r="BB144" s="35">
        <f t="shared" si="62"/>
        <v>58.2</v>
      </c>
      <c r="BC144" s="35"/>
      <c r="BD144" s="35">
        <f t="shared" si="59"/>
        <v>58.2</v>
      </c>
      <c r="BE144" s="35">
        <v>58.4</v>
      </c>
      <c r="BF144" s="35">
        <f t="shared" si="60"/>
        <v>-0.2</v>
      </c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10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10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10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10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10"/>
      <c r="HA144" s="9"/>
      <c r="HB144" s="9"/>
    </row>
    <row r="145" spans="1:210" s="2" customFormat="1" ht="17.149999999999999" customHeight="1">
      <c r="A145" s="14" t="s">
        <v>132</v>
      </c>
      <c r="B145" s="63">
        <v>0</v>
      </c>
      <c r="C145" s="63">
        <v>0</v>
      </c>
      <c r="D145" s="4">
        <f t="shared" si="50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1165.4000000000001</v>
      </c>
      <c r="O145" s="35">
        <v>1055.5</v>
      </c>
      <c r="P145" s="4">
        <f t="shared" si="51"/>
        <v>0.90569761455294318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63">
        <v>4559.2</v>
      </c>
      <c r="W145" s="82">
        <v>4216</v>
      </c>
      <c r="X145" s="4">
        <f t="shared" si="52"/>
        <v>0.92472363572556593</v>
      </c>
      <c r="Y145" s="5">
        <v>5</v>
      </c>
      <c r="Z145" s="5">
        <v>1311</v>
      </c>
      <c r="AA145" s="5">
        <v>1283</v>
      </c>
      <c r="AB145" s="4">
        <f t="shared" si="53"/>
        <v>0.97864225781845915</v>
      </c>
      <c r="AC145" s="5">
        <v>20</v>
      </c>
      <c r="AD145" s="5" t="s">
        <v>360</v>
      </c>
      <c r="AE145" s="5" t="s">
        <v>360</v>
      </c>
      <c r="AF145" s="5" t="s">
        <v>360</v>
      </c>
      <c r="AG145" s="5" t="s">
        <v>360</v>
      </c>
      <c r="AH145" s="5" t="s">
        <v>360</v>
      </c>
      <c r="AI145" s="5" t="s">
        <v>360</v>
      </c>
      <c r="AJ145" s="5" t="s">
        <v>360</v>
      </c>
      <c r="AK145" s="5" t="s">
        <v>360</v>
      </c>
      <c r="AL145" s="5" t="s">
        <v>360</v>
      </c>
      <c r="AM145" s="5" t="s">
        <v>360</v>
      </c>
      <c r="AN145" s="5" t="s">
        <v>360</v>
      </c>
      <c r="AO145" s="5" t="s">
        <v>360</v>
      </c>
      <c r="AP145" s="43">
        <f t="shared" si="61"/>
        <v>0.94023145835679733</v>
      </c>
      <c r="AQ145" s="44">
        <v>1323</v>
      </c>
      <c r="AR145" s="35">
        <f t="shared" si="54"/>
        <v>360.81818181818181</v>
      </c>
      <c r="AS145" s="35">
        <f t="shared" si="55"/>
        <v>339.3</v>
      </c>
      <c r="AT145" s="35">
        <f t="shared" si="56"/>
        <v>-21.518181818181802</v>
      </c>
      <c r="AU145" s="35">
        <v>109.3</v>
      </c>
      <c r="AV145" s="35">
        <v>144.4</v>
      </c>
      <c r="AW145" s="35"/>
      <c r="AX145" s="35">
        <f t="shared" si="57"/>
        <v>85.6</v>
      </c>
      <c r="AY145" s="35"/>
      <c r="AZ145" s="35">
        <f t="shared" si="58"/>
        <v>85.6</v>
      </c>
      <c r="BA145" s="35">
        <v>0</v>
      </c>
      <c r="BB145" s="35">
        <f t="shared" si="62"/>
        <v>85.6</v>
      </c>
      <c r="BC145" s="35"/>
      <c r="BD145" s="35">
        <f t="shared" si="59"/>
        <v>85.6</v>
      </c>
      <c r="BE145" s="35">
        <v>86.3</v>
      </c>
      <c r="BF145" s="35">
        <f t="shared" si="60"/>
        <v>-0.7</v>
      </c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10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10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10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10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10"/>
      <c r="HA145" s="9"/>
      <c r="HB145" s="9"/>
    </row>
    <row r="146" spans="1:210" s="2" customFormat="1" ht="17.149999999999999" customHeight="1">
      <c r="A146" s="14" t="s">
        <v>133</v>
      </c>
      <c r="B146" s="63">
        <v>0</v>
      </c>
      <c r="C146" s="63">
        <v>0</v>
      </c>
      <c r="D146" s="4">
        <f t="shared" si="50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485.5</v>
      </c>
      <c r="O146" s="35">
        <v>500.7</v>
      </c>
      <c r="P146" s="4">
        <f t="shared" si="51"/>
        <v>1.0313079299691039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63">
        <v>3647.4</v>
      </c>
      <c r="W146" s="82">
        <v>3408</v>
      </c>
      <c r="X146" s="4">
        <f t="shared" si="52"/>
        <v>0.93436420463892089</v>
      </c>
      <c r="Y146" s="5">
        <v>5</v>
      </c>
      <c r="Z146" s="5">
        <v>111</v>
      </c>
      <c r="AA146" s="5">
        <v>113</v>
      </c>
      <c r="AB146" s="4">
        <f t="shared" si="53"/>
        <v>1.0180180180180181</v>
      </c>
      <c r="AC146" s="5">
        <v>20</v>
      </c>
      <c r="AD146" s="5" t="s">
        <v>360</v>
      </c>
      <c r="AE146" s="5" t="s">
        <v>360</v>
      </c>
      <c r="AF146" s="5" t="s">
        <v>360</v>
      </c>
      <c r="AG146" s="5" t="s">
        <v>360</v>
      </c>
      <c r="AH146" s="5" t="s">
        <v>360</v>
      </c>
      <c r="AI146" s="5" t="s">
        <v>360</v>
      </c>
      <c r="AJ146" s="5" t="s">
        <v>360</v>
      </c>
      <c r="AK146" s="5" t="s">
        <v>360</v>
      </c>
      <c r="AL146" s="5" t="s">
        <v>360</v>
      </c>
      <c r="AM146" s="5" t="s">
        <v>360</v>
      </c>
      <c r="AN146" s="5" t="s">
        <v>360</v>
      </c>
      <c r="AO146" s="5" t="s">
        <v>360</v>
      </c>
      <c r="AP146" s="43">
        <f t="shared" si="61"/>
        <v>1.0146297773986011</v>
      </c>
      <c r="AQ146" s="44">
        <v>1077</v>
      </c>
      <c r="AR146" s="35">
        <f t="shared" si="54"/>
        <v>293.72727272727275</v>
      </c>
      <c r="AS146" s="35">
        <f t="shared" si="55"/>
        <v>298</v>
      </c>
      <c r="AT146" s="35">
        <f t="shared" si="56"/>
        <v>4.2727272727272521</v>
      </c>
      <c r="AU146" s="35">
        <v>119</v>
      </c>
      <c r="AV146" s="35">
        <v>89.7</v>
      </c>
      <c r="AW146" s="35"/>
      <c r="AX146" s="35">
        <f t="shared" si="57"/>
        <v>89.3</v>
      </c>
      <c r="AY146" s="35"/>
      <c r="AZ146" s="35">
        <f t="shared" si="58"/>
        <v>89.3</v>
      </c>
      <c r="BA146" s="35">
        <v>0</v>
      </c>
      <c r="BB146" s="35">
        <f t="shared" si="62"/>
        <v>89.3</v>
      </c>
      <c r="BC146" s="35"/>
      <c r="BD146" s="35">
        <f t="shared" si="59"/>
        <v>89.3</v>
      </c>
      <c r="BE146" s="35">
        <v>92.3</v>
      </c>
      <c r="BF146" s="35">
        <f t="shared" si="60"/>
        <v>-3</v>
      </c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10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10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10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10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10"/>
      <c r="HA146" s="9"/>
      <c r="HB146" s="9"/>
    </row>
    <row r="147" spans="1:210" s="2" customFormat="1" ht="17.149999999999999" customHeight="1">
      <c r="A147" s="18" t="s">
        <v>134</v>
      </c>
      <c r="B147" s="5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83"/>
      <c r="W147" s="83"/>
      <c r="X147" s="11"/>
      <c r="Y147" s="11"/>
      <c r="Z147" s="11"/>
      <c r="AA147" s="11"/>
      <c r="AB147" s="11"/>
      <c r="AC147" s="1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35"/>
      <c r="BB147" s="35"/>
      <c r="BC147" s="35"/>
      <c r="BD147" s="35"/>
      <c r="BE147" s="35"/>
      <c r="BF147" s="35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10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10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10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10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10"/>
      <c r="HA147" s="9"/>
      <c r="HB147" s="9"/>
    </row>
    <row r="148" spans="1:210" s="2" customFormat="1" ht="17.149999999999999" customHeight="1">
      <c r="A148" s="14" t="s">
        <v>135</v>
      </c>
      <c r="B148" s="63">
        <v>0</v>
      </c>
      <c r="C148" s="63">
        <v>0</v>
      </c>
      <c r="D148" s="4">
        <f t="shared" si="50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219.1</v>
      </c>
      <c r="O148" s="35">
        <v>141.69999999999999</v>
      </c>
      <c r="P148" s="4">
        <f t="shared" si="51"/>
        <v>0.64673664993153812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82">
        <v>4560</v>
      </c>
      <c r="W148" s="82">
        <v>4381</v>
      </c>
      <c r="X148" s="4">
        <f t="shared" si="52"/>
        <v>0.96074561403508774</v>
      </c>
      <c r="Y148" s="5">
        <v>5</v>
      </c>
      <c r="Z148" s="5">
        <v>90</v>
      </c>
      <c r="AA148" s="5">
        <v>90</v>
      </c>
      <c r="AB148" s="4">
        <f t="shared" si="53"/>
        <v>1</v>
      </c>
      <c r="AC148" s="5">
        <v>20</v>
      </c>
      <c r="AD148" s="5" t="s">
        <v>360</v>
      </c>
      <c r="AE148" s="5" t="s">
        <v>360</v>
      </c>
      <c r="AF148" s="5" t="s">
        <v>360</v>
      </c>
      <c r="AG148" s="5" t="s">
        <v>360</v>
      </c>
      <c r="AH148" s="5" t="s">
        <v>360</v>
      </c>
      <c r="AI148" s="5" t="s">
        <v>360</v>
      </c>
      <c r="AJ148" s="5" t="s">
        <v>360</v>
      </c>
      <c r="AK148" s="5" t="s">
        <v>360</v>
      </c>
      <c r="AL148" s="5" t="s">
        <v>360</v>
      </c>
      <c r="AM148" s="5" t="s">
        <v>360</v>
      </c>
      <c r="AN148" s="5" t="s">
        <v>360</v>
      </c>
      <c r="AO148" s="5" t="s">
        <v>360</v>
      </c>
      <c r="AP148" s="43">
        <f t="shared" si="61"/>
        <v>0.83863246819569337</v>
      </c>
      <c r="AQ148" s="44">
        <v>853</v>
      </c>
      <c r="AR148" s="35">
        <f t="shared" si="54"/>
        <v>232.63636363636363</v>
      </c>
      <c r="AS148" s="35">
        <f t="shared" si="55"/>
        <v>195.1</v>
      </c>
      <c r="AT148" s="35">
        <f t="shared" si="56"/>
        <v>-37.536363636363632</v>
      </c>
      <c r="AU148" s="35">
        <v>100.8</v>
      </c>
      <c r="AV148" s="35">
        <v>100.8</v>
      </c>
      <c r="AW148" s="35"/>
      <c r="AX148" s="35">
        <f t="shared" si="57"/>
        <v>-6.5</v>
      </c>
      <c r="AY148" s="35"/>
      <c r="AZ148" s="35">
        <f t="shared" si="58"/>
        <v>0</v>
      </c>
      <c r="BA148" s="35">
        <v>0</v>
      </c>
      <c r="BB148" s="35">
        <f t="shared" si="62"/>
        <v>0</v>
      </c>
      <c r="BC148" s="35"/>
      <c r="BD148" s="35">
        <f t="shared" si="59"/>
        <v>0</v>
      </c>
      <c r="BE148" s="35">
        <v>0</v>
      </c>
      <c r="BF148" s="35">
        <f t="shared" si="60"/>
        <v>0</v>
      </c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10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10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10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10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10"/>
      <c r="HA148" s="9"/>
      <c r="HB148" s="9"/>
    </row>
    <row r="149" spans="1:210" s="2" customFormat="1" ht="17.149999999999999" customHeight="1">
      <c r="A149" s="14" t="s">
        <v>136</v>
      </c>
      <c r="B149" s="63">
        <v>0</v>
      </c>
      <c r="C149" s="63">
        <v>0</v>
      </c>
      <c r="D149" s="4">
        <f t="shared" si="50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66.900000000000006</v>
      </c>
      <c r="O149" s="35">
        <v>96.1</v>
      </c>
      <c r="P149" s="4">
        <f t="shared" si="51"/>
        <v>1.2236472346786247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63">
        <v>6005.5</v>
      </c>
      <c r="W149" s="82">
        <v>5770</v>
      </c>
      <c r="X149" s="4">
        <f t="shared" si="52"/>
        <v>0.96078594621596869</v>
      </c>
      <c r="Y149" s="5">
        <v>5</v>
      </c>
      <c r="Z149" s="5">
        <v>90</v>
      </c>
      <c r="AA149" s="5">
        <v>90</v>
      </c>
      <c r="AB149" s="4">
        <f t="shared" si="53"/>
        <v>1</v>
      </c>
      <c r="AC149" s="5">
        <v>20</v>
      </c>
      <c r="AD149" s="5" t="s">
        <v>360</v>
      </c>
      <c r="AE149" s="5" t="s">
        <v>360</v>
      </c>
      <c r="AF149" s="5" t="s">
        <v>360</v>
      </c>
      <c r="AG149" s="5" t="s">
        <v>360</v>
      </c>
      <c r="AH149" s="5" t="s">
        <v>360</v>
      </c>
      <c r="AI149" s="5" t="s">
        <v>360</v>
      </c>
      <c r="AJ149" s="5" t="s">
        <v>360</v>
      </c>
      <c r="AK149" s="5" t="s">
        <v>360</v>
      </c>
      <c r="AL149" s="5" t="s">
        <v>360</v>
      </c>
      <c r="AM149" s="5" t="s">
        <v>360</v>
      </c>
      <c r="AN149" s="5" t="s">
        <v>360</v>
      </c>
      <c r="AO149" s="5" t="s">
        <v>360</v>
      </c>
      <c r="AP149" s="43">
        <f t="shared" si="61"/>
        <v>1.0950416538811629</v>
      </c>
      <c r="AQ149" s="44">
        <v>1245</v>
      </c>
      <c r="AR149" s="35">
        <f t="shared" si="54"/>
        <v>339.54545454545456</v>
      </c>
      <c r="AS149" s="35">
        <f t="shared" si="55"/>
        <v>371.8</v>
      </c>
      <c r="AT149" s="35">
        <f t="shared" si="56"/>
        <v>32.25454545454545</v>
      </c>
      <c r="AU149" s="35">
        <v>143.19999999999999</v>
      </c>
      <c r="AV149" s="35">
        <v>137</v>
      </c>
      <c r="AW149" s="35"/>
      <c r="AX149" s="35">
        <f t="shared" si="57"/>
        <v>91.6</v>
      </c>
      <c r="AY149" s="35"/>
      <c r="AZ149" s="35">
        <f t="shared" si="58"/>
        <v>91.6</v>
      </c>
      <c r="BA149" s="35">
        <v>0</v>
      </c>
      <c r="BB149" s="35">
        <f t="shared" si="62"/>
        <v>91.6</v>
      </c>
      <c r="BC149" s="35"/>
      <c r="BD149" s="35">
        <f t="shared" si="59"/>
        <v>91.6</v>
      </c>
      <c r="BE149" s="35">
        <v>97.3</v>
      </c>
      <c r="BF149" s="35">
        <f t="shared" si="60"/>
        <v>-5.7</v>
      </c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10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10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10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10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10"/>
      <c r="HA149" s="9"/>
      <c r="HB149" s="9"/>
    </row>
    <row r="150" spans="1:210" s="2" customFormat="1" ht="17.149999999999999" customHeight="1">
      <c r="A150" s="14" t="s">
        <v>137</v>
      </c>
      <c r="B150" s="63">
        <v>0</v>
      </c>
      <c r="C150" s="63">
        <v>0</v>
      </c>
      <c r="D150" s="4">
        <f t="shared" si="50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177</v>
      </c>
      <c r="O150" s="35">
        <v>127.1</v>
      </c>
      <c r="P150" s="4">
        <f t="shared" si="51"/>
        <v>0.71807909604519771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63">
        <v>8583.5</v>
      </c>
      <c r="W150" s="82">
        <v>8254</v>
      </c>
      <c r="X150" s="4">
        <f t="shared" si="52"/>
        <v>0.96161239587580827</v>
      </c>
      <c r="Y150" s="5">
        <v>5</v>
      </c>
      <c r="Z150" s="5">
        <v>420</v>
      </c>
      <c r="AA150" s="5">
        <v>420</v>
      </c>
      <c r="AB150" s="4">
        <f t="shared" si="53"/>
        <v>1</v>
      </c>
      <c r="AC150" s="5">
        <v>20</v>
      </c>
      <c r="AD150" s="5" t="s">
        <v>360</v>
      </c>
      <c r="AE150" s="5" t="s">
        <v>360</v>
      </c>
      <c r="AF150" s="5" t="s">
        <v>360</v>
      </c>
      <c r="AG150" s="5" t="s">
        <v>360</v>
      </c>
      <c r="AH150" s="5" t="s">
        <v>360</v>
      </c>
      <c r="AI150" s="5" t="s">
        <v>360</v>
      </c>
      <c r="AJ150" s="5" t="s">
        <v>360</v>
      </c>
      <c r="AK150" s="5" t="s">
        <v>360</v>
      </c>
      <c r="AL150" s="5" t="s">
        <v>360</v>
      </c>
      <c r="AM150" s="5" t="s">
        <v>360</v>
      </c>
      <c r="AN150" s="5" t="s">
        <v>360</v>
      </c>
      <c r="AO150" s="5" t="s">
        <v>360</v>
      </c>
      <c r="AP150" s="43">
        <f t="shared" si="61"/>
        <v>0.87043653111739983</v>
      </c>
      <c r="AQ150" s="44">
        <v>1732</v>
      </c>
      <c r="AR150" s="35">
        <f t="shared" si="54"/>
        <v>472.36363636363637</v>
      </c>
      <c r="AS150" s="35">
        <f t="shared" si="55"/>
        <v>411.2</v>
      </c>
      <c r="AT150" s="35">
        <f t="shared" si="56"/>
        <v>-61.163636363636385</v>
      </c>
      <c r="AU150" s="35">
        <v>63.4</v>
      </c>
      <c r="AV150" s="35">
        <v>116.4</v>
      </c>
      <c r="AW150" s="35"/>
      <c r="AX150" s="35">
        <f t="shared" si="57"/>
        <v>231.4</v>
      </c>
      <c r="AY150" s="35"/>
      <c r="AZ150" s="35">
        <f t="shared" si="58"/>
        <v>231.4</v>
      </c>
      <c r="BA150" s="35">
        <v>0</v>
      </c>
      <c r="BB150" s="35">
        <f t="shared" si="62"/>
        <v>231.4</v>
      </c>
      <c r="BC150" s="35"/>
      <c r="BD150" s="35">
        <f t="shared" si="59"/>
        <v>231.4</v>
      </c>
      <c r="BE150" s="35">
        <v>226</v>
      </c>
      <c r="BF150" s="35">
        <f t="shared" si="60"/>
        <v>5.4</v>
      </c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10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10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10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10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10"/>
      <c r="HA150" s="9"/>
      <c r="HB150" s="9"/>
    </row>
    <row r="151" spans="1:210" s="2" customFormat="1" ht="17.149999999999999" customHeight="1">
      <c r="A151" s="14" t="s">
        <v>138</v>
      </c>
      <c r="B151" s="63">
        <v>15280</v>
      </c>
      <c r="C151" s="63">
        <v>15144</v>
      </c>
      <c r="D151" s="4">
        <f t="shared" si="50"/>
        <v>0.99109947643979057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1235.0999999999999</v>
      </c>
      <c r="O151" s="35">
        <v>1282.5999999999999</v>
      </c>
      <c r="P151" s="4">
        <f t="shared" si="51"/>
        <v>1.0384584244190753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82">
        <v>108500</v>
      </c>
      <c r="W151" s="82">
        <v>109760</v>
      </c>
      <c r="X151" s="4">
        <f t="shared" si="52"/>
        <v>1.0116129032258065</v>
      </c>
      <c r="Y151" s="5">
        <v>5</v>
      </c>
      <c r="Z151" s="5">
        <v>115</v>
      </c>
      <c r="AA151" s="5">
        <v>115</v>
      </c>
      <c r="AB151" s="4">
        <f t="shared" si="53"/>
        <v>1</v>
      </c>
      <c r="AC151" s="5">
        <v>20</v>
      </c>
      <c r="AD151" s="5" t="s">
        <v>360</v>
      </c>
      <c r="AE151" s="5" t="s">
        <v>360</v>
      </c>
      <c r="AF151" s="5" t="s">
        <v>360</v>
      </c>
      <c r="AG151" s="5" t="s">
        <v>360</v>
      </c>
      <c r="AH151" s="5" t="s">
        <v>360</v>
      </c>
      <c r="AI151" s="5" t="s">
        <v>360</v>
      </c>
      <c r="AJ151" s="5" t="s">
        <v>360</v>
      </c>
      <c r="AK151" s="5" t="s">
        <v>360</v>
      </c>
      <c r="AL151" s="5" t="s">
        <v>360</v>
      </c>
      <c r="AM151" s="5" t="s">
        <v>360</v>
      </c>
      <c r="AN151" s="5" t="s">
        <v>360</v>
      </c>
      <c r="AO151" s="5" t="s">
        <v>360</v>
      </c>
      <c r="AP151" s="43">
        <f t="shared" si="61"/>
        <v>1.0156546077341897</v>
      </c>
      <c r="AQ151" s="44">
        <v>1983</v>
      </c>
      <c r="AR151" s="35">
        <f t="shared" si="54"/>
        <v>540.81818181818187</v>
      </c>
      <c r="AS151" s="35">
        <f t="shared" si="55"/>
        <v>549.29999999999995</v>
      </c>
      <c r="AT151" s="35">
        <f t="shared" si="56"/>
        <v>8.4818181818180847</v>
      </c>
      <c r="AU151" s="35">
        <v>144.9</v>
      </c>
      <c r="AV151" s="35">
        <v>215.6</v>
      </c>
      <c r="AW151" s="35"/>
      <c r="AX151" s="35">
        <f t="shared" si="57"/>
        <v>188.8</v>
      </c>
      <c r="AY151" s="35"/>
      <c r="AZ151" s="35">
        <f t="shared" si="58"/>
        <v>188.8</v>
      </c>
      <c r="BA151" s="35">
        <v>0</v>
      </c>
      <c r="BB151" s="35">
        <f t="shared" si="62"/>
        <v>188.8</v>
      </c>
      <c r="BC151" s="35"/>
      <c r="BD151" s="35">
        <f t="shared" si="59"/>
        <v>188.8</v>
      </c>
      <c r="BE151" s="35">
        <v>189</v>
      </c>
      <c r="BF151" s="35">
        <f t="shared" si="60"/>
        <v>-0.2</v>
      </c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10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10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10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10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10"/>
      <c r="HA151" s="9"/>
      <c r="HB151" s="9"/>
    </row>
    <row r="152" spans="1:210" s="2" customFormat="1" ht="17.149999999999999" customHeight="1">
      <c r="A152" s="14" t="s">
        <v>139</v>
      </c>
      <c r="B152" s="63">
        <v>217</v>
      </c>
      <c r="C152" s="63">
        <v>217.5</v>
      </c>
      <c r="D152" s="4">
        <f t="shared" si="50"/>
        <v>1.0023041474654377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1400.4</v>
      </c>
      <c r="O152" s="35">
        <v>1487.3</v>
      </c>
      <c r="P152" s="4">
        <f t="shared" si="51"/>
        <v>1.062053698943159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63">
        <v>10761.8</v>
      </c>
      <c r="W152" s="82">
        <v>10508</v>
      </c>
      <c r="X152" s="4">
        <f t="shared" si="52"/>
        <v>0.97641658458622171</v>
      </c>
      <c r="Y152" s="5">
        <v>5</v>
      </c>
      <c r="Z152" s="5">
        <v>68</v>
      </c>
      <c r="AA152" s="5">
        <v>68</v>
      </c>
      <c r="AB152" s="4">
        <f t="shared" si="53"/>
        <v>1</v>
      </c>
      <c r="AC152" s="5">
        <v>20</v>
      </c>
      <c r="AD152" s="5" t="s">
        <v>360</v>
      </c>
      <c r="AE152" s="5" t="s">
        <v>360</v>
      </c>
      <c r="AF152" s="5" t="s">
        <v>360</v>
      </c>
      <c r="AG152" s="5" t="s">
        <v>360</v>
      </c>
      <c r="AH152" s="5" t="s">
        <v>360</v>
      </c>
      <c r="AI152" s="5" t="s">
        <v>360</v>
      </c>
      <c r="AJ152" s="5" t="s">
        <v>360</v>
      </c>
      <c r="AK152" s="5" t="s">
        <v>360</v>
      </c>
      <c r="AL152" s="5" t="s">
        <v>360</v>
      </c>
      <c r="AM152" s="5" t="s">
        <v>360</v>
      </c>
      <c r="AN152" s="5" t="s">
        <v>360</v>
      </c>
      <c r="AO152" s="5" t="s">
        <v>360</v>
      </c>
      <c r="AP152" s="43">
        <f t="shared" si="61"/>
        <v>1.0226935527824295</v>
      </c>
      <c r="AQ152" s="44">
        <v>73</v>
      </c>
      <c r="AR152" s="35">
        <f t="shared" si="54"/>
        <v>19.90909090909091</v>
      </c>
      <c r="AS152" s="35">
        <f t="shared" si="55"/>
        <v>20.399999999999999</v>
      </c>
      <c r="AT152" s="35">
        <f t="shared" si="56"/>
        <v>0.49090909090908852</v>
      </c>
      <c r="AU152" s="35">
        <v>7.7</v>
      </c>
      <c r="AV152" s="35">
        <v>7.7</v>
      </c>
      <c r="AW152" s="35"/>
      <c r="AX152" s="35">
        <f t="shared" si="57"/>
        <v>5</v>
      </c>
      <c r="AY152" s="35"/>
      <c r="AZ152" s="35">
        <f t="shared" si="58"/>
        <v>5</v>
      </c>
      <c r="BA152" s="35">
        <v>0</v>
      </c>
      <c r="BB152" s="35">
        <f t="shared" si="62"/>
        <v>5</v>
      </c>
      <c r="BC152" s="35"/>
      <c r="BD152" s="35">
        <f t="shared" si="59"/>
        <v>5</v>
      </c>
      <c r="BE152" s="35">
        <v>5.0999999999999996</v>
      </c>
      <c r="BF152" s="35">
        <f t="shared" si="60"/>
        <v>-0.1</v>
      </c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10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10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10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10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10"/>
      <c r="HA152" s="9"/>
      <c r="HB152" s="9"/>
    </row>
    <row r="153" spans="1:210" s="2" customFormat="1" ht="17.149999999999999" customHeight="1">
      <c r="A153" s="14" t="s">
        <v>140</v>
      </c>
      <c r="B153" s="63">
        <v>0</v>
      </c>
      <c r="C153" s="63">
        <v>0</v>
      </c>
      <c r="D153" s="4">
        <f t="shared" si="50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58.9</v>
      </c>
      <c r="O153" s="35">
        <v>68.599999999999994</v>
      </c>
      <c r="P153" s="4">
        <f t="shared" si="51"/>
        <v>1.1646859083191849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82">
        <v>2275</v>
      </c>
      <c r="W153" s="82">
        <v>2186</v>
      </c>
      <c r="X153" s="4">
        <f t="shared" si="52"/>
        <v>0.96087912087912086</v>
      </c>
      <c r="Y153" s="5">
        <v>5</v>
      </c>
      <c r="Z153" s="5">
        <v>140</v>
      </c>
      <c r="AA153" s="5">
        <v>140</v>
      </c>
      <c r="AB153" s="4">
        <f t="shared" si="53"/>
        <v>1</v>
      </c>
      <c r="AC153" s="5">
        <v>20</v>
      </c>
      <c r="AD153" s="5" t="s">
        <v>360</v>
      </c>
      <c r="AE153" s="5" t="s">
        <v>360</v>
      </c>
      <c r="AF153" s="5" t="s">
        <v>360</v>
      </c>
      <c r="AG153" s="5" t="s">
        <v>360</v>
      </c>
      <c r="AH153" s="5" t="s">
        <v>360</v>
      </c>
      <c r="AI153" s="5" t="s">
        <v>360</v>
      </c>
      <c r="AJ153" s="5" t="s">
        <v>360</v>
      </c>
      <c r="AK153" s="5" t="s">
        <v>360</v>
      </c>
      <c r="AL153" s="5" t="s">
        <v>360</v>
      </c>
      <c r="AM153" s="5" t="s">
        <v>360</v>
      </c>
      <c r="AN153" s="5" t="s">
        <v>360</v>
      </c>
      <c r="AO153" s="5" t="s">
        <v>360</v>
      </c>
      <c r="AP153" s="43">
        <f t="shared" si="61"/>
        <v>1.0688469726839847</v>
      </c>
      <c r="AQ153" s="44">
        <v>1088</v>
      </c>
      <c r="AR153" s="35">
        <f t="shared" si="54"/>
        <v>296.72727272727275</v>
      </c>
      <c r="AS153" s="35">
        <f t="shared" si="55"/>
        <v>317.2</v>
      </c>
      <c r="AT153" s="35">
        <f t="shared" si="56"/>
        <v>20.472727272727241</v>
      </c>
      <c r="AU153" s="35">
        <v>107.1</v>
      </c>
      <c r="AV153" s="35">
        <v>119.6</v>
      </c>
      <c r="AW153" s="35"/>
      <c r="AX153" s="35">
        <f t="shared" si="57"/>
        <v>90.5</v>
      </c>
      <c r="AY153" s="35"/>
      <c r="AZ153" s="35">
        <f t="shared" si="58"/>
        <v>90.5</v>
      </c>
      <c r="BA153" s="35">
        <v>0</v>
      </c>
      <c r="BB153" s="35">
        <f t="shared" si="62"/>
        <v>90.5</v>
      </c>
      <c r="BC153" s="35"/>
      <c r="BD153" s="35">
        <f t="shared" si="59"/>
        <v>90.5</v>
      </c>
      <c r="BE153" s="35">
        <v>94.5</v>
      </c>
      <c r="BF153" s="35">
        <f t="shared" si="60"/>
        <v>-4</v>
      </c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10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10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10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10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10"/>
      <c r="HA153" s="9"/>
      <c r="HB153" s="9"/>
    </row>
    <row r="154" spans="1:210" s="2" customFormat="1" ht="17.149999999999999" customHeight="1">
      <c r="A154" s="18" t="s">
        <v>141</v>
      </c>
      <c r="B154" s="5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83"/>
      <c r="W154" s="83"/>
      <c r="X154" s="11"/>
      <c r="Y154" s="11"/>
      <c r="Z154" s="11"/>
      <c r="AA154" s="11"/>
      <c r="AB154" s="11"/>
      <c r="AC154" s="1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35"/>
      <c r="BB154" s="35"/>
      <c r="BC154" s="35"/>
      <c r="BD154" s="35"/>
      <c r="BE154" s="35"/>
      <c r="BF154" s="35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10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10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10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10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10"/>
      <c r="HA154" s="9"/>
      <c r="HB154" s="9"/>
    </row>
    <row r="155" spans="1:210" s="2" customFormat="1" ht="17.149999999999999" customHeight="1">
      <c r="A155" s="14" t="s">
        <v>142</v>
      </c>
      <c r="B155" s="63">
        <v>1699</v>
      </c>
      <c r="C155" s="63">
        <v>1784</v>
      </c>
      <c r="D155" s="4">
        <f t="shared" si="50"/>
        <v>1.0500294290759271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366.5</v>
      </c>
      <c r="O155" s="35">
        <v>513.20000000000005</v>
      </c>
      <c r="P155" s="4">
        <f t="shared" si="51"/>
        <v>1.2200272851296043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82">
        <v>3475</v>
      </c>
      <c r="W155" s="82">
        <v>3708</v>
      </c>
      <c r="X155" s="4">
        <f t="shared" si="52"/>
        <v>1.0670503597122303</v>
      </c>
      <c r="Y155" s="5">
        <v>5</v>
      </c>
      <c r="Z155" s="5">
        <v>25</v>
      </c>
      <c r="AA155" s="5">
        <v>25</v>
      </c>
      <c r="AB155" s="4">
        <f t="shared" si="53"/>
        <v>1</v>
      </c>
      <c r="AC155" s="5">
        <v>20</v>
      </c>
      <c r="AD155" s="5" t="s">
        <v>360</v>
      </c>
      <c r="AE155" s="5" t="s">
        <v>360</v>
      </c>
      <c r="AF155" s="5" t="s">
        <v>360</v>
      </c>
      <c r="AG155" s="5" t="s">
        <v>360</v>
      </c>
      <c r="AH155" s="5" t="s">
        <v>360</v>
      </c>
      <c r="AI155" s="5" t="s">
        <v>360</v>
      </c>
      <c r="AJ155" s="5" t="s">
        <v>360</v>
      </c>
      <c r="AK155" s="5" t="s">
        <v>360</v>
      </c>
      <c r="AL155" s="5" t="s">
        <v>360</v>
      </c>
      <c r="AM155" s="5" t="s">
        <v>360</v>
      </c>
      <c r="AN155" s="5" t="s">
        <v>360</v>
      </c>
      <c r="AO155" s="5" t="s">
        <v>360</v>
      </c>
      <c r="AP155" s="43">
        <f t="shared" si="61"/>
        <v>1.0997188929306574</v>
      </c>
      <c r="AQ155" s="44">
        <v>1460</v>
      </c>
      <c r="AR155" s="35">
        <f t="shared" si="54"/>
        <v>398.18181818181813</v>
      </c>
      <c r="AS155" s="35">
        <f t="shared" si="55"/>
        <v>437.9</v>
      </c>
      <c r="AT155" s="35">
        <f t="shared" si="56"/>
        <v>39.718181818181847</v>
      </c>
      <c r="AU155" s="35">
        <v>155.30000000000001</v>
      </c>
      <c r="AV155" s="35">
        <v>158.6</v>
      </c>
      <c r="AW155" s="35"/>
      <c r="AX155" s="35">
        <f t="shared" si="57"/>
        <v>124</v>
      </c>
      <c r="AY155" s="35"/>
      <c r="AZ155" s="35">
        <f t="shared" si="58"/>
        <v>124</v>
      </c>
      <c r="BA155" s="35">
        <v>0</v>
      </c>
      <c r="BB155" s="35">
        <f t="shared" si="62"/>
        <v>124</v>
      </c>
      <c r="BC155" s="35"/>
      <c r="BD155" s="35">
        <f t="shared" si="59"/>
        <v>124</v>
      </c>
      <c r="BE155" s="35">
        <v>125.4</v>
      </c>
      <c r="BF155" s="35">
        <f t="shared" si="60"/>
        <v>-1.4</v>
      </c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10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10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10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10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10"/>
      <c r="HA155" s="9"/>
      <c r="HB155" s="9"/>
    </row>
    <row r="156" spans="1:210" s="2" customFormat="1" ht="17.149999999999999" customHeight="1">
      <c r="A156" s="14" t="s">
        <v>143</v>
      </c>
      <c r="B156" s="63">
        <v>462</v>
      </c>
      <c r="C156" s="63">
        <v>466.4</v>
      </c>
      <c r="D156" s="4">
        <f t="shared" si="50"/>
        <v>1.0095238095238095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625.1</v>
      </c>
      <c r="O156" s="35">
        <v>1105.2</v>
      </c>
      <c r="P156" s="4">
        <f t="shared" si="51"/>
        <v>1.256803711406175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82">
        <v>10970</v>
      </c>
      <c r="W156" s="82">
        <v>11302</v>
      </c>
      <c r="X156" s="4">
        <f t="shared" si="52"/>
        <v>1.0302643573381951</v>
      </c>
      <c r="Y156" s="5">
        <v>5</v>
      </c>
      <c r="Z156" s="5">
        <v>25</v>
      </c>
      <c r="AA156" s="5">
        <v>25</v>
      </c>
      <c r="AB156" s="4">
        <f t="shared" si="53"/>
        <v>1</v>
      </c>
      <c r="AC156" s="5">
        <v>20</v>
      </c>
      <c r="AD156" s="5" t="s">
        <v>360</v>
      </c>
      <c r="AE156" s="5" t="s">
        <v>360</v>
      </c>
      <c r="AF156" s="5" t="s">
        <v>360</v>
      </c>
      <c r="AG156" s="5" t="s">
        <v>360</v>
      </c>
      <c r="AH156" s="5" t="s">
        <v>360</v>
      </c>
      <c r="AI156" s="5" t="s">
        <v>360</v>
      </c>
      <c r="AJ156" s="5" t="s">
        <v>360</v>
      </c>
      <c r="AK156" s="5" t="s">
        <v>360</v>
      </c>
      <c r="AL156" s="5" t="s">
        <v>360</v>
      </c>
      <c r="AM156" s="5" t="s">
        <v>360</v>
      </c>
      <c r="AN156" s="5" t="s">
        <v>360</v>
      </c>
      <c r="AO156" s="5" t="s">
        <v>360</v>
      </c>
      <c r="AP156" s="43">
        <f t="shared" si="61"/>
        <v>1.1067003012486705</v>
      </c>
      <c r="AQ156" s="44">
        <v>793</v>
      </c>
      <c r="AR156" s="35">
        <f t="shared" si="54"/>
        <v>216.27272727272728</v>
      </c>
      <c r="AS156" s="35">
        <f t="shared" si="55"/>
        <v>239.3</v>
      </c>
      <c r="AT156" s="35">
        <f t="shared" si="56"/>
        <v>23.027272727272731</v>
      </c>
      <c r="AU156" s="35">
        <v>89.6</v>
      </c>
      <c r="AV156" s="35">
        <v>82.3</v>
      </c>
      <c r="AW156" s="35"/>
      <c r="AX156" s="35">
        <f t="shared" si="57"/>
        <v>67.400000000000006</v>
      </c>
      <c r="AY156" s="35"/>
      <c r="AZ156" s="35">
        <f t="shared" si="58"/>
        <v>67.400000000000006</v>
      </c>
      <c r="BA156" s="35">
        <v>0</v>
      </c>
      <c r="BB156" s="35">
        <f t="shared" si="62"/>
        <v>67.400000000000006</v>
      </c>
      <c r="BC156" s="35"/>
      <c r="BD156" s="35">
        <f t="shared" si="59"/>
        <v>67.400000000000006</v>
      </c>
      <c r="BE156" s="35">
        <v>69.3</v>
      </c>
      <c r="BF156" s="35">
        <f t="shared" si="60"/>
        <v>-1.9</v>
      </c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10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10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10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10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10"/>
      <c r="HA156" s="9"/>
      <c r="HB156" s="9"/>
    </row>
    <row r="157" spans="1:210" s="2" customFormat="1" ht="17.149999999999999" customHeight="1">
      <c r="A157" s="14" t="s">
        <v>144</v>
      </c>
      <c r="B157" s="63">
        <v>4546</v>
      </c>
      <c r="C157" s="63">
        <v>3927.3</v>
      </c>
      <c r="D157" s="4">
        <f t="shared" si="50"/>
        <v>0.86390233172019359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1028.0999999999999</v>
      </c>
      <c r="O157" s="35">
        <v>1030.7</v>
      </c>
      <c r="P157" s="4">
        <f t="shared" si="51"/>
        <v>1.002528936873845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82">
        <v>10295</v>
      </c>
      <c r="W157" s="82">
        <v>10862</v>
      </c>
      <c r="X157" s="4">
        <f t="shared" si="52"/>
        <v>1.0550752792617775</v>
      </c>
      <c r="Y157" s="5">
        <v>5</v>
      </c>
      <c r="Z157" s="5">
        <v>950</v>
      </c>
      <c r="AA157" s="5">
        <v>1032</v>
      </c>
      <c r="AB157" s="4">
        <f t="shared" si="53"/>
        <v>1.0863157894736841</v>
      </c>
      <c r="AC157" s="5">
        <v>20</v>
      </c>
      <c r="AD157" s="5" t="s">
        <v>360</v>
      </c>
      <c r="AE157" s="5" t="s">
        <v>360</v>
      </c>
      <c r="AF157" s="5" t="s">
        <v>360</v>
      </c>
      <c r="AG157" s="5" t="s">
        <v>360</v>
      </c>
      <c r="AH157" s="5" t="s">
        <v>360</v>
      </c>
      <c r="AI157" s="5" t="s">
        <v>360</v>
      </c>
      <c r="AJ157" s="5" t="s">
        <v>360</v>
      </c>
      <c r="AK157" s="5" t="s">
        <v>360</v>
      </c>
      <c r="AL157" s="5" t="s">
        <v>360</v>
      </c>
      <c r="AM157" s="5" t="s">
        <v>360</v>
      </c>
      <c r="AN157" s="5" t="s">
        <v>360</v>
      </c>
      <c r="AO157" s="5" t="s">
        <v>360</v>
      </c>
      <c r="AP157" s="43">
        <f t="shared" si="61"/>
        <v>1.0274356516372087</v>
      </c>
      <c r="AQ157" s="44">
        <v>2285</v>
      </c>
      <c r="AR157" s="35">
        <f t="shared" si="54"/>
        <v>623.18181818181813</v>
      </c>
      <c r="AS157" s="35">
        <f t="shared" si="55"/>
        <v>640.29999999999995</v>
      </c>
      <c r="AT157" s="35">
        <f t="shared" si="56"/>
        <v>17.118181818181824</v>
      </c>
      <c r="AU157" s="35">
        <v>145</v>
      </c>
      <c r="AV157" s="35">
        <v>170</v>
      </c>
      <c r="AW157" s="35"/>
      <c r="AX157" s="35">
        <f t="shared" si="57"/>
        <v>325.3</v>
      </c>
      <c r="AY157" s="35"/>
      <c r="AZ157" s="35">
        <f t="shared" si="58"/>
        <v>325.3</v>
      </c>
      <c r="BA157" s="35">
        <v>0</v>
      </c>
      <c r="BB157" s="35">
        <f t="shared" si="62"/>
        <v>325.3</v>
      </c>
      <c r="BC157" s="35"/>
      <c r="BD157" s="35">
        <f t="shared" si="59"/>
        <v>325.3</v>
      </c>
      <c r="BE157" s="35">
        <v>323.39999999999998</v>
      </c>
      <c r="BF157" s="35">
        <f t="shared" si="60"/>
        <v>1.9</v>
      </c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10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10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10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10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10"/>
      <c r="HA157" s="9"/>
      <c r="HB157" s="9"/>
    </row>
    <row r="158" spans="1:210" s="2" customFormat="1" ht="17.149999999999999" customHeight="1">
      <c r="A158" s="14" t="s">
        <v>145</v>
      </c>
      <c r="B158" s="63">
        <v>21611</v>
      </c>
      <c r="C158" s="63">
        <v>21615.599999999999</v>
      </c>
      <c r="D158" s="4">
        <f t="shared" si="50"/>
        <v>1.0002128545648048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1208.8</v>
      </c>
      <c r="O158" s="35">
        <v>1247.7</v>
      </c>
      <c r="P158" s="4">
        <f t="shared" si="51"/>
        <v>1.0321806750496361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82">
        <v>83060</v>
      </c>
      <c r="W158" s="82">
        <v>80968</v>
      </c>
      <c r="X158" s="4">
        <f t="shared" si="52"/>
        <v>0.9748133879123525</v>
      </c>
      <c r="Y158" s="5">
        <v>5</v>
      </c>
      <c r="Z158" s="5">
        <v>250</v>
      </c>
      <c r="AA158" s="5">
        <v>275</v>
      </c>
      <c r="AB158" s="4">
        <f t="shared" si="53"/>
        <v>1.1000000000000001</v>
      </c>
      <c r="AC158" s="5">
        <v>20</v>
      </c>
      <c r="AD158" s="5" t="s">
        <v>360</v>
      </c>
      <c r="AE158" s="5" t="s">
        <v>360</v>
      </c>
      <c r="AF158" s="5" t="s">
        <v>360</v>
      </c>
      <c r="AG158" s="5" t="s">
        <v>360</v>
      </c>
      <c r="AH158" s="5" t="s">
        <v>360</v>
      </c>
      <c r="AI158" s="5" t="s">
        <v>360</v>
      </c>
      <c r="AJ158" s="5" t="s">
        <v>360</v>
      </c>
      <c r="AK158" s="5" t="s">
        <v>360</v>
      </c>
      <c r="AL158" s="5" t="s">
        <v>360</v>
      </c>
      <c r="AM158" s="5" t="s">
        <v>360</v>
      </c>
      <c r="AN158" s="5" t="s">
        <v>360</v>
      </c>
      <c r="AO158" s="5" t="s">
        <v>360</v>
      </c>
      <c r="AP158" s="43">
        <f t="shared" si="61"/>
        <v>1.0503748942675701</v>
      </c>
      <c r="AQ158" s="44">
        <v>4556</v>
      </c>
      <c r="AR158" s="35">
        <f t="shared" si="54"/>
        <v>1242.5454545454545</v>
      </c>
      <c r="AS158" s="35">
        <f t="shared" si="55"/>
        <v>1305.0999999999999</v>
      </c>
      <c r="AT158" s="35">
        <f t="shared" si="56"/>
        <v>62.554545454545405</v>
      </c>
      <c r="AU158" s="35">
        <v>270.10000000000002</v>
      </c>
      <c r="AV158" s="35">
        <v>329.4</v>
      </c>
      <c r="AW158" s="35"/>
      <c r="AX158" s="35">
        <f t="shared" si="57"/>
        <v>705.6</v>
      </c>
      <c r="AY158" s="35"/>
      <c r="AZ158" s="35">
        <f t="shared" si="58"/>
        <v>705.6</v>
      </c>
      <c r="BA158" s="35">
        <v>0</v>
      </c>
      <c r="BB158" s="35">
        <f t="shared" si="62"/>
        <v>705.6</v>
      </c>
      <c r="BC158" s="35"/>
      <c r="BD158" s="35">
        <f t="shared" si="59"/>
        <v>705.6</v>
      </c>
      <c r="BE158" s="35">
        <v>716.1</v>
      </c>
      <c r="BF158" s="35">
        <f t="shared" si="60"/>
        <v>-10.5</v>
      </c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10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10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10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10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10"/>
      <c r="HA158" s="9"/>
      <c r="HB158" s="9"/>
    </row>
    <row r="159" spans="1:210" s="2" customFormat="1" ht="17.149999999999999" customHeight="1">
      <c r="A159" s="14" t="s">
        <v>146</v>
      </c>
      <c r="B159" s="63">
        <v>465</v>
      </c>
      <c r="C159" s="63">
        <v>506.2</v>
      </c>
      <c r="D159" s="4">
        <f t="shared" si="50"/>
        <v>1.0886021505376344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1644.4</v>
      </c>
      <c r="O159" s="35">
        <v>2101.9</v>
      </c>
      <c r="P159" s="4">
        <f t="shared" si="51"/>
        <v>1.2078216978837266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82">
        <v>9305</v>
      </c>
      <c r="W159" s="82">
        <v>9926</v>
      </c>
      <c r="X159" s="4">
        <f t="shared" si="52"/>
        <v>1.0667383127350887</v>
      </c>
      <c r="Y159" s="5">
        <v>5</v>
      </c>
      <c r="Z159" s="5">
        <v>520</v>
      </c>
      <c r="AA159" s="5">
        <v>299</v>
      </c>
      <c r="AB159" s="4">
        <f t="shared" si="53"/>
        <v>0.57499999999999996</v>
      </c>
      <c r="AC159" s="5">
        <v>20</v>
      </c>
      <c r="AD159" s="5" t="s">
        <v>360</v>
      </c>
      <c r="AE159" s="5" t="s">
        <v>360</v>
      </c>
      <c r="AF159" s="5" t="s">
        <v>360</v>
      </c>
      <c r="AG159" s="5" t="s">
        <v>360</v>
      </c>
      <c r="AH159" s="5" t="s">
        <v>360</v>
      </c>
      <c r="AI159" s="5" t="s">
        <v>360</v>
      </c>
      <c r="AJ159" s="5" t="s">
        <v>360</v>
      </c>
      <c r="AK159" s="5" t="s">
        <v>360</v>
      </c>
      <c r="AL159" s="5" t="s">
        <v>360</v>
      </c>
      <c r="AM159" s="5" t="s">
        <v>360</v>
      </c>
      <c r="AN159" s="5" t="s">
        <v>360</v>
      </c>
      <c r="AO159" s="5" t="s">
        <v>360</v>
      </c>
      <c r="AP159" s="43">
        <f t="shared" si="61"/>
        <v>0.92866272548076301</v>
      </c>
      <c r="AQ159" s="44">
        <v>1687</v>
      </c>
      <c r="AR159" s="35">
        <f t="shared" si="54"/>
        <v>460.09090909090912</v>
      </c>
      <c r="AS159" s="35">
        <f t="shared" si="55"/>
        <v>427.3</v>
      </c>
      <c r="AT159" s="35">
        <f t="shared" si="56"/>
        <v>-32.790909090909111</v>
      </c>
      <c r="AU159" s="35">
        <v>166.3</v>
      </c>
      <c r="AV159" s="35">
        <v>87</v>
      </c>
      <c r="AW159" s="35">
        <v>76.7</v>
      </c>
      <c r="AX159" s="35">
        <f t="shared" si="57"/>
        <v>97.3</v>
      </c>
      <c r="AY159" s="35"/>
      <c r="AZ159" s="35">
        <f t="shared" si="58"/>
        <v>97.3</v>
      </c>
      <c r="BA159" s="35">
        <v>0</v>
      </c>
      <c r="BB159" s="35">
        <f t="shared" si="62"/>
        <v>97.3</v>
      </c>
      <c r="BC159" s="35">
        <f>MIN(BB159,27.7)</f>
        <v>27.7</v>
      </c>
      <c r="BD159" s="35">
        <f t="shared" si="59"/>
        <v>69.599999999999994</v>
      </c>
      <c r="BE159" s="35">
        <v>62.5</v>
      </c>
      <c r="BF159" s="35">
        <f t="shared" si="60"/>
        <v>7.1</v>
      </c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10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10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10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10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10"/>
      <c r="HA159" s="9"/>
      <c r="HB159" s="9"/>
    </row>
    <row r="160" spans="1:210" s="2" customFormat="1" ht="17.149999999999999" customHeight="1">
      <c r="A160" s="14" t="s">
        <v>147</v>
      </c>
      <c r="B160" s="63">
        <v>0</v>
      </c>
      <c r="C160" s="63">
        <v>500</v>
      </c>
      <c r="D160" s="4">
        <f t="shared" si="50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1036.0999999999999</v>
      </c>
      <c r="O160" s="35">
        <v>975.4</v>
      </c>
      <c r="P160" s="4">
        <f t="shared" si="51"/>
        <v>0.94141492133963911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82">
        <v>12265</v>
      </c>
      <c r="W160" s="82">
        <v>19247</v>
      </c>
      <c r="X160" s="4">
        <f t="shared" si="52"/>
        <v>1.2369262128006522</v>
      </c>
      <c r="Y160" s="5">
        <v>5</v>
      </c>
      <c r="Z160" s="5">
        <v>658</v>
      </c>
      <c r="AA160" s="5">
        <v>798</v>
      </c>
      <c r="AB160" s="4">
        <f t="shared" si="53"/>
        <v>1.2012765957446807</v>
      </c>
      <c r="AC160" s="5">
        <v>20</v>
      </c>
      <c r="AD160" s="5" t="s">
        <v>360</v>
      </c>
      <c r="AE160" s="5" t="s">
        <v>360</v>
      </c>
      <c r="AF160" s="5" t="s">
        <v>360</v>
      </c>
      <c r="AG160" s="5" t="s">
        <v>360</v>
      </c>
      <c r="AH160" s="5" t="s">
        <v>360</v>
      </c>
      <c r="AI160" s="5" t="s">
        <v>360</v>
      </c>
      <c r="AJ160" s="5" t="s">
        <v>360</v>
      </c>
      <c r="AK160" s="5" t="s">
        <v>360</v>
      </c>
      <c r="AL160" s="5" t="s">
        <v>360</v>
      </c>
      <c r="AM160" s="5" t="s">
        <v>360</v>
      </c>
      <c r="AN160" s="5" t="s">
        <v>360</v>
      </c>
      <c r="AO160" s="5" t="s">
        <v>360</v>
      </c>
      <c r="AP160" s="43">
        <f t="shared" si="61"/>
        <v>1.0897435867931033</v>
      </c>
      <c r="AQ160" s="44">
        <v>843</v>
      </c>
      <c r="AR160" s="35">
        <f t="shared" si="54"/>
        <v>229.90909090909093</v>
      </c>
      <c r="AS160" s="35">
        <f t="shared" si="55"/>
        <v>250.5</v>
      </c>
      <c r="AT160" s="35">
        <f t="shared" si="56"/>
        <v>20.590909090909065</v>
      </c>
      <c r="AU160" s="35">
        <v>60.4</v>
      </c>
      <c r="AV160" s="35">
        <v>93.1</v>
      </c>
      <c r="AW160" s="35"/>
      <c r="AX160" s="35">
        <f t="shared" si="57"/>
        <v>97</v>
      </c>
      <c r="AY160" s="35"/>
      <c r="AZ160" s="35">
        <f t="shared" si="58"/>
        <v>97</v>
      </c>
      <c r="BA160" s="35">
        <v>0</v>
      </c>
      <c r="BB160" s="35">
        <f t="shared" si="62"/>
        <v>97</v>
      </c>
      <c r="BC160" s="35"/>
      <c r="BD160" s="35">
        <f t="shared" si="59"/>
        <v>97</v>
      </c>
      <c r="BE160" s="35">
        <v>92.8</v>
      </c>
      <c r="BF160" s="35">
        <f t="shared" si="60"/>
        <v>4.2</v>
      </c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10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10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10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10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10"/>
      <c r="HA160" s="9"/>
      <c r="HB160" s="9"/>
    </row>
    <row r="161" spans="1:210" s="2" customFormat="1" ht="17.149999999999999" customHeight="1">
      <c r="A161" s="14" t="s">
        <v>148</v>
      </c>
      <c r="B161" s="63">
        <v>60334</v>
      </c>
      <c r="C161" s="63">
        <v>60350.400000000001</v>
      </c>
      <c r="D161" s="4">
        <f t="shared" si="50"/>
        <v>1.0002718202008818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2344.6999999999998</v>
      </c>
      <c r="O161" s="35">
        <v>1927.1</v>
      </c>
      <c r="P161" s="4">
        <f t="shared" si="51"/>
        <v>0.82189619141041503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82">
        <v>36000</v>
      </c>
      <c r="W161" s="82">
        <v>33546</v>
      </c>
      <c r="X161" s="4">
        <f t="shared" si="52"/>
        <v>0.93183333333333329</v>
      </c>
      <c r="Y161" s="5">
        <v>5</v>
      </c>
      <c r="Z161" s="5">
        <v>140</v>
      </c>
      <c r="AA161" s="5">
        <v>166</v>
      </c>
      <c r="AB161" s="4">
        <f t="shared" si="53"/>
        <v>1.1857142857142857</v>
      </c>
      <c r="AC161" s="5">
        <v>20</v>
      </c>
      <c r="AD161" s="5" t="s">
        <v>360</v>
      </c>
      <c r="AE161" s="5" t="s">
        <v>360</v>
      </c>
      <c r="AF161" s="5" t="s">
        <v>360</v>
      </c>
      <c r="AG161" s="5" t="s">
        <v>360</v>
      </c>
      <c r="AH161" s="5" t="s">
        <v>360</v>
      </c>
      <c r="AI161" s="5" t="s">
        <v>360</v>
      </c>
      <c r="AJ161" s="5" t="s">
        <v>360</v>
      </c>
      <c r="AK161" s="5" t="s">
        <v>360</v>
      </c>
      <c r="AL161" s="5" t="s">
        <v>360</v>
      </c>
      <c r="AM161" s="5" t="s">
        <v>360</v>
      </c>
      <c r="AN161" s="5" t="s">
        <v>360</v>
      </c>
      <c r="AO161" s="5" t="s">
        <v>360</v>
      </c>
      <c r="AP161" s="43">
        <f t="shared" si="61"/>
        <v>0.99625470620330192</v>
      </c>
      <c r="AQ161" s="44">
        <v>2625</v>
      </c>
      <c r="AR161" s="35">
        <f t="shared" si="54"/>
        <v>715.90909090909088</v>
      </c>
      <c r="AS161" s="35">
        <f t="shared" si="55"/>
        <v>713.2</v>
      </c>
      <c r="AT161" s="35">
        <f t="shared" si="56"/>
        <v>-2.7090909090908326</v>
      </c>
      <c r="AU161" s="35">
        <v>128.30000000000001</v>
      </c>
      <c r="AV161" s="35">
        <v>255.7</v>
      </c>
      <c r="AW161" s="35"/>
      <c r="AX161" s="35">
        <f t="shared" si="57"/>
        <v>329.2</v>
      </c>
      <c r="AY161" s="35"/>
      <c r="AZ161" s="35">
        <f t="shared" si="58"/>
        <v>329.2</v>
      </c>
      <c r="BA161" s="35">
        <v>0</v>
      </c>
      <c r="BB161" s="35">
        <f t="shared" si="62"/>
        <v>329.2</v>
      </c>
      <c r="BC161" s="35"/>
      <c r="BD161" s="35">
        <f t="shared" si="59"/>
        <v>329.2</v>
      </c>
      <c r="BE161" s="35">
        <v>334.4</v>
      </c>
      <c r="BF161" s="35">
        <f t="shared" si="60"/>
        <v>-5.2</v>
      </c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10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10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10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10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10"/>
      <c r="HA161" s="9"/>
      <c r="HB161" s="9"/>
    </row>
    <row r="162" spans="1:210" s="2" customFormat="1" ht="17.149999999999999" customHeight="1">
      <c r="A162" s="14" t="s">
        <v>149</v>
      </c>
      <c r="B162" s="63">
        <v>390</v>
      </c>
      <c r="C162" s="63">
        <v>409.8</v>
      </c>
      <c r="D162" s="4">
        <f t="shared" si="50"/>
        <v>1.0507692307692309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383.7</v>
      </c>
      <c r="O162" s="35">
        <v>574.29999999999995</v>
      </c>
      <c r="P162" s="4">
        <f t="shared" si="51"/>
        <v>1.2296742246546781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82">
        <v>7730</v>
      </c>
      <c r="W162" s="82">
        <v>8249</v>
      </c>
      <c r="X162" s="4">
        <f t="shared" si="52"/>
        <v>1.0671410090556275</v>
      </c>
      <c r="Y162" s="5">
        <v>5</v>
      </c>
      <c r="Z162" s="5">
        <v>820</v>
      </c>
      <c r="AA162" s="5">
        <v>840</v>
      </c>
      <c r="AB162" s="4">
        <f t="shared" si="53"/>
        <v>1.024390243902439</v>
      </c>
      <c r="AC162" s="5">
        <v>20</v>
      </c>
      <c r="AD162" s="5" t="s">
        <v>360</v>
      </c>
      <c r="AE162" s="5" t="s">
        <v>360</v>
      </c>
      <c r="AF162" s="5" t="s">
        <v>360</v>
      </c>
      <c r="AG162" s="5" t="s">
        <v>360</v>
      </c>
      <c r="AH162" s="5" t="s">
        <v>360</v>
      </c>
      <c r="AI162" s="5" t="s">
        <v>360</v>
      </c>
      <c r="AJ162" s="5" t="s">
        <v>360</v>
      </c>
      <c r="AK162" s="5" t="s">
        <v>360</v>
      </c>
      <c r="AL162" s="5" t="s">
        <v>360</v>
      </c>
      <c r="AM162" s="5" t="s">
        <v>360</v>
      </c>
      <c r="AN162" s="5" t="s">
        <v>360</v>
      </c>
      <c r="AO162" s="5" t="s">
        <v>360</v>
      </c>
      <c r="AP162" s="43">
        <f t="shared" si="61"/>
        <v>1.1134168114053327</v>
      </c>
      <c r="AQ162" s="44">
        <v>1966</v>
      </c>
      <c r="AR162" s="35">
        <f t="shared" si="54"/>
        <v>536.18181818181813</v>
      </c>
      <c r="AS162" s="35">
        <f t="shared" si="55"/>
        <v>597</v>
      </c>
      <c r="AT162" s="35">
        <f t="shared" si="56"/>
        <v>60.81818181818187</v>
      </c>
      <c r="AU162" s="35">
        <v>216.9</v>
      </c>
      <c r="AV162" s="35">
        <v>216</v>
      </c>
      <c r="AW162" s="35"/>
      <c r="AX162" s="35">
        <f t="shared" si="57"/>
        <v>164.1</v>
      </c>
      <c r="AY162" s="35"/>
      <c r="AZ162" s="35">
        <f t="shared" si="58"/>
        <v>164.1</v>
      </c>
      <c r="BA162" s="35">
        <v>0</v>
      </c>
      <c r="BB162" s="35">
        <f t="shared" si="62"/>
        <v>164.1</v>
      </c>
      <c r="BC162" s="35"/>
      <c r="BD162" s="35">
        <f t="shared" si="59"/>
        <v>164.1</v>
      </c>
      <c r="BE162" s="35">
        <v>166.9</v>
      </c>
      <c r="BF162" s="35">
        <f t="shared" si="60"/>
        <v>-2.8</v>
      </c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10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10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10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10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10"/>
      <c r="HA162" s="9"/>
      <c r="HB162" s="9"/>
    </row>
    <row r="163" spans="1:210" s="2" customFormat="1" ht="17.149999999999999" customHeight="1">
      <c r="A163" s="14" t="s">
        <v>150</v>
      </c>
      <c r="B163" s="63">
        <v>18499</v>
      </c>
      <c r="C163" s="63">
        <v>20187.7</v>
      </c>
      <c r="D163" s="4">
        <f t="shared" si="50"/>
        <v>1.0912860154602952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359.1</v>
      </c>
      <c r="O163" s="35">
        <v>841</v>
      </c>
      <c r="P163" s="4">
        <f t="shared" si="51"/>
        <v>1.3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82">
        <v>11795</v>
      </c>
      <c r="W163" s="82">
        <v>12602</v>
      </c>
      <c r="X163" s="4">
        <f t="shared" si="52"/>
        <v>1.0684188215345485</v>
      </c>
      <c r="Y163" s="5">
        <v>5</v>
      </c>
      <c r="Z163" s="5">
        <v>90</v>
      </c>
      <c r="AA163" s="5">
        <v>103</v>
      </c>
      <c r="AB163" s="4">
        <f t="shared" si="53"/>
        <v>1.1444444444444444</v>
      </c>
      <c r="AC163" s="5">
        <v>20</v>
      </c>
      <c r="AD163" s="5" t="s">
        <v>360</v>
      </c>
      <c r="AE163" s="5" t="s">
        <v>360</v>
      </c>
      <c r="AF163" s="5" t="s">
        <v>360</v>
      </c>
      <c r="AG163" s="5" t="s">
        <v>360</v>
      </c>
      <c r="AH163" s="5" t="s">
        <v>360</v>
      </c>
      <c r="AI163" s="5" t="s">
        <v>360</v>
      </c>
      <c r="AJ163" s="5" t="s">
        <v>360</v>
      </c>
      <c r="AK163" s="5" t="s">
        <v>360</v>
      </c>
      <c r="AL163" s="5" t="s">
        <v>360</v>
      </c>
      <c r="AM163" s="5" t="s">
        <v>360</v>
      </c>
      <c r="AN163" s="5" t="s">
        <v>360</v>
      </c>
      <c r="AO163" s="5" t="s">
        <v>360</v>
      </c>
      <c r="AP163" s="43">
        <f t="shared" si="61"/>
        <v>1.1937482614772621</v>
      </c>
      <c r="AQ163" s="44">
        <v>3024</v>
      </c>
      <c r="AR163" s="35">
        <f t="shared" si="54"/>
        <v>824.72727272727275</v>
      </c>
      <c r="AS163" s="35">
        <f t="shared" si="55"/>
        <v>984.5</v>
      </c>
      <c r="AT163" s="35">
        <f t="shared" si="56"/>
        <v>159.77272727272725</v>
      </c>
      <c r="AU163" s="35">
        <v>344.2</v>
      </c>
      <c r="AV163" s="35">
        <v>346.8</v>
      </c>
      <c r="AW163" s="35"/>
      <c r="AX163" s="35">
        <f t="shared" si="57"/>
        <v>293.5</v>
      </c>
      <c r="AY163" s="35"/>
      <c r="AZ163" s="35">
        <f t="shared" si="58"/>
        <v>293.5</v>
      </c>
      <c r="BA163" s="35">
        <v>0</v>
      </c>
      <c r="BB163" s="35">
        <f t="shared" si="62"/>
        <v>293.5</v>
      </c>
      <c r="BC163" s="35"/>
      <c r="BD163" s="35">
        <f t="shared" si="59"/>
        <v>293.5</v>
      </c>
      <c r="BE163" s="35">
        <v>305</v>
      </c>
      <c r="BF163" s="35">
        <f t="shared" si="60"/>
        <v>-11.5</v>
      </c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10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10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10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10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10"/>
      <c r="HA163" s="9"/>
      <c r="HB163" s="9"/>
    </row>
    <row r="164" spans="1:210" s="2" customFormat="1" ht="17.149999999999999" customHeight="1">
      <c r="A164" s="14" t="s">
        <v>151</v>
      </c>
      <c r="B164" s="63">
        <v>179</v>
      </c>
      <c r="C164" s="63">
        <v>246.8</v>
      </c>
      <c r="D164" s="4">
        <f t="shared" si="50"/>
        <v>1.217877094972067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354.1</v>
      </c>
      <c r="O164" s="35">
        <v>353.9</v>
      </c>
      <c r="P164" s="4">
        <f t="shared" si="51"/>
        <v>0.99943518780005636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82">
        <v>5145</v>
      </c>
      <c r="W164" s="82">
        <v>5081</v>
      </c>
      <c r="X164" s="4">
        <f t="shared" si="52"/>
        <v>0.98756073858114679</v>
      </c>
      <c r="Y164" s="5">
        <v>5</v>
      </c>
      <c r="Z164" s="5">
        <v>530</v>
      </c>
      <c r="AA164" s="5">
        <v>550</v>
      </c>
      <c r="AB164" s="4">
        <f t="shared" si="53"/>
        <v>1.0377358490566038</v>
      </c>
      <c r="AC164" s="5">
        <v>20</v>
      </c>
      <c r="AD164" s="5" t="s">
        <v>360</v>
      </c>
      <c r="AE164" s="5" t="s">
        <v>360</v>
      </c>
      <c r="AF164" s="5" t="s">
        <v>360</v>
      </c>
      <c r="AG164" s="5" t="s">
        <v>360</v>
      </c>
      <c r="AH164" s="5" t="s">
        <v>360</v>
      </c>
      <c r="AI164" s="5" t="s">
        <v>360</v>
      </c>
      <c r="AJ164" s="5" t="s">
        <v>360</v>
      </c>
      <c r="AK164" s="5" t="s">
        <v>360</v>
      </c>
      <c r="AL164" s="5" t="s">
        <v>360</v>
      </c>
      <c r="AM164" s="5" t="s">
        <v>360</v>
      </c>
      <c r="AN164" s="5" t="s">
        <v>360</v>
      </c>
      <c r="AO164" s="5" t="s">
        <v>360</v>
      </c>
      <c r="AP164" s="43">
        <f t="shared" si="61"/>
        <v>1.0354121980979856</v>
      </c>
      <c r="AQ164" s="44">
        <v>2271</v>
      </c>
      <c r="AR164" s="35">
        <f t="shared" si="54"/>
        <v>619.36363636363637</v>
      </c>
      <c r="AS164" s="35">
        <f t="shared" si="55"/>
        <v>641.29999999999995</v>
      </c>
      <c r="AT164" s="35">
        <f t="shared" si="56"/>
        <v>21.936363636363581</v>
      </c>
      <c r="AU164" s="35">
        <v>231.5</v>
      </c>
      <c r="AV164" s="35">
        <v>164.1</v>
      </c>
      <c r="AW164" s="35"/>
      <c r="AX164" s="35">
        <f t="shared" si="57"/>
        <v>245.7</v>
      </c>
      <c r="AY164" s="35"/>
      <c r="AZ164" s="35">
        <f t="shared" si="58"/>
        <v>245.7</v>
      </c>
      <c r="BA164" s="35">
        <v>0</v>
      </c>
      <c r="BB164" s="35">
        <f t="shared" si="62"/>
        <v>245.7</v>
      </c>
      <c r="BC164" s="35"/>
      <c r="BD164" s="35">
        <f t="shared" si="59"/>
        <v>245.7</v>
      </c>
      <c r="BE164" s="35">
        <v>249</v>
      </c>
      <c r="BF164" s="35">
        <f t="shared" si="60"/>
        <v>-3.3</v>
      </c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10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10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10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10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10"/>
      <c r="HA164" s="9"/>
      <c r="HB164" s="9"/>
    </row>
    <row r="165" spans="1:210" s="2" customFormat="1" ht="17.149999999999999" customHeight="1">
      <c r="A165" s="14" t="s">
        <v>152</v>
      </c>
      <c r="B165" s="63">
        <v>645</v>
      </c>
      <c r="C165" s="63">
        <v>702</v>
      </c>
      <c r="D165" s="4">
        <f t="shared" si="50"/>
        <v>1.0883720930232559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405.6</v>
      </c>
      <c r="O165" s="35">
        <v>599.1</v>
      </c>
      <c r="P165" s="4">
        <f t="shared" si="51"/>
        <v>1.2277071005917159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82">
        <v>7070</v>
      </c>
      <c r="W165" s="82">
        <v>6878</v>
      </c>
      <c r="X165" s="4">
        <f t="shared" si="52"/>
        <v>0.97284299858557288</v>
      </c>
      <c r="Y165" s="5">
        <v>5</v>
      </c>
      <c r="Z165" s="5">
        <v>190</v>
      </c>
      <c r="AA165" s="5">
        <v>214</v>
      </c>
      <c r="AB165" s="4">
        <f t="shared" si="53"/>
        <v>1.1263157894736842</v>
      </c>
      <c r="AC165" s="5">
        <v>20</v>
      </c>
      <c r="AD165" s="5" t="s">
        <v>360</v>
      </c>
      <c r="AE165" s="5" t="s">
        <v>360</v>
      </c>
      <c r="AF165" s="5" t="s">
        <v>360</v>
      </c>
      <c r="AG165" s="5" t="s">
        <v>360</v>
      </c>
      <c r="AH165" s="5" t="s">
        <v>360</v>
      </c>
      <c r="AI165" s="5" t="s">
        <v>360</v>
      </c>
      <c r="AJ165" s="5" t="s">
        <v>360</v>
      </c>
      <c r="AK165" s="5" t="s">
        <v>360</v>
      </c>
      <c r="AL165" s="5" t="s">
        <v>360</v>
      </c>
      <c r="AM165" s="5" t="s">
        <v>360</v>
      </c>
      <c r="AN165" s="5" t="s">
        <v>360</v>
      </c>
      <c r="AO165" s="5" t="s">
        <v>360</v>
      </c>
      <c r="AP165" s="43">
        <f t="shared" si="61"/>
        <v>1.1477306651870429</v>
      </c>
      <c r="AQ165" s="44">
        <v>1517</v>
      </c>
      <c r="AR165" s="35">
        <f t="shared" si="54"/>
        <v>413.72727272727275</v>
      </c>
      <c r="AS165" s="35">
        <f t="shared" si="55"/>
        <v>474.8</v>
      </c>
      <c r="AT165" s="35">
        <f t="shared" si="56"/>
        <v>61.072727272727263</v>
      </c>
      <c r="AU165" s="35">
        <v>171</v>
      </c>
      <c r="AV165" s="35">
        <v>111.2</v>
      </c>
      <c r="AW165" s="35"/>
      <c r="AX165" s="35">
        <f t="shared" si="57"/>
        <v>192.6</v>
      </c>
      <c r="AY165" s="35"/>
      <c r="AZ165" s="35">
        <f t="shared" si="58"/>
        <v>192.6</v>
      </c>
      <c r="BA165" s="35">
        <v>0</v>
      </c>
      <c r="BB165" s="35">
        <f t="shared" si="62"/>
        <v>192.6</v>
      </c>
      <c r="BC165" s="35"/>
      <c r="BD165" s="35">
        <f t="shared" si="59"/>
        <v>192.6</v>
      </c>
      <c r="BE165" s="35">
        <v>200.7</v>
      </c>
      <c r="BF165" s="35">
        <f t="shared" si="60"/>
        <v>-8.1</v>
      </c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10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10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10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10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10"/>
      <c r="HA165" s="9"/>
      <c r="HB165" s="9"/>
    </row>
    <row r="166" spans="1:210" s="2" customFormat="1" ht="17.149999999999999" customHeight="1">
      <c r="A166" s="14" t="s">
        <v>153</v>
      </c>
      <c r="B166" s="63">
        <v>4678781</v>
      </c>
      <c r="C166" s="63">
        <v>3760587.6</v>
      </c>
      <c r="D166" s="4">
        <f t="shared" si="50"/>
        <v>0.80375371277262175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4981.3</v>
      </c>
      <c r="O166" s="35">
        <v>5064</v>
      </c>
      <c r="P166" s="4">
        <f t="shared" si="51"/>
        <v>1.0166020918234195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82">
        <v>37855</v>
      </c>
      <c r="W166" s="82">
        <v>37296</v>
      </c>
      <c r="X166" s="4">
        <f t="shared" si="52"/>
        <v>0.98523312640338134</v>
      </c>
      <c r="Y166" s="5">
        <v>5</v>
      </c>
      <c r="Z166" s="5">
        <v>350</v>
      </c>
      <c r="AA166" s="5">
        <v>443</v>
      </c>
      <c r="AB166" s="4">
        <f t="shared" si="53"/>
        <v>1.2065714285714286</v>
      </c>
      <c r="AC166" s="5">
        <v>20</v>
      </c>
      <c r="AD166" s="5" t="s">
        <v>360</v>
      </c>
      <c r="AE166" s="5" t="s">
        <v>360</v>
      </c>
      <c r="AF166" s="5" t="s">
        <v>360</v>
      </c>
      <c r="AG166" s="5" t="s">
        <v>360</v>
      </c>
      <c r="AH166" s="5" t="s">
        <v>360</v>
      </c>
      <c r="AI166" s="5" t="s">
        <v>360</v>
      </c>
      <c r="AJ166" s="5" t="s">
        <v>360</v>
      </c>
      <c r="AK166" s="5" t="s">
        <v>360</v>
      </c>
      <c r="AL166" s="5" t="s">
        <v>360</v>
      </c>
      <c r="AM166" s="5" t="s">
        <v>360</v>
      </c>
      <c r="AN166" s="5" t="s">
        <v>360</v>
      </c>
      <c r="AO166" s="5" t="s">
        <v>360</v>
      </c>
      <c r="AP166" s="43">
        <f t="shared" si="61"/>
        <v>1.0681680920755396</v>
      </c>
      <c r="AQ166" s="44">
        <v>1671</v>
      </c>
      <c r="AR166" s="35">
        <f t="shared" si="54"/>
        <v>455.72727272727275</v>
      </c>
      <c r="AS166" s="35">
        <f t="shared" si="55"/>
        <v>486.8</v>
      </c>
      <c r="AT166" s="35">
        <f t="shared" si="56"/>
        <v>31.072727272727263</v>
      </c>
      <c r="AU166" s="35">
        <v>131.6</v>
      </c>
      <c r="AV166" s="35">
        <v>151.5</v>
      </c>
      <c r="AW166" s="35"/>
      <c r="AX166" s="35">
        <f t="shared" si="57"/>
        <v>203.7</v>
      </c>
      <c r="AY166" s="35"/>
      <c r="AZ166" s="35">
        <f t="shared" si="58"/>
        <v>203.7</v>
      </c>
      <c r="BA166" s="35">
        <v>0</v>
      </c>
      <c r="BB166" s="35">
        <f t="shared" si="62"/>
        <v>203.7</v>
      </c>
      <c r="BC166" s="35"/>
      <c r="BD166" s="35">
        <f t="shared" si="59"/>
        <v>203.7</v>
      </c>
      <c r="BE166" s="35">
        <v>207.9</v>
      </c>
      <c r="BF166" s="35">
        <f t="shared" si="60"/>
        <v>-4.2</v>
      </c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10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10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10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10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10"/>
      <c r="HA166" s="9"/>
      <c r="HB166" s="9"/>
    </row>
    <row r="167" spans="1:210" s="2" customFormat="1" ht="17.149999999999999" customHeight="1">
      <c r="A167" s="18" t="s">
        <v>154</v>
      </c>
      <c r="B167" s="59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83"/>
      <c r="W167" s="83"/>
      <c r="X167" s="11"/>
      <c r="Y167" s="11"/>
      <c r="Z167" s="11"/>
      <c r="AA167" s="11"/>
      <c r="AB167" s="11"/>
      <c r="AC167" s="11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35"/>
      <c r="BB167" s="35"/>
      <c r="BC167" s="35"/>
      <c r="BD167" s="35"/>
      <c r="BE167" s="35"/>
      <c r="BF167" s="35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10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10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10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10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10"/>
      <c r="HA167" s="9"/>
      <c r="HB167" s="9"/>
    </row>
    <row r="168" spans="1:210" s="2" customFormat="1" ht="17.149999999999999" customHeight="1">
      <c r="A168" s="14" t="s">
        <v>69</v>
      </c>
      <c r="B168" s="63">
        <v>0</v>
      </c>
      <c r="C168" s="63">
        <v>0</v>
      </c>
      <c r="D168" s="4">
        <f t="shared" si="50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268.5</v>
      </c>
      <c r="O168" s="35">
        <v>201.8</v>
      </c>
      <c r="P168" s="4">
        <f t="shared" si="51"/>
        <v>0.7515828677839852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82">
        <v>1920</v>
      </c>
      <c r="W168" s="82">
        <v>2083</v>
      </c>
      <c r="X168" s="4">
        <f t="shared" si="52"/>
        <v>1.0848958333333334</v>
      </c>
      <c r="Y168" s="5">
        <v>5</v>
      </c>
      <c r="Z168" s="5">
        <v>595</v>
      </c>
      <c r="AA168" s="5">
        <v>639</v>
      </c>
      <c r="AB168" s="4">
        <f t="shared" si="53"/>
        <v>1.0739495798319327</v>
      </c>
      <c r="AC168" s="5">
        <v>20</v>
      </c>
      <c r="AD168" s="5" t="s">
        <v>360</v>
      </c>
      <c r="AE168" s="5" t="s">
        <v>360</v>
      </c>
      <c r="AF168" s="5" t="s">
        <v>360</v>
      </c>
      <c r="AG168" s="5" t="s">
        <v>360</v>
      </c>
      <c r="AH168" s="5" t="s">
        <v>360</v>
      </c>
      <c r="AI168" s="5" t="s">
        <v>360</v>
      </c>
      <c r="AJ168" s="5" t="s">
        <v>360</v>
      </c>
      <c r="AK168" s="5" t="s">
        <v>360</v>
      </c>
      <c r="AL168" s="5" t="s">
        <v>360</v>
      </c>
      <c r="AM168" s="5" t="s">
        <v>360</v>
      </c>
      <c r="AN168" s="5" t="s">
        <v>360</v>
      </c>
      <c r="AO168" s="5" t="s">
        <v>360</v>
      </c>
      <c r="AP168" s="43">
        <f t="shared" si="61"/>
        <v>0.9318917359774449</v>
      </c>
      <c r="AQ168" s="44">
        <v>2131</v>
      </c>
      <c r="AR168" s="35">
        <f t="shared" si="54"/>
        <v>581.18181818181813</v>
      </c>
      <c r="AS168" s="35">
        <f t="shared" si="55"/>
        <v>541.6</v>
      </c>
      <c r="AT168" s="35">
        <f t="shared" si="56"/>
        <v>-39.581818181818107</v>
      </c>
      <c r="AU168" s="35">
        <v>200.9</v>
      </c>
      <c r="AV168" s="35">
        <v>187.4</v>
      </c>
      <c r="AW168" s="35"/>
      <c r="AX168" s="35">
        <f t="shared" si="57"/>
        <v>153.30000000000001</v>
      </c>
      <c r="AY168" s="35"/>
      <c r="AZ168" s="35">
        <f t="shared" si="58"/>
        <v>153.30000000000001</v>
      </c>
      <c r="BA168" s="35">
        <v>0</v>
      </c>
      <c r="BB168" s="35">
        <f t="shared" si="62"/>
        <v>153.30000000000001</v>
      </c>
      <c r="BC168" s="35"/>
      <c r="BD168" s="35">
        <f t="shared" si="59"/>
        <v>153.30000000000001</v>
      </c>
      <c r="BE168" s="35">
        <v>142.19999999999999</v>
      </c>
      <c r="BF168" s="35">
        <f t="shared" si="60"/>
        <v>11.1</v>
      </c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10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10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10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10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10"/>
      <c r="HA168" s="9"/>
      <c r="HB168" s="9"/>
    </row>
    <row r="169" spans="1:210" s="2" customFormat="1" ht="17.149999999999999" customHeight="1">
      <c r="A169" s="14" t="s">
        <v>155</v>
      </c>
      <c r="B169" s="63">
        <v>0</v>
      </c>
      <c r="C169" s="63">
        <v>0</v>
      </c>
      <c r="D169" s="4">
        <f t="shared" si="50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393.2</v>
      </c>
      <c r="O169" s="35">
        <v>199.8</v>
      </c>
      <c r="P169" s="4">
        <f t="shared" si="51"/>
        <v>0.50813835198372337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82">
        <v>3500</v>
      </c>
      <c r="W169" s="82">
        <v>3112</v>
      </c>
      <c r="X169" s="4">
        <f t="shared" si="52"/>
        <v>0.88914285714285712</v>
      </c>
      <c r="Y169" s="5">
        <v>5</v>
      </c>
      <c r="Z169" s="5">
        <v>100</v>
      </c>
      <c r="AA169" s="5">
        <v>100</v>
      </c>
      <c r="AB169" s="4">
        <f t="shared" si="53"/>
        <v>1</v>
      </c>
      <c r="AC169" s="5">
        <v>20</v>
      </c>
      <c r="AD169" s="5" t="s">
        <v>360</v>
      </c>
      <c r="AE169" s="5" t="s">
        <v>360</v>
      </c>
      <c r="AF169" s="5" t="s">
        <v>360</v>
      </c>
      <c r="AG169" s="5" t="s">
        <v>360</v>
      </c>
      <c r="AH169" s="5" t="s">
        <v>360</v>
      </c>
      <c r="AI169" s="5" t="s">
        <v>360</v>
      </c>
      <c r="AJ169" s="5" t="s">
        <v>360</v>
      </c>
      <c r="AK169" s="5" t="s">
        <v>360</v>
      </c>
      <c r="AL169" s="5" t="s">
        <v>360</v>
      </c>
      <c r="AM169" s="5" t="s">
        <v>360</v>
      </c>
      <c r="AN169" s="5" t="s">
        <v>360</v>
      </c>
      <c r="AO169" s="5" t="s">
        <v>360</v>
      </c>
      <c r="AP169" s="43">
        <f t="shared" si="61"/>
        <v>0.7690773627864167</v>
      </c>
      <c r="AQ169" s="44">
        <v>1749</v>
      </c>
      <c r="AR169" s="35">
        <f t="shared" si="54"/>
        <v>477</v>
      </c>
      <c r="AS169" s="35">
        <f t="shared" si="55"/>
        <v>366.8</v>
      </c>
      <c r="AT169" s="35">
        <f t="shared" si="56"/>
        <v>-110.19999999999999</v>
      </c>
      <c r="AU169" s="35">
        <v>201.9</v>
      </c>
      <c r="AV169" s="35">
        <v>36.9</v>
      </c>
      <c r="AW169" s="35"/>
      <c r="AX169" s="35">
        <f t="shared" si="57"/>
        <v>128</v>
      </c>
      <c r="AY169" s="35"/>
      <c r="AZ169" s="35">
        <f t="shared" si="58"/>
        <v>128</v>
      </c>
      <c r="BA169" s="35">
        <v>0</v>
      </c>
      <c r="BB169" s="35">
        <f t="shared" si="62"/>
        <v>128</v>
      </c>
      <c r="BC169" s="35"/>
      <c r="BD169" s="35">
        <f t="shared" si="59"/>
        <v>128</v>
      </c>
      <c r="BE169" s="35">
        <v>120.9</v>
      </c>
      <c r="BF169" s="35">
        <f t="shared" si="60"/>
        <v>7.1</v>
      </c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10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10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10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10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10"/>
      <c r="HA169" s="9"/>
      <c r="HB169" s="9"/>
    </row>
    <row r="170" spans="1:210" s="2" customFormat="1" ht="17.149999999999999" customHeight="1">
      <c r="A170" s="14" t="s">
        <v>156</v>
      </c>
      <c r="B170" s="63">
        <v>0</v>
      </c>
      <c r="C170" s="63">
        <v>0</v>
      </c>
      <c r="D170" s="4">
        <f t="shared" si="50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290.89999999999998</v>
      </c>
      <c r="O170" s="35">
        <v>167.2</v>
      </c>
      <c r="P170" s="4">
        <f t="shared" si="51"/>
        <v>0.57476796149879683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82">
        <v>4570</v>
      </c>
      <c r="W170" s="82">
        <v>4852</v>
      </c>
      <c r="X170" s="4">
        <f t="shared" si="52"/>
        <v>1.0617067833698031</v>
      </c>
      <c r="Y170" s="5">
        <v>5</v>
      </c>
      <c r="Z170" s="5">
        <v>270</v>
      </c>
      <c r="AA170" s="5">
        <v>270</v>
      </c>
      <c r="AB170" s="4">
        <f t="shared" si="53"/>
        <v>1</v>
      </c>
      <c r="AC170" s="5">
        <v>20</v>
      </c>
      <c r="AD170" s="5" t="s">
        <v>360</v>
      </c>
      <c r="AE170" s="5" t="s">
        <v>360</v>
      </c>
      <c r="AF170" s="5" t="s">
        <v>360</v>
      </c>
      <c r="AG170" s="5" t="s">
        <v>360</v>
      </c>
      <c r="AH170" s="5" t="s">
        <v>360</v>
      </c>
      <c r="AI170" s="5" t="s">
        <v>360</v>
      </c>
      <c r="AJ170" s="5" t="s">
        <v>360</v>
      </c>
      <c r="AK170" s="5" t="s">
        <v>360</v>
      </c>
      <c r="AL170" s="5" t="s">
        <v>360</v>
      </c>
      <c r="AM170" s="5" t="s">
        <v>360</v>
      </c>
      <c r="AN170" s="5" t="s">
        <v>360</v>
      </c>
      <c r="AO170" s="5" t="s">
        <v>360</v>
      </c>
      <c r="AP170" s="43">
        <f t="shared" si="61"/>
        <v>0.81786429215166545</v>
      </c>
      <c r="AQ170" s="44">
        <v>2594</v>
      </c>
      <c r="AR170" s="35">
        <f t="shared" si="54"/>
        <v>707.4545454545455</v>
      </c>
      <c r="AS170" s="35">
        <f t="shared" si="55"/>
        <v>578.6</v>
      </c>
      <c r="AT170" s="35">
        <f t="shared" si="56"/>
        <v>-128.85454545454547</v>
      </c>
      <c r="AU170" s="35">
        <v>163.5</v>
      </c>
      <c r="AV170" s="35">
        <v>112</v>
      </c>
      <c r="AW170" s="35"/>
      <c r="AX170" s="35">
        <f t="shared" si="57"/>
        <v>303.10000000000002</v>
      </c>
      <c r="AY170" s="35"/>
      <c r="AZ170" s="35">
        <f t="shared" si="58"/>
        <v>303.10000000000002</v>
      </c>
      <c r="BA170" s="35">
        <v>0</v>
      </c>
      <c r="BB170" s="35">
        <f t="shared" si="62"/>
        <v>303.10000000000002</v>
      </c>
      <c r="BC170" s="35"/>
      <c r="BD170" s="35">
        <f t="shared" si="59"/>
        <v>303.10000000000002</v>
      </c>
      <c r="BE170" s="35">
        <v>281.5</v>
      </c>
      <c r="BF170" s="35">
        <f t="shared" si="60"/>
        <v>21.6</v>
      </c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10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10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10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10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10"/>
      <c r="HA170" s="9"/>
      <c r="HB170" s="9"/>
    </row>
    <row r="171" spans="1:210" s="2" customFormat="1" ht="17.149999999999999" customHeight="1">
      <c r="A171" s="14" t="s">
        <v>157</v>
      </c>
      <c r="B171" s="63">
        <v>0</v>
      </c>
      <c r="C171" s="63">
        <v>0</v>
      </c>
      <c r="D171" s="4">
        <f t="shared" si="50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871.5</v>
      </c>
      <c r="O171" s="35">
        <v>880.1</v>
      </c>
      <c r="P171" s="4">
        <f t="shared" si="51"/>
        <v>1.0098680436029834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82">
        <v>8020</v>
      </c>
      <c r="W171" s="82">
        <v>6958</v>
      </c>
      <c r="X171" s="4">
        <f t="shared" si="52"/>
        <v>0.86758104738154618</v>
      </c>
      <c r="Y171" s="5">
        <v>5</v>
      </c>
      <c r="Z171" s="5">
        <v>210</v>
      </c>
      <c r="AA171" s="5">
        <v>222</v>
      </c>
      <c r="AB171" s="4">
        <f t="shared" si="53"/>
        <v>1.0571428571428572</v>
      </c>
      <c r="AC171" s="5">
        <v>20</v>
      </c>
      <c r="AD171" s="5" t="s">
        <v>360</v>
      </c>
      <c r="AE171" s="5" t="s">
        <v>360</v>
      </c>
      <c r="AF171" s="5" t="s">
        <v>360</v>
      </c>
      <c r="AG171" s="5" t="s">
        <v>360</v>
      </c>
      <c r="AH171" s="5" t="s">
        <v>360</v>
      </c>
      <c r="AI171" s="5" t="s">
        <v>360</v>
      </c>
      <c r="AJ171" s="5" t="s">
        <v>360</v>
      </c>
      <c r="AK171" s="5" t="s">
        <v>360</v>
      </c>
      <c r="AL171" s="5" t="s">
        <v>360</v>
      </c>
      <c r="AM171" s="5" t="s">
        <v>360</v>
      </c>
      <c r="AN171" s="5" t="s">
        <v>360</v>
      </c>
      <c r="AO171" s="5" t="s">
        <v>360</v>
      </c>
      <c r="AP171" s="43">
        <f t="shared" si="61"/>
        <v>1.0150694055961009</v>
      </c>
      <c r="AQ171" s="44">
        <v>2749</v>
      </c>
      <c r="AR171" s="35">
        <f t="shared" si="54"/>
        <v>749.72727272727275</v>
      </c>
      <c r="AS171" s="35">
        <f t="shared" si="55"/>
        <v>761</v>
      </c>
      <c r="AT171" s="35">
        <f t="shared" si="56"/>
        <v>11.272727272727252</v>
      </c>
      <c r="AU171" s="35">
        <v>303.5</v>
      </c>
      <c r="AV171" s="35">
        <v>138.19999999999999</v>
      </c>
      <c r="AW171" s="35"/>
      <c r="AX171" s="35">
        <f t="shared" si="57"/>
        <v>319.3</v>
      </c>
      <c r="AY171" s="35"/>
      <c r="AZ171" s="35">
        <f t="shared" si="58"/>
        <v>319.3</v>
      </c>
      <c r="BA171" s="35">
        <v>0</v>
      </c>
      <c r="BB171" s="35">
        <f t="shared" si="62"/>
        <v>319.3</v>
      </c>
      <c r="BC171" s="35"/>
      <c r="BD171" s="35">
        <f t="shared" si="59"/>
        <v>319.3</v>
      </c>
      <c r="BE171" s="35">
        <v>333.1</v>
      </c>
      <c r="BF171" s="35">
        <f t="shared" si="60"/>
        <v>-13.8</v>
      </c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10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10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10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10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10"/>
      <c r="HA171" s="9"/>
      <c r="HB171" s="9"/>
    </row>
    <row r="172" spans="1:210" s="2" customFormat="1" ht="17.149999999999999" customHeight="1">
      <c r="A172" s="14" t="s">
        <v>158</v>
      </c>
      <c r="B172" s="63">
        <v>285490</v>
      </c>
      <c r="C172" s="63">
        <v>270208.90000000002</v>
      </c>
      <c r="D172" s="4">
        <f t="shared" si="50"/>
        <v>0.94647413219377219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6186.9</v>
      </c>
      <c r="O172" s="35">
        <v>5871.5</v>
      </c>
      <c r="P172" s="4">
        <f t="shared" si="51"/>
        <v>0.94902131923903743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82">
        <v>290200</v>
      </c>
      <c r="W172" s="82">
        <v>276804</v>
      </c>
      <c r="X172" s="4">
        <f t="shared" si="52"/>
        <v>0.95383873190902824</v>
      </c>
      <c r="Y172" s="5">
        <v>5</v>
      </c>
      <c r="Z172" s="5">
        <v>1153</v>
      </c>
      <c r="AA172" s="5">
        <v>1091</v>
      </c>
      <c r="AB172" s="4">
        <f t="shared" si="53"/>
        <v>0.94622723330442327</v>
      </c>
      <c r="AC172" s="5">
        <v>20</v>
      </c>
      <c r="AD172" s="5" t="s">
        <v>360</v>
      </c>
      <c r="AE172" s="5" t="s">
        <v>360</v>
      </c>
      <c r="AF172" s="5" t="s">
        <v>360</v>
      </c>
      <c r="AG172" s="5" t="s">
        <v>360</v>
      </c>
      <c r="AH172" s="5" t="s">
        <v>360</v>
      </c>
      <c r="AI172" s="5" t="s">
        <v>360</v>
      </c>
      <c r="AJ172" s="5" t="s">
        <v>360</v>
      </c>
      <c r="AK172" s="5" t="s">
        <v>360</v>
      </c>
      <c r="AL172" s="5" t="s">
        <v>360</v>
      </c>
      <c r="AM172" s="5" t="s">
        <v>360</v>
      </c>
      <c r="AN172" s="5" t="s">
        <v>360</v>
      </c>
      <c r="AO172" s="5" t="s">
        <v>360</v>
      </c>
      <c r="AP172" s="43">
        <f t="shared" si="61"/>
        <v>0.94813070742766425</v>
      </c>
      <c r="AQ172" s="44">
        <v>4290</v>
      </c>
      <c r="AR172" s="35">
        <f t="shared" si="54"/>
        <v>1170</v>
      </c>
      <c r="AS172" s="35">
        <f t="shared" si="55"/>
        <v>1109.3</v>
      </c>
      <c r="AT172" s="35">
        <f t="shared" si="56"/>
        <v>-60.700000000000045</v>
      </c>
      <c r="AU172" s="35">
        <v>464.1</v>
      </c>
      <c r="AV172" s="35">
        <v>337.9</v>
      </c>
      <c r="AW172" s="35"/>
      <c r="AX172" s="35">
        <f t="shared" si="57"/>
        <v>307.3</v>
      </c>
      <c r="AY172" s="35"/>
      <c r="AZ172" s="35">
        <f t="shared" si="58"/>
        <v>307.3</v>
      </c>
      <c r="BA172" s="35">
        <v>0</v>
      </c>
      <c r="BB172" s="35">
        <f t="shared" si="62"/>
        <v>307.3</v>
      </c>
      <c r="BC172" s="35"/>
      <c r="BD172" s="35">
        <f t="shared" si="59"/>
        <v>307.3</v>
      </c>
      <c r="BE172" s="35">
        <v>306.60000000000002</v>
      </c>
      <c r="BF172" s="35">
        <f t="shared" si="60"/>
        <v>0.7</v>
      </c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10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10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10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10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10"/>
      <c r="HA172" s="9"/>
      <c r="HB172" s="9"/>
    </row>
    <row r="173" spans="1:210" s="2" customFormat="1" ht="17.149999999999999" customHeight="1">
      <c r="A173" s="14" t="s">
        <v>159</v>
      </c>
      <c r="B173" s="63">
        <v>0</v>
      </c>
      <c r="C173" s="63">
        <v>0</v>
      </c>
      <c r="D173" s="4">
        <f t="shared" si="50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301.3</v>
      </c>
      <c r="O173" s="35">
        <v>564.70000000000005</v>
      </c>
      <c r="P173" s="4">
        <f t="shared" si="51"/>
        <v>1.2674211749087287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82">
        <v>4540</v>
      </c>
      <c r="W173" s="82">
        <v>4084</v>
      </c>
      <c r="X173" s="4">
        <f t="shared" si="52"/>
        <v>0.89955947136563874</v>
      </c>
      <c r="Y173" s="5">
        <v>5</v>
      </c>
      <c r="Z173" s="5">
        <v>140</v>
      </c>
      <c r="AA173" s="5">
        <v>142</v>
      </c>
      <c r="AB173" s="4">
        <f t="shared" si="53"/>
        <v>1.0142857142857142</v>
      </c>
      <c r="AC173" s="5">
        <v>20</v>
      </c>
      <c r="AD173" s="5" t="s">
        <v>360</v>
      </c>
      <c r="AE173" s="5" t="s">
        <v>360</v>
      </c>
      <c r="AF173" s="5" t="s">
        <v>360</v>
      </c>
      <c r="AG173" s="5" t="s">
        <v>360</v>
      </c>
      <c r="AH173" s="5" t="s">
        <v>360</v>
      </c>
      <c r="AI173" s="5" t="s">
        <v>360</v>
      </c>
      <c r="AJ173" s="5" t="s">
        <v>360</v>
      </c>
      <c r="AK173" s="5" t="s">
        <v>360</v>
      </c>
      <c r="AL173" s="5" t="s">
        <v>360</v>
      </c>
      <c r="AM173" s="5" t="s">
        <v>360</v>
      </c>
      <c r="AN173" s="5" t="s">
        <v>360</v>
      </c>
      <c r="AO173" s="5" t="s">
        <v>360</v>
      </c>
      <c r="AP173" s="43">
        <f t="shared" si="61"/>
        <v>1.1140430031270456</v>
      </c>
      <c r="AQ173" s="44">
        <v>1649</v>
      </c>
      <c r="AR173" s="35">
        <f t="shared" si="54"/>
        <v>449.72727272727275</v>
      </c>
      <c r="AS173" s="35">
        <f t="shared" si="55"/>
        <v>501</v>
      </c>
      <c r="AT173" s="35">
        <f t="shared" si="56"/>
        <v>51.272727272727252</v>
      </c>
      <c r="AU173" s="35">
        <v>185.3</v>
      </c>
      <c r="AV173" s="35">
        <v>180.9</v>
      </c>
      <c r="AW173" s="35"/>
      <c r="AX173" s="35">
        <f t="shared" si="57"/>
        <v>134.80000000000001</v>
      </c>
      <c r="AY173" s="35"/>
      <c r="AZ173" s="35">
        <f t="shared" si="58"/>
        <v>134.80000000000001</v>
      </c>
      <c r="BA173" s="35">
        <v>0</v>
      </c>
      <c r="BB173" s="35">
        <f t="shared" si="62"/>
        <v>134.80000000000001</v>
      </c>
      <c r="BC173" s="35"/>
      <c r="BD173" s="35">
        <f t="shared" si="59"/>
        <v>134.80000000000001</v>
      </c>
      <c r="BE173" s="35">
        <v>146.9</v>
      </c>
      <c r="BF173" s="35">
        <f t="shared" si="60"/>
        <v>-12.1</v>
      </c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10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10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10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10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10"/>
      <c r="HA173" s="9"/>
      <c r="HB173" s="9"/>
    </row>
    <row r="174" spans="1:210" s="2" customFormat="1" ht="17.149999999999999" customHeight="1">
      <c r="A174" s="14" t="s">
        <v>160</v>
      </c>
      <c r="B174" s="63">
        <v>21230</v>
      </c>
      <c r="C174" s="63">
        <v>11393.3</v>
      </c>
      <c r="D174" s="4">
        <f t="shared" si="50"/>
        <v>0.53666038624587842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2167.8000000000002</v>
      </c>
      <c r="O174" s="35">
        <v>2177.6</v>
      </c>
      <c r="P174" s="4">
        <f t="shared" si="51"/>
        <v>1.0045207122428268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82">
        <v>64200</v>
      </c>
      <c r="W174" s="82">
        <v>69563</v>
      </c>
      <c r="X174" s="4">
        <f t="shared" si="52"/>
        <v>1.0835358255451712</v>
      </c>
      <c r="Y174" s="5">
        <v>5</v>
      </c>
      <c r="Z174" s="5">
        <v>160</v>
      </c>
      <c r="AA174" s="5">
        <v>174</v>
      </c>
      <c r="AB174" s="4">
        <f t="shared" si="53"/>
        <v>1.0874999999999999</v>
      </c>
      <c r="AC174" s="5">
        <v>20</v>
      </c>
      <c r="AD174" s="5" t="s">
        <v>360</v>
      </c>
      <c r="AE174" s="5" t="s">
        <v>360</v>
      </c>
      <c r="AF174" s="5" t="s">
        <v>360</v>
      </c>
      <c r="AG174" s="5" t="s">
        <v>360</v>
      </c>
      <c r="AH174" s="5" t="s">
        <v>360</v>
      </c>
      <c r="AI174" s="5" t="s">
        <v>360</v>
      </c>
      <c r="AJ174" s="5" t="s">
        <v>360</v>
      </c>
      <c r="AK174" s="5" t="s">
        <v>360</v>
      </c>
      <c r="AL174" s="5" t="s">
        <v>360</v>
      </c>
      <c r="AM174" s="5" t="s">
        <v>360</v>
      </c>
      <c r="AN174" s="5" t="s">
        <v>360</v>
      </c>
      <c r="AO174" s="5" t="s">
        <v>360</v>
      </c>
      <c r="AP174" s="43">
        <f t="shared" si="61"/>
        <v>0.99882790607623562</v>
      </c>
      <c r="AQ174" s="44">
        <v>2294</v>
      </c>
      <c r="AR174" s="35">
        <f t="shared" si="54"/>
        <v>625.63636363636363</v>
      </c>
      <c r="AS174" s="35">
        <f t="shared" si="55"/>
        <v>624.9</v>
      </c>
      <c r="AT174" s="35">
        <f t="shared" si="56"/>
        <v>-0.73636363636364877</v>
      </c>
      <c r="AU174" s="35">
        <v>225.7</v>
      </c>
      <c r="AV174" s="35">
        <v>151</v>
      </c>
      <c r="AW174" s="35">
        <v>14.6</v>
      </c>
      <c r="AX174" s="35">
        <f t="shared" si="57"/>
        <v>233.6</v>
      </c>
      <c r="AY174" s="35"/>
      <c r="AZ174" s="35">
        <f t="shared" si="58"/>
        <v>233.6</v>
      </c>
      <c r="BA174" s="35">
        <v>0</v>
      </c>
      <c r="BB174" s="35">
        <f t="shared" si="62"/>
        <v>233.6</v>
      </c>
      <c r="BC174" s="35"/>
      <c r="BD174" s="35">
        <f t="shared" si="59"/>
        <v>233.6</v>
      </c>
      <c r="BE174" s="35">
        <v>227.7</v>
      </c>
      <c r="BF174" s="35">
        <f t="shared" si="60"/>
        <v>5.9</v>
      </c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10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10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10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10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10"/>
      <c r="HA174" s="9"/>
      <c r="HB174" s="9"/>
    </row>
    <row r="175" spans="1:210" s="2" customFormat="1" ht="17.149999999999999" customHeight="1">
      <c r="A175" s="14" t="s">
        <v>161</v>
      </c>
      <c r="B175" s="63">
        <v>0</v>
      </c>
      <c r="C175" s="63">
        <v>0</v>
      </c>
      <c r="D175" s="4">
        <f t="shared" si="50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390.6</v>
      </c>
      <c r="O175" s="35">
        <v>487.6</v>
      </c>
      <c r="P175" s="4">
        <f t="shared" si="51"/>
        <v>1.2048335893497184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82">
        <v>10510</v>
      </c>
      <c r="W175" s="82">
        <v>12584</v>
      </c>
      <c r="X175" s="4">
        <f t="shared" si="52"/>
        <v>1.197335870599429</v>
      </c>
      <c r="Y175" s="5">
        <v>5</v>
      </c>
      <c r="Z175" s="5">
        <v>180</v>
      </c>
      <c r="AA175" s="5">
        <v>174</v>
      </c>
      <c r="AB175" s="4">
        <f t="shared" si="53"/>
        <v>0.96666666666666667</v>
      </c>
      <c r="AC175" s="5">
        <v>20</v>
      </c>
      <c r="AD175" s="5" t="s">
        <v>360</v>
      </c>
      <c r="AE175" s="5" t="s">
        <v>360</v>
      </c>
      <c r="AF175" s="5" t="s">
        <v>360</v>
      </c>
      <c r="AG175" s="5" t="s">
        <v>360</v>
      </c>
      <c r="AH175" s="5" t="s">
        <v>360</v>
      </c>
      <c r="AI175" s="5" t="s">
        <v>360</v>
      </c>
      <c r="AJ175" s="5" t="s">
        <v>360</v>
      </c>
      <c r="AK175" s="5" t="s">
        <v>360</v>
      </c>
      <c r="AL175" s="5" t="s">
        <v>360</v>
      </c>
      <c r="AM175" s="5" t="s">
        <v>360</v>
      </c>
      <c r="AN175" s="5" t="s">
        <v>360</v>
      </c>
      <c r="AO175" s="5" t="s">
        <v>360</v>
      </c>
      <c r="AP175" s="43">
        <f t="shared" si="61"/>
        <v>1.0981485438516634</v>
      </c>
      <c r="AQ175" s="44">
        <v>1173</v>
      </c>
      <c r="AR175" s="35">
        <f t="shared" si="54"/>
        <v>319.90909090909093</v>
      </c>
      <c r="AS175" s="35">
        <f t="shared" si="55"/>
        <v>351.3</v>
      </c>
      <c r="AT175" s="35">
        <f t="shared" si="56"/>
        <v>31.390909090909076</v>
      </c>
      <c r="AU175" s="35">
        <v>125.7</v>
      </c>
      <c r="AV175" s="35">
        <v>130.19999999999999</v>
      </c>
      <c r="AW175" s="35"/>
      <c r="AX175" s="35">
        <f t="shared" si="57"/>
        <v>95.4</v>
      </c>
      <c r="AY175" s="35"/>
      <c r="AZ175" s="35">
        <f t="shared" si="58"/>
        <v>95.4</v>
      </c>
      <c r="BA175" s="35">
        <v>0</v>
      </c>
      <c r="BB175" s="35">
        <f t="shared" si="62"/>
        <v>95.4</v>
      </c>
      <c r="BC175" s="35"/>
      <c r="BD175" s="35">
        <f t="shared" si="59"/>
        <v>95.4</v>
      </c>
      <c r="BE175" s="35">
        <v>91.4</v>
      </c>
      <c r="BF175" s="35">
        <f t="shared" si="60"/>
        <v>4</v>
      </c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10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10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10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10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10"/>
      <c r="HA175" s="9"/>
      <c r="HB175" s="9"/>
    </row>
    <row r="176" spans="1:210" s="2" customFormat="1" ht="17.149999999999999" customHeight="1">
      <c r="A176" s="14" t="s">
        <v>162</v>
      </c>
      <c r="B176" s="63">
        <v>0</v>
      </c>
      <c r="C176" s="63">
        <v>0</v>
      </c>
      <c r="D176" s="4">
        <f t="shared" si="50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355.1</v>
      </c>
      <c r="O176" s="35">
        <v>462.7</v>
      </c>
      <c r="P176" s="4">
        <f t="shared" si="51"/>
        <v>1.2103013235708251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82">
        <v>2290</v>
      </c>
      <c r="W176" s="82">
        <v>2822</v>
      </c>
      <c r="X176" s="4">
        <f t="shared" si="52"/>
        <v>1.2032314410480349</v>
      </c>
      <c r="Y176" s="5">
        <v>5</v>
      </c>
      <c r="Z176" s="5">
        <v>95</v>
      </c>
      <c r="AA176" s="5">
        <v>95</v>
      </c>
      <c r="AB176" s="4">
        <f t="shared" si="53"/>
        <v>1</v>
      </c>
      <c r="AC176" s="5">
        <v>20</v>
      </c>
      <c r="AD176" s="5" t="s">
        <v>360</v>
      </c>
      <c r="AE176" s="5" t="s">
        <v>360</v>
      </c>
      <c r="AF176" s="5" t="s">
        <v>360</v>
      </c>
      <c r="AG176" s="5" t="s">
        <v>360</v>
      </c>
      <c r="AH176" s="5" t="s">
        <v>360</v>
      </c>
      <c r="AI176" s="5" t="s">
        <v>360</v>
      </c>
      <c r="AJ176" s="5" t="s">
        <v>360</v>
      </c>
      <c r="AK176" s="5" t="s">
        <v>360</v>
      </c>
      <c r="AL176" s="5" t="s">
        <v>360</v>
      </c>
      <c r="AM176" s="5" t="s">
        <v>360</v>
      </c>
      <c r="AN176" s="5" t="s">
        <v>360</v>
      </c>
      <c r="AO176" s="5" t="s">
        <v>360</v>
      </c>
      <c r="AP176" s="43">
        <f t="shared" si="61"/>
        <v>1.116048526147926</v>
      </c>
      <c r="AQ176" s="44">
        <v>1587</v>
      </c>
      <c r="AR176" s="35">
        <f t="shared" si="54"/>
        <v>432.81818181818187</v>
      </c>
      <c r="AS176" s="35">
        <f t="shared" si="55"/>
        <v>483</v>
      </c>
      <c r="AT176" s="35">
        <f t="shared" si="56"/>
        <v>50.18181818181813</v>
      </c>
      <c r="AU176" s="35">
        <v>187.6</v>
      </c>
      <c r="AV176" s="35">
        <v>0</v>
      </c>
      <c r="AW176" s="35">
        <v>43.4</v>
      </c>
      <c r="AX176" s="35">
        <f t="shared" si="57"/>
        <v>252</v>
      </c>
      <c r="AY176" s="35"/>
      <c r="AZ176" s="35">
        <f t="shared" si="58"/>
        <v>252</v>
      </c>
      <c r="BA176" s="35">
        <v>0</v>
      </c>
      <c r="BB176" s="35">
        <f t="shared" si="62"/>
        <v>252</v>
      </c>
      <c r="BC176" s="35">
        <f>MIN(BB176,7)</f>
        <v>7</v>
      </c>
      <c r="BD176" s="35">
        <f t="shared" si="59"/>
        <v>245</v>
      </c>
      <c r="BE176" s="35">
        <v>240.3</v>
      </c>
      <c r="BF176" s="35">
        <f t="shared" si="60"/>
        <v>4.7</v>
      </c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10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10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10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10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10"/>
      <c r="HA176" s="9"/>
      <c r="HB176" s="9"/>
    </row>
    <row r="177" spans="1:210" s="2" customFormat="1" ht="17.149999999999999" customHeight="1">
      <c r="A177" s="14" t="s">
        <v>97</v>
      </c>
      <c r="B177" s="63">
        <v>32980</v>
      </c>
      <c r="C177" s="63">
        <v>26115.3</v>
      </c>
      <c r="D177" s="4">
        <f t="shared" si="50"/>
        <v>0.79185263796240146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304.7</v>
      </c>
      <c r="O177" s="35">
        <v>387.7</v>
      </c>
      <c r="P177" s="4">
        <f t="shared" si="51"/>
        <v>1.2072399081063341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82">
        <v>2870</v>
      </c>
      <c r="W177" s="82">
        <v>3072</v>
      </c>
      <c r="X177" s="4">
        <f t="shared" si="52"/>
        <v>1.070383275261324</v>
      </c>
      <c r="Y177" s="5">
        <v>5</v>
      </c>
      <c r="Z177" s="5">
        <v>120</v>
      </c>
      <c r="AA177" s="5">
        <v>119</v>
      </c>
      <c r="AB177" s="4">
        <f t="shared" si="53"/>
        <v>0.9916666666666667</v>
      </c>
      <c r="AC177" s="5">
        <v>20</v>
      </c>
      <c r="AD177" s="5" t="s">
        <v>360</v>
      </c>
      <c r="AE177" s="5" t="s">
        <v>360</v>
      </c>
      <c r="AF177" s="5" t="s">
        <v>360</v>
      </c>
      <c r="AG177" s="5" t="s">
        <v>360</v>
      </c>
      <c r="AH177" s="5" t="s">
        <v>360</v>
      </c>
      <c r="AI177" s="5" t="s">
        <v>360</v>
      </c>
      <c r="AJ177" s="5" t="s">
        <v>360</v>
      </c>
      <c r="AK177" s="5" t="s">
        <v>360</v>
      </c>
      <c r="AL177" s="5" t="s">
        <v>360</v>
      </c>
      <c r="AM177" s="5" t="s">
        <v>360</v>
      </c>
      <c r="AN177" s="5" t="s">
        <v>360</v>
      </c>
      <c r="AO177" s="5" t="s">
        <v>360</v>
      </c>
      <c r="AP177" s="43">
        <f t="shared" si="61"/>
        <v>1.065786221231573</v>
      </c>
      <c r="AQ177" s="44">
        <v>2066</v>
      </c>
      <c r="AR177" s="35">
        <f t="shared" si="54"/>
        <v>563.4545454545455</v>
      </c>
      <c r="AS177" s="35">
        <f t="shared" si="55"/>
        <v>600.5</v>
      </c>
      <c r="AT177" s="35">
        <f t="shared" si="56"/>
        <v>37.045454545454504</v>
      </c>
      <c r="AU177" s="35">
        <v>196</v>
      </c>
      <c r="AV177" s="35">
        <v>106.9</v>
      </c>
      <c r="AW177" s="35">
        <v>16</v>
      </c>
      <c r="AX177" s="35">
        <f t="shared" si="57"/>
        <v>281.60000000000002</v>
      </c>
      <c r="AY177" s="35"/>
      <c r="AZ177" s="35">
        <f t="shared" si="58"/>
        <v>281.60000000000002</v>
      </c>
      <c r="BA177" s="35">
        <v>0</v>
      </c>
      <c r="BB177" s="35">
        <f t="shared" si="62"/>
        <v>281.60000000000002</v>
      </c>
      <c r="BC177" s="35"/>
      <c r="BD177" s="35">
        <f t="shared" si="59"/>
        <v>281.60000000000002</v>
      </c>
      <c r="BE177" s="35">
        <v>281.3</v>
      </c>
      <c r="BF177" s="35">
        <f t="shared" si="60"/>
        <v>0.3</v>
      </c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10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10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10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10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10"/>
      <c r="HA177" s="9"/>
      <c r="HB177" s="9"/>
    </row>
    <row r="178" spans="1:210" s="2" customFormat="1" ht="17.149999999999999" customHeight="1">
      <c r="A178" s="14" t="s">
        <v>163</v>
      </c>
      <c r="B178" s="63">
        <v>802570</v>
      </c>
      <c r="C178" s="63">
        <v>790061</v>
      </c>
      <c r="D178" s="4">
        <f t="shared" si="50"/>
        <v>0.98441382060131821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1130.5</v>
      </c>
      <c r="O178" s="35">
        <v>1278.9000000000001</v>
      </c>
      <c r="P178" s="4">
        <f t="shared" si="51"/>
        <v>1.1312693498452013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82">
        <v>14970</v>
      </c>
      <c r="W178" s="82">
        <v>13929</v>
      </c>
      <c r="X178" s="4">
        <f t="shared" si="52"/>
        <v>0.93046092184368734</v>
      </c>
      <c r="Y178" s="5">
        <v>5</v>
      </c>
      <c r="Z178" s="5">
        <v>552</v>
      </c>
      <c r="AA178" s="5">
        <v>552</v>
      </c>
      <c r="AB178" s="4">
        <f t="shared" si="53"/>
        <v>1</v>
      </c>
      <c r="AC178" s="5">
        <v>20</v>
      </c>
      <c r="AD178" s="5" t="s">
        <v>360</v>
      </c>
      <c r="AE178" s="5" t="s">
        <v>360</v>
      </c>
      <c r="AF178" s="5" t="s">
        <v>360</v>
      </c>
      <c r="AG178" s="5" t="s">
        <v>360</v>
      </c>
      <c r="AH178" s="5" t="s">
        <v>360</v>
      </c>
      <c r="AI178" s="5" t="s">
        <v>360</v>
      </c>
      <c r="AJ178" s="5" t="s">
        <v>360</v>
      </c>
      <c r="AK178" s="5" t="s">
        <v>360</v>
      </c>
      <c r="AL178" s="5" t="s">
        <v>360</v>
      </c>
      <c r="AM178" s="5" t="s">
        <v>360</v>
      </c>
      <c r="AN178" s="5" t="s">
        <v>360</v>
      </c>
      <c r="AO178" s="5" t="s">
        <v>360</v>
      </c>
      <c r="AP178" s="43">
        <f t="shared" si="61"/>
        <v>1.043995214182581</v>
      </c>
      <c r="AQ178" s="44">
        <v>2032</v>
      </c>
      <c r="AR178" s="35">
        <f t="shared" si="54"/>
        <v>554.18181818181813</v>
      </c>
      <c r="AS178" s="35">
        <f t="shared" si="55"/>
        <v>578.6</v>
      </c>
      <c r="AT178" s="35">
        <f t="shared" si="56"/>
        <v>24.418181818181893</v>
      </c>
      <c r="AU178" s="35">
        <v>183.3</v>
      </c>
      <c r="AV178" s="35">
        <v>218.5</v>
      </c>
      <c r="AW178" s="35"/>
      <c r="AX178" s="35">
        <f t="shared" si="57"/>
        <v>176.8</v>
      </c>
      <c r="AY178" s="35"/>
      <c r="AZ178" s="35">
        <f t="shared" si="58"/>
        <v>176.8</v>
      </c>
      <c r="BA178" s="35">
        <v>0</v>
      </c>
      <c r="BB178" s="35">
        <f t="shared" si="62"/>
        <v>176.8</v>
      </c>
      <c r="BC178" s="35"/>
      <c r="BD178" s="35">
        <f t="shared" si="59"/>
        <v>176.8</v>
      </c>
      <c r="BE178" s="35">
        <v>183.8</v>
      </c>
      <c r="BF178" s="35">
        <f t="shared" si="60"/>
        <v>-7</v>
      </c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10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10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10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10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10"/>
      <c r="HA178" s="9"/>
      <c r="HB178" s="9"/>
    </row>
    <row r="179" spans="1:210" s="2" customFormat="1" ht="17.149999999999999" customHeight="1">
      <c r="A179" s="14" t="s">
        <v>164</v>
      </c>
      <c r="B179" s="63">
        <v>60540</v>
      </c>
      <c r="C179" s="63">
        <v>70286.7</v>
      </c>
      <c r="D179" s="4">
        <f t="shared" si="50"/>
        <v>1.16099603567889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1081.5</v>
      </c>
      <c r="O179" s="35">
        <v>1557.9</v>
      </c>
      <c r="P179" s="4">
        <f t="shared" si="51"/>
        <v>1.2240499306518724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82">
        <v>28760</v>
      </c>
      <c r="W179" s="82">
        <v>30689</v>
      </c>
      <c r="X179" s="4">
        <f t="shared" si="52"/>
        <v>1.0670723226703756</v>
      </c>
      <c r="Y179" s="5">
        <v>5</v>
      </c>
      <c r="Z179" s="5">
        <v>210</v>
      </c>
      <c r="AA179" s="5">
        <v>215</v>
      </c>
      <c r="AB179" s="4">
        <f t="shared" si="53"/>
        <v>1.0238095238095237</v>
      </c>
      <c r="AC179" s="5">
        <v>20</v>
      </c>
      <c r="AD179" s="5" t="s">
        <v>360</v>
      </c>
      <c r="AE179" s="5" t="s">
        <v>360</v>
      </c>
      <c r="AF179" s="5" t="s">
        <v>360</v>
      </c>
      <c r="AG179" s="5" t="s">
        <v>360</v>
      </c>
      <c r="AH179" s="5" t="s">
        <v>360</v>
      </c>
      <c r="AI179" s="5" t="s">
        <v>360</v>
      </c>
      <c r="AJ179" s="5" t="s">
        <v>360</v>
      </c>
      <c r="AK179" s="5" t="s">
        <v>360</v>
      </c>
      <c r="AL179" s="5" t="s">
        <v>360</v>
      </c>
      <c r="AM179" s="5" t="s">
        <v>360</v>
      </c>
      <c r="AN179" s="5" t="s">
        <v>360</v>
      </c>
      <c r="AO179" s="5" t="s">
        <v>360</v>
      </c>
      <c r="AP179" s="43">
        <f t="shared" si="61"/>
        <v>1.1219506176194851</v>
      </c>
      <c r="AQ179" s="44">
        <v>3300</v>
      </c>
      <c r="AR179" s="35">
        <f t="shared" si="54"/>
        <v>900</v>
      </c>
      <c r="AS179" s="35">
        <f t="shared" si="55"/>
        <v>1009.8</v>
      </c>
      <c r="AT179" s="35">
        <f t="shared" si="56"/>
        <v>109.79999999999995</v>
      </c>
      <c r="AU179" s="35">
        <v>370.5</v>
      </c>
      <c r="AV179" s="35">
        <v>360</v>
      </c>
      <c r="AW179" s="35"/>
      <c r="AX179" s="35">
        <f t="shared" si="57"/>
        <v>279.3</v>
      </c>
      <c r="AY179" s="35"/>
      <c r="AZ179" s="35">
        <f t="shared" si="58"/>
        <v>279.3</v>
      </c>
      <c r="BA179" s="35">
        <v>0</v>
      </c>
      <c r="BB179" s="35">
        <f t="shared" si="62"/>
        <v>279.3</v>
      </c>
      <c r="BC179" s="35"/>
      <c r="BD179" s="35">
        <f t="shared" si="59"/>
        <v>279.3</v>
      </c>
      <c r="BE179" s="35">
        <v>284.7</v>
      </c>
      <c r="BF179" s="35">
        <f t="shared" si="60"/>
        <v>-5.4</v>
      </c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10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10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10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10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10"/>
      <c r="HA179" s="9"/>
      <c r="HB179" s="9"/>
    </row>
    <row r="180" spans="1:210" s="2" customFormat="1" ht="17.149999999999999" customHeight="1">
      <c r="A180" s="14" t="s">
        <v>165</v>
      </c>
      <c r="B180" s="63">
        <v>6340</v>
      </c>
      <c r="C180" s="63">
        <v>4370.3</v>
      </c>
      <c r="D180" s="4">
        <f t="shared" si="50"/>
        <v>0.68932176656151423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689.5</v>
      </c>
      <c r="O180" s="35">
        <v>569.20000000000005</v>
      </c>
      <c r="P180" s="4">
        <f t="shared" si="51"/>
        <v>0.82552574329224082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82">
        <v>3110</v>
      </c>
      <c r="W180" s="82">
        <v>3865</v>
      </c>
      <c r="X180" s="4">
        <f t="shared" si="52"/>
        <v>1.2042765273311897</v>
      </c>
      <c r="Y180" s="5">
        <v>5</v>
      </c>
      <c r="Z180" s="5">
        <v>65</v>
      </c>
      <c r="AA180" s="5">
        <v>79</v>
      </c>
      <c r="AB180" s="4">
        <f t="shared" si="53"/>
        <v>1.2015384615384614</v>
      </c>
      <c r="AC180" s="5">
        <v>20</v>
      </c>
      <c r="AD180" s="5" t="s">
        <v>360</v>
      </c>
      <c r="AE180" s="5" t="s">
        <v>360</v>
      </c>
      <c r="AF180" s="5" t="s">
        <v>360</v>
      </c>
      <c r="AG180" s="5" t="s">
        <v>360</v>
      </c>
      <c r="AH180" s="5" t="s">
        <v>360</v>
      </c>
      <c r="AI180" s="5" t="s">
        <v>360</v>
      </c>
      <c r="AJ180" s="5" t="s">
        <v>360</v>
      </c>
      <c r="AK180" s="5" t="s">
        <v>360</v>
      </c>
      <c r="AL180" s="5" t="s">
        <v>360</v>
      </c>
      <c r="AM180" s="5" t="s">
        <v>360</v>
      </c>
      <c r="AN180" s="5" t="s">
        <v>360</v>
      </c>
      <c r="AO180" s="5" t="s">
        <v>360</v>
      </c>
      <c r="AP180" s="43">
        <f t="shared" si="61"/>
        <v>1.0001855113215512</v>
      </c>
      <c r="AQ180" s="44">
        <v>2100</v>
      </c>
      <c r="AR180" s="35">
        <f t="shared" si="54"/>
        <v>572.72727272727275</v>
      </c>
      <c r="AS180" s="35">
        <f t="shared" si="55"/>
        <v>572.79999999999995</v>
      </c>
      <c r="AT180" s="35">
        <f t="shared" si="56"/>
        <v>7.2727272727206582E-2</v>
      </c>
      <c r="AU180" s="35">
        <v>214.2</v>
      </c>
      <c r="AV180" s="35">
        <v>86.4</v>
      </c>
      <c r="AW180" s="35"/>
      <c r="AX180" s="35">
        <f t="shared" si="57"/>
        <v>272.2</v>
      </c>
      <c r="AY180" s="35"/>
      <c r="AZ180" s="35">
        <f t="shared" si="58"/>
        <v>272.2</v>
      </c>
      <c r="BA180" s="35">
        <v>0</v>
      </c>
      <c r="BB180" s="35">
        <f t="shared" si="62"/>
        <v>272.2</v>
      </c>
      <c r="BC180" s="35"/>
      <c r="BD180" s="35">
        <f t="shared" si="59"/>
        <v>272.2</v>
      </c>
      <c r="BE180" s="35">
        <v>259.2</v>
      </c>
      <c r="BF180" s="35">
        <f t="shared" si="60"/>
        <v>13</v>
      </c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10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10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10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10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10"/>
      <c r="HA180" s="9"/>
      <c r="HB180" s="9"/>
    </row>
    <row r="181" spans="1:210" s="2" customFormat="1" ht="17.149999999999999" customHeight="1">
      <c r="A181" s="18" t="s">
        <v>166</v>
      </c>
      <c r="B181" s="5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83"/>
      <c r="W181" s="83"/>
      <c r="X181" s="11"/>
      <c r="Y181" s="11"/>
      <c r="Z181" s="11"/>
      <c r="AA181" s="11"/>
      <c r="AB181" s="11"/>
      <c r="AC181" s="1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35"/>
      <c r="BB181" s="35"/>
      <c r="BC181" s="35"/>
      <c r="BD181" s="35"/>
      <c r="BE181" s="35"/>
      <c r="BF181" s="35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10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10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10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10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10"/>
      <c r="HA181" s="9"/>
      <c r="HB181" s="9"/>
    </row>
    <row r="182" spans="1:210" s="2" customFormat="1" ht="17.149999999999999" customHeight="1">
      <c r="A182" s="14" t="s">
        <v>167</v>
      </c>
      <c r="B182" s="63">
        <v>0</v>
      </c>
      <c r="C182" s="63">
        <v>0</v>
      </c>
      <c r="D182" s="4">
        <f t="shared" si="50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581.70000000000005</v>
      </c>
      <c r="O182" s="35">
        <v>135.69999999999999</v>
      </c>
      <c r="P182" s="4">
        <f t="shared" si="51"/>
        <v>0.23328176035757259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82">
        <v>4693</v>
      </c>
      <c r="W182" s="82">
        <v>4544</v>
      </c>
      <c r="X182" s="4">
        <f t="shared" si="52"/>
        <v>0.96825058597911784</v>
      </c>
      <c r="Y182" s="5">
        <v>5</v>
      </c>
      <c r="Z182" s="5">
        <v>524</v>
      </c>
      <c r="AA182" s="5">
        <v>530</v>
      </c>
      <c r="AB182" s="4">
        <f t="shared" si="53"/>
        <v>1.0114503816793894</v>
      </c>
      <c r="AC182" s="5">
        <v>20</v>
      </c>
      <c r="AD182" s="5" t="s">
        <v>360</v>
      </c>
      <c r="AE182" s="5" t="s">
        <v>360</v>
      </c>
      <c r="AF182" s="5" t="s">
        <v>360</v>
      </c>
      <c r="AG182" s="5" t="s">
        <v>360</v>
      </c>
      <c r="AH182" s="5" t="s">
        <v>360</v>
      </c>
      <c r="AI182" s="5" t="s">
        <v>360</v>
      </c>
      <c r="AJ182" s="5" t="s">
        <v>360</v>
      </c>
      <c r="AK182" s="5" t="s">
        <v>360</v>
      </c>
      <c r="AL182" s="5" t="s">
        <v>360</v>
      </c>
      <c r="AM182" s="5" t="s">
        <v>360</v>
      </c>
      <c r="AN182" s="5" t="s">
        <v>360</v>
      </c>
      <c r="AO182" s="5" t="s">
        <v>360</v>
      </c>
      <c r="AP182" s="43">
        <f t="shared" si="61"/>
        <v>0.66079768379188508</v>
      </c>
      <c r="AQ182" s="44">
        <v>1248</v>
      </c>
      <c r="AR182" s="35">
        <f t="shared" si="54"/>
        <v>340.36363636363637</v>
      </c>
      <c r="AS182" s="35">
        <f t="shared" si="55"/>
        <v>224.9</v>
      </c>
      <c r="AT182" s="35">
        <f t="shared" si="56"/>
        <v>-115.46363636363637</v>
      </c>
      <c r="AU182" s="35">
        <v>13.6</v>
      </c>
      <c r="AV182" s="35">
        <v>74.3</v>
      </c>
      <c r="AW182" s="35">
        <v>17.7</v>
      </c>
      <c r="AX182" s="35">
        <f t="shared" si="57"/>
        <v>119.3</v>
      </c>
      <c r="AY182" s="35"/>
      <c r="AZ182" s="35">
        <f t="shared" si="58"/>
        <v>119.3</v>
      </c>
      <c r="BA182" s="35">
        <v>0</v>
      </c>
      <c r="BB182" s="35">
        <f t="shared" si="62"/>
        <v>119.3</v>
      </c>
      <c r="BC182" s="35"/>
      <c r="BD182" s="35">
        <f t="shared" si="59"/>
        <v>119.3</v>
      </c>
      <c r="BE182" s="35">
        <v>106.2</v>
      </c>
      <c r="BF182" s="35">
        <f t="shared" si="60"/>
        <v>13.1</v>
      </c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10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10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10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10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10"/>
      <c r="HA182" s="9"/>
      <c r="HB182" s="9"/>
    </row>
    <row r="183" spans="1:210" s="2" customFormat="1" ht="17.149999999999999" customHeight="1">
      <c r="A183" s="14" t="s">
        <v>168</v>
      </c>
      <c r="B183" s="63">
        <v>71181</v>
      </c>
      <c r="C183" s="63">
        <v>75163.399999999994</v>
      </c>
      <c r="D183" s="4">
        <f t="shared" si="50"/>
        <v>1.0559475140838144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2517.9</v>
      </c>
      <c r="O183" s="35">
        <v>2250.3000000000002</v>
      </c>
      <c r="P183" s="4">
        <f t="shared" si="51"/>
        <v>0.89372095794114148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82">
        <v>147110</v>
      </c>
      <c r="W183" s="82">
        <v>160103</v>
      </c>
      <c r="X183" s="4">
        <f t="shared" si="52"/>
        <v>1.0883216640609068</v>
      </c>
      <c r="Y183" s="5">
        <v>5</v>
      </c>
      <c r="Z183" s="5">
        <v>349</v>
      </c>
      <c r="AA183" s="5">
        <v>379</v>
      </c>
      <c r="AB183" s="4">
        <f t="shared" si="53"/>
        <v>1.0859598853868195</v>
      </c>
      <c r="AC183" s="5">
        <v>20</v>
      </c>
      <c r="AD183" s="5" t="s">
        <v>360</v>
      </c>
      <c r="AE183" s="5" t="s">
        <v>360</v>
      </c>
      <c r="AF183" s="5" t="s">
        <v>360</v>
      </c>
      <c r="AG183" s="5" t="s">
        <v>360</v>
      </c>
      <c r="AH183" s="5" t="s">
        <v>360</v>
      </c>
      <c r="AI183" s="5" t="s">
        <v>360</v>
      </c>
      <c r="AJ183" s="5" t="s">
        <v>360</v>
      </c>
      <c r="AK183" s="5" t="s">
        <v>360</v>
      </c>
      <c r="AL183" s="5" t="s">
        <v>360</v>
      </c>
      <c r="AM183" s="5" t="s">
        <v>360</v>
      </c>
      <c r="AN183" s="5" t="s">
        <v>360</v>
      </c>
      <c r="AO183" s="5" t="s">
        <v>360</v>
      </c>
      <c r="AP183" s="43">
        <f t="shared" si="61"/>
        <v>1.0062992551456567</v>
      </c>
      <c r="AQ183" s="44">
        <v>2508</v>
      </c>
      <c r="AR183" s="35">
        <f t="shared" si="54"/>
        <v>684</v>
      </c>
      <c r="AS183" s="35">
        <f t="shared" si="55"/>
        <v>688.3</v>
      </c>
      <c r="AT183" s="35">
        <f t="shared" si="56"/>
        <v>4.2999999999999545</v>
      </c>
      <c r="AU183" s="35">
        <v>242.4</v>
      </c>
      <c r="AV183" s="35">
        <v>192</v>
      </c>
      <c r="AW183" s="35"/>
      <c r="AX183" s="35">
        <f t="shared" si="57"/>
        <v>253.9</v>
      </c>
      <c r="AY183" s="35"/>
      <c r="AZ183" s="35">
        <f t="shared" si="58"/>
        <v>253.9</v>
      </c>
      <c r="BA183" s="35">
        <v>0</v>
      </c>
      <c r="BB183" s="35">
        <f t="shared" si="62"/>
        <v>253.9</v>
      </c>
      <c r="BC183" s="35"/>
      <c r="BD183" s="35">
        <f t="shared" si="59"/>
        <v>253.9</v>
      </c>
      <c r="BE183" s="35">
        <v>247.7</v>
      </c>
      <c r="BF183" s="35">
        <f t="shared" si="60"/>
        <v>6.2</v>
      </c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10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10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10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10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10"/>
      <c r="HA183" s="9"/>
      <c r="HB183" s="9"/>
    </row>
    <row r="184" spans="1:210" s="2" customFormat="1" ht="17.149999999999999" customHeight="1">
      <c r="A184" s="14" t="s">
        <v>169</v>
      </c>
      <c r="B184" s="63">
        <v>0</v>
      </c>
      <c r="C184" s="63">
        <v>0</v>
      </c>
      <c r="D184" s="4">
        <f t="shared" si="50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219.3</v>
      </c>
      <c r="O184" s="35">
        <v>261.10000000000002</v>
      </c>
      <c r="P184" s="4">
        <f t="shared" si="51"/>
        <v>1.1906064751481988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82">
        <v>2471</v>
      </c>
      <c r="W184" s="82">
        <v>3135</v>
      </c>
      <c r="X184" s="4">
        <f t="shared" si="52"/>
        <v>1.2068717118575476</v>
      </c>
      <c r="Y184" s="5">
        <v>5</v>
      </c>
      <c r="Z184" s="5">
        <v>111</v>
      </c>
      <c r="AA184" s="5">
        <v>111</v>
      </c>
      <c r="AB184" s="4">
        <f t="shared" si="53"/>
        <v>1</v>
      </c>
      <c r="AC184" s="5">
        <v>20</v>
      </c>
      <c r="AD184" s="5" t="s">
        <v>360</v>
      </c>
      <c r="AE184" s="5" t="s">
        <v>360</v>
      </c>
      <c r="AF184" s="5" t="s">
        <v>360</v>
      </c>
      <c r="AG184" s="5" t="s">
        <v>360</v>
      </c>
      <c r="AH184" s="5" t="s">
        <v>360</v>
      </c>
      <c r="AI184" s="5" t="s">
        <v>360</v>
      </c>
      <c r="AJ184" s="5" t="s">
        <v>360</v>
      </c>
      <c r="AK184" s="5" t="s">
        <v>360</v>
      </c>
      <c r="AL184" s="5" t="s">
        <v>360</v>
      </c>
      <c r="AM184" s="5" t="s">
        <v>360</v>
      </c>
      <c r="AN184" s="5" t="s">
        <v>360</v>
      </c>
      <c r="AO184" s="5" t="s">
        <v>360</v>
      </c>
      <c r="AP184" s="43">
        <f t="shared" si="61"/>
        <v>1.1076997347167048</v>
      </c>
      <c r="AQ184" s="44">
        <v>1329</v>
      </c>
      <c r="AR184" s="35">
        <f t="shared" si="54"/>
        <v>362.45454545454544</v>
      </c>
      <c r="AS184" s="35">
        <f t="shared" si="55"/>
        <v>401.5</v>
      </c>
      <c r="AT184" s="35">
        <f t="shared" si="56"/>
        <v>39.045454545454561</v>
      </c>
      <c r="AU184" s="35">
        <v>155.80000000000001</v>
      </c>
      <c r="AV184" s="35">
        <v>120.3</v>
      </c>
      <c r="AW184" s="35"/>
      <c r="AX184" s="35">
        <f t="shared" si="57"/>
        <v>125.4</v>
      </c>
      <c r="AY184" s="35"/>
      <c r="AZ184" s="35">
        <f t="shared" si="58"/>
        <v>125.4</v>
      </c>
      <c r="BA184" s="35">
        <v>0</v>
      </c>
      <c r="BB184" s="35">
        <f t="shared" si="62"/>
        <v>125.4</v>
      </c>
      <c r="BC184" s="35"/>
      <c r="BD184" s="35">
        <f t="shared" si="59"/>
        <v>125.4</v>
      </c>
      <c r="BE184" s="35">
        <v>120.9</v>
      </c>
      <c r="BF184" s="35">
        <f t="shared" si="60"/>
        <v>4.5</v>
      </c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10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10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10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10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10"/>
      <c r="HA184" s="9"/>
      <c r="HB184" s="9"/>
    </row>
    <row r="185" spans="1:210" s="2" customFormat="1" ht="17.149999999999999" customHeight="1">
      <c r="A185" s="14" t="s">
        <v>170</v>
      </c>
      <c r="B185" s="63">
        <v>0</v>
      </c>
      <c r="C185" s="63">
        <v>0</v>
      </c>
      <c r="D185" s="4">
        <f t="shared" ref="D185:D247" si="63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97.6</v>
      </c>
      <c r="O185" s="35">
        <v>84.6</v>
      </c>
      <c r="P185" s="4">
        <f t="shared" ref="P185:P247" si="64">IF(Q185=0,0,IF(N185=0,1,IF(O185&lt;0,0,IF(O185/N185&gt;1.2,IF((O185/N185-1.2)*0.1+1.2&gt;1.3,1.3,(O185/N185-1.2)*0.1+1.2),O185/N185))))</f>
        <v>0.86680327868852458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82">
        <v>3367</v>
      </c>
      <c r="W185" s="82">
        <v>1525</v>
      </c>
      <c r="X185" s="4">
        <f t="shared" ref="X185:X247" si="65">IF(Y185=0,0,IF(V185=0,1,IF(W185&lt;0,0,IF(W185/V185&gt;1.2,IF((W185/V185-1.2)*0.1+1.2&gt;1.3,1.3,(W185/V185-1.2)*0.1+1.2),W185/V185))))</f>
        <v>0.45292545292545294</v>
      </c>
      <c r="Y185" s="5">
        <v>5</v>
      </c>
      <c r="Z185" s="5">
        <v>168</v>
      </c>
      <c r="AA185" s="5">
        <v>147</v>
      </c>
      <c r="AB185" s="4">
        <f t="shared" ref="AB185:AB247" si="66">IF(AC185=0,0,IF(Z185=0,1,IF(AA185&lt;0,0,IF(AA185/Z185&gt;1.2,IF((AA185/Z185-1.2)*0.1+1.2&gt;1.3,1.3,(AA185/Z185-1.2)*0.1+1.2),AA185/Z185))))</f>
        <v>0.875</v>
      </c>
      <c r="AC185" s="5">
        <v>20</v>
      </c>
      <c r="AD185" s="5" t="s">
        <v>360</v>
      </c>
      <c r="AE185" s="5" t="s">
        <v>360</v>
      </c>
      <c r="AF185" s="5" t="s">
        <v>360</v>
      </c>
      <c r="AG185" s="5" t="s">
        <v>360</v>
      </c>
      <c r="AH185" s="5" t="s">
        <v>360</v>
      </c>
      <c r="AI185" s="5" t="s">
        <v>360</v>
      </c>
      <c r="AJ185" s="5" t="s">
        <v>360</v>
      </c>
      <c r="AK185" s="5" t="s">
        <v>360</v>
      </c>
      <c r="AL185" s="5" t="s">
        <v>360</v>
      </c>
      <c r="AM185" s="5" t="s">
        <v>360</v>
      </c>
      <c r="AN185" s="5" t="s">
        <v>360</v>
      </c>
      <c r="AO185" s="5" t="s">
        <v>360</v>
      </c>
      <c r="AP185" s="43">
        <f t="shared" si="61"/>
        <v>0.8244598408532835</v>
      </c>
      <c r="AQ185" s="44">
        <v>633</v>
      </c>
      <c r="AR185" s="35">
        <f t="shared" ref="AR185:AR247" si="67">AQ185/11*3</f>
        <v>172.63636363636363</v>
      </c>
      <c r="AS185" s="35">
        <f t="shared" ref="AS185:AS247" si="68">ROUND(AP185*AR185,1)</f>
        <v>142.30000000000001</v>
      </c>
      <c r="AT185" s="35">
        <f t="shared" ref="AT185:AT247" si="69">AS185-AR185</f>
        <v>-30.336363636363615</v>
      </c>
      <c r="AU185" s="35">
        <v>56.5</v>
      </c>
      <c r="AV185" s="35">
        <v>12.5</v>
      </c>
      <c r="AW185" s="35"/>
      <c r="AX185" s="35">
        <f t="shared" ref="AX185:AX247" si="70">ROUND(AS185-SUM(AU185:AW185),1)</f>
        <v>73.3</v>
      </c>
      <c r="AY185" s="35"/>
      <c r="AZ185" s="35">
        <f t="shared" ref="AZ185:AZ247" si="71">IF(OR(AX185&lt;0,AY185="+"),0,AX185)</f>
        <v>73.3</v>
      </c>
      <c r="BA185" s="35">
        <v>0</v>
      </c>
      <c r="BB185" s="35">
        <f t="shared" si="62"/>
        <v>73.3</v>
      </c>
      <c r="BC185" s="35"/>
      <c r="BD185" s="35">
        <f t="shared" ref="BD185:BD247" si="72">IF((BB185-BC185)&gt;0,ROUND(BB185-BC185,1),0)</f>
        <v>73.3</v>
      </c>
      <c r="BE185" s="35">
        <v>81.3</v>
      </c>
      <c r="BF185" s="35">
        <f t="shared" ref="BF185:BF247" si="73">ROUND(BD185-BE185,1)</f>
        <v>-8</v>
      </c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10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10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10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10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10"/>
      <c r="HA185" s="9"/>
      <c r="HB185" s="9"/>
    </row>
    <row r="186" spans="1:210" s="2" customFormat="1" ht="17.149999999999999" customHeight="1">
      <c r="A186" s="14" t="s">
        <v>171</v>
      </c>
      <c r="B186" s="63">
        <v>0</v>
      </c>
      <c r="C186" s="63">
        <v>0</v>
      </c>
      <c r="D186" s="4">
        <f t="shared" si="63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570.6</v>
      </c>
      <c r="O186" s="35">
        <v>401.3</v>
      </c>
      <c r="P186" s="4">
        <f t="shared" si="64"/>
        <v>0.70329477742726954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82">
        <v>2292</v>
      </c>
      <c r="W186" s="82">
        <v>2191</v>
      </c>
      <c r="X186" s="4">
        <f t="shared" si="65"/>
        <v>0.95593368237347298</v>
      </c>
      <c r="Y186" s="5">
        <v>5</v>
      </c>
      <c r="Z186" s="5">
        <v>69</v>
      </c>
      <c r="AA186" s="5">
        <v>80</v>
      </c>
      <c r="AB186" s="4">
        <f t="shared" si="66"/>
        <v>1.1594202898550725</v>
      </c>
      <c r="AC186" s="5">
        <v>20</v>
      </c>
      <c r="AD186" s="5" t="s">
        <v>360</v>
      </c>
      <c r="AE186" s="5" t="s">
        <v>360</v>
      </c>
      <c r="AF186" s="5" t="s">
        <v>360</v>
      </c>
      <c r="AG186" s="5" t="s">
        <v>360</v>
      </c>
      <c r="AH186" s="5" t="s">
        <v>360</v>
      </c>
      <c r="AI186" s="5" t="s">
        <v>360</v>
      </c>
      <c r="AJ186" s="5" t="s">
        <v>360</v>
      </c>
      <c r="AK186" s="5" t="s">
        <v>360</v>
      </c>
      <c r="AL186" s="5" t="s">
        <v>360</v>
      </c>
      <c r="AM186" s="5" t="s">
        <v>360</v>
      </c>
      <c r="AN186" s="5" t="s">
        <v>360</v>
      </c>
      <c r="AO186" s="5" t="s">
        <v>360</v>
      </c>
      <c r="AP186" s="43">
        <f t="shared" ref="AP186:AP249" si="74">(D186*E186+P186*Q186+X186*Y186+AB186*AC186)/(E186+Q186+Y186+AC186)</f>
        <v>0.93408821683364907</v>
      </c>
      <c r="AQ186" s="44">
        <v>740</v>
      </c>
      <c r="AR186" s="35">
        <f t="shared" si="67"/>
        <v>201.81818181818181</v>
      </c>
      <c r="AS186" s="35">
        <f t="shared" si="68"/>
        <v>188.5</v>
      </c>
      <c r="AT186" s="35">
        <f t="shared" si="69"/>
        <v>-13.318181818181813</v>
      </c>
      <c r="AU186" s="35">
        <v>35.9</v>
      </c>
      <c r="AV186" s="35">
        <v>22.4</v>
      </c>
      <c r="AW186" s="35"/>
      <c r="AX186" s="35">
        <f t="shared" si="70"/>
        <v>130.19999999999999</v>
      </c>
      <c r="AY186" s="35"/>
      <c r="AZ186" s="35">
        <f t="shared" si="71"/>
        <v>130.19999999999999</v>
      </c>
      <c r="BA186" s="35">
        <v>0</v>
      </c>
      <c r="BB186" s="35">
        <f t="shared" ref="BB186:BB249" si="75">ROUND(AZ186+BA186,1)</f>
        <v>130.19999999999999</v>
      </c>
      <c r="BC186" s="35"/>
      <c r="BD186" s="35">
        <f t="shared" si="72"/>
        <v>130.19999999999999</v>
      </c>
      <c r="BE186" s="35">
        <v>129.69999999999999</v>
      </c>
      <c r="BF186" s="35">
        <f t="shared" si="73"/>
        <v>0.5</v>
      </c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10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10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10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10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10"/>
      <c r="HA186" s="9"/>
      <c r="HB186" s="9"/>
    </row>
    <row r="187" spans="1:210" s="2" customFormat="1" ht="17.149999999999999" customHeight="1">
      <c r="A187" s="14" t="s">
        <v>172</v>
      </c>
      <c r="B187" s="63">
        <v>0</v>
      </c>
      <c r="C187" s="63">
        <v>0</v>
      </c>
      <c r="D187" s="4">
        <f t="shared" si="63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518.9</v>
      </c>
      <c r="O187" s="35">
        <v>308</v>
      </c>
      <c r="P187" s="4">
        <f t="shared" si="64"/>
        <v>0.59356330699556759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82">
        <v>4887</v>
      </c>
      <c r="W187" s="82">
        <v>5945</v>
      </c>
      <c r="X187" s="4">
        <f t="shared" si="65"/>
        <v>1.2016492735829751</v>
      </c>
      <c r="Y187" s="5">
        <v>5</v>
      </c>
      <c r="Z187" s="5">
        <v>351</v>
      </c>
      <c r="AA187" s="5">
        <v>354</v>
      </c>
      <c r="AB187" s="4">
        <f t="shared" si="66"/>
        <v>1.0085470085470085</v>
      </c>
      <c r="AC187" s="5">
        <v>20</v>
      </c>
      <c r="AD187" s="5" t="s">
        <v>360</v>
      </c>
      <c r="AE187" s="5" t="s">
        <v>360</v>
      </c>
      <c r="AF187" s="5" t="s">
        <v>360</v>
      </c>
      <c r="AG187" s="5" t="s">
        <v>360</v>
      </c>
      <c r="AH187" s="5" t="s">
        <v>360</v>
      </c>
      <c r="AI187" s="5" t="s">
        <v>360</v>
      </c>
      <c r="AJ187" s="5" t="s">
        <v>360</v>
      </c>
      <c r="AK187" s="5" t="s">
        <v>360</v>
      </c>
      <c r="AL187" s="5" t="s">
        <v>360</v>
      </c>
      <c r="AM187" s="5" t="s">
        <v>360</v>
      </c>
      <c r="AN187" s="5" t="s">
        <v>360</v>
      </c>
      <c r="AO187" s="5" t="s">
        <v>360</v>
      </c>
      <c r="AP187" s="43">
        <f t="shared" si="74"/>
        <v>0.84556561508369776</v>
      </c>
      <c r="AQ187" s="44">
        <v>1418</v>
      </c>
      <c r="AR187" s="35">
        <f t="shared" si="67"/>
        <v>386.72727272727275</v>
      </c>
      <c r="AS187" s="35">
        <f t="shared" si="68"/>
        <v>327</v>
      </c>
      <c r="AT187" s="35">
        <f t="shared" si="69"/>
        <v>-59.727272727272748</v>
      </c>
      <c r="AU187" s="35">
        <v>65.099999999999994</v>
      </c>
      <c r="AV187" s="35">
        <v>57.6</v>
      </c>
      <c r="AW187" s="35"/>
      <c r="AX187" s="35">
        <f t="shared" si="70"/>
        <v>204.3</v>
      </c>
      <c r="AY187" s="35"/>
      <c r="AZ187" s="35">
        <f t="shared" si="71"/>
        <v>204.3</v>
      </c>
      <c r="BA187" s="35">
        <v>0</v>
      </c>
      <c r="BB187" s="35">
        <f t="shared" si="75"/>
        <v>204.3</v>
      </c>
      <c r="BC187" s="35"/>
      <c r="BD187" s="35">
        <f t="shared" si="72"/>
        <v>204.3</v>
      </c>
      <c r="BE187" s="35">
        <v>187.1</v>
      </c>
      <c r="BF187" s="35">
        <f t="shared" si="73"/>
        <v>17.2</v>
      </c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10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10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10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10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10"/>
      <c r="HA187" s="9"/>
      <c r="HB187" s="9"/>
    </row>
    <row r="188" spans="1:210" s="2" customFormat="1" ht="17.149999999999999" customHeight="1">
      <c r="A188" s="18" t="s">
        <v>173</v>
      </c>
      <c r="B188" s="59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83"/>
      <c r="W188" s="83"/>
      <c r="X188" s="11"/>
      <c r="Y188" s="11"/>
      <c r="Z188" s="11"/>
      <c r="AA188" s="11"/>
      <c r="AB188" s="11"/>
      <c r="AC188" s="1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35"/>
      <c r="BB188" s="35"/>
      <c r="BC188" s="35"/>
      <c r="BD188" s="35"/>
      <c r="BE188" s="35"/>
      <c r="BF188" s="35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10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10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10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10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10"/>
      <c r="HA188" s="9"/>
      <c r="HB188" s="9"/>
    </row>
    <row r="189" spans="1:210" s="2" customFormat="1" ht="17.850000000000001" customHeight="1">
      <c r="A189" s="14" t="s">
        <v>174</v>
      </c>
      <c r="B189" s="63">
        <v>0</v>
      </c>
      <c r="C189" s="63">
        <v>0</v>
      </c>
      <c r="D189" s="4">
        <f t="shared" si="63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113.8</v>
      </c>
      <c r="O189" s="35">
        <v>130.5</v>
      </c>
      <c r="P189" s="4">
        <f t="shared" si="64"/>
        <v>1.1467486818980668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82">
        <v>2805</v>
      </c>
      <c r="W189" s="82">
        <v>2412</v>
      </c>
      <c r="X189" s="4">
        <f t="shared" si="65"/>
        <v>0.85989304812834222</v>
      </c>
      <c r="Y189" s="5">
        <v>5</v>
      </c>
      <c r="Z189" s="5">
        <v>157</v>
      </c>
      <c r="AA189" s="5">
        <v>157</v>
      </c>
      <c r="AB189" s="4">
        <f t="shared" si="66"/>
        <v>1</v>
      </c>
      <c r="AC189" s="5">
        <v>20</v>
      </c>
      <c r="AD189" s="5" t="s">
        <v>360</v>
      </c>
      <c r="AE189" s="5" t="s">
        <v>360</v>
      </c>
      <c r="AF189" s="5" t="s">
        <v>360</v>
      </c>
      <c r="AG189" s="5" t="s">
        <v>360</v>
      </c>
      <c r="AH189" s="5" t="s">
        <v>360</v>
      </c>
      <c r="AI189" s="5" t="s">
        <v>360</v>
      </c>
      <c r="AJ189" s="5" t="s">
        <v>360</v>
      </c>
      <c r="AK189" s="5" t="s">
        <v>360</v>
      </c>
      <c r="AL189" s="5" t="s">
        <v>360</v>
      </c>
      <c r="AM189" s="5" t="s">
        <v>360</v>
      </c>
      <c r="AN189" s="5" t="s">
        <v>360</v>
      </c>
      <c r="AO189" s="5" t="s">
        <v>360</v>
      </c>
      <c r="AP189" s="43">
        <f t="shared" si="74"/>
        <v>1.0496541973022899</v>
      </c>
      <c r="AQ189" s="44">
        <v>1141</v>
      </c>
      <c r="AR189" s="35">
        <f t="shared" si="67"/>
        <v>311.18181818181819</v>
      </c>
      <c r="AS189" s="35">
        <f t="shared" si="68"/>
        <v>326.60000000000002</v>
      </c>
      <c r="AT189" s="35">
        <f t="shared" si="69"/>
        <v>15.418181818181836</v>
      </c>
      <c r="AU189" s="35">
        <v>9.6</v>
      </c>
      <c r="AV189" s="35">
        <v>50.5</v>
      </c>
      <c r="AW189" s="35"/>
      <c r="AX189" s="35">
        <f t="shared" si="70"/>
        <v>266.5</v>
      </c>
      <c r="AY189" s="35"/>
      <c r="AZ189" s="35">
        <f t="shared" si="71"/>
        <v>266.5</v>
      </c>
      <c r="BA189" s="35">
        <v>0</v>
      </c>
      <c r="BB189" s="35">
        <f t="shared" si="75"/>
        <v>266.5</v>
      </c>
      <c r="BC189" s="35"/>
      <c r="BD189" s="35">
        <f t="shared" si="72"/>
        <v>266.5</v>
      </c>
      <c r="BE189" s="35">
        <v>273.89999999999998</v>
      </c>
      <c r="BF189" s="35">
        <f t="shared" si="73"/>
        <v>-7.4</v>
      </c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10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10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10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10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10"/>
      <c r="HA189" s="9"/>
      <c r="HB189" s="9"/>
    </row>
    <row r="190" spans="1:210" s="2" customFormat="1" ht="17.149999999999999" customHeight="1">
      <c r="A190" s="14" t="s">
        <v>175</v>
      </c>
      <c r="B190" s="63">
        <v>0</v>
      </c>
      <c r="C190" s="63">
        <v>0</v>
      </c>
      <c r="D190" s="4">
        <f t="shared" si="63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495</v>
      </c>
      <c r="O190" s="35">
        <v>721.4</v>
      </c>
      <c r="P190" s="4">
        <f t="shared" si="64"/>
        <v>1.2257373737373738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82">
        <v>5610</v>
      </c>
      <c r="W190" s="82">
        <v>5357</v>
      </c>
      <c r="X190" s="4">
        <f t="shared" si="65"/>
        <v>0.95490196078431377</v>
      </c>
      <c r="Y190" s="5">
        <v>5</v>
      </c>
      <c r="Z190" s="5">
        <v>127</v>
      </c>
      <c r="AA190" s="5">
        <v>127</v>
      </c>
      <c r="AB190" s="4">
        <f t="shared" si="66"/>
        <v>1</v>
      </c>
      <c r="AC190" s="5">
        <v>20</v>
      </c>
      <c r="AD190" s="5" t="s">
        <v>360</v>
      </c>
      <c r="AE190" s="5" t="s">
        <v>360</v>
      </c>
      <c r="AF190" s="5" t="s">
        <v>360</v>
      </c>
      <c r="AG190" s="5" t="s">
        <v>360</v>
      </c>
      <c r="AH190" s="5" t="s">
        <v>360</v>
      </c>
      <c r="AI190" s="5" t="s">
        <v>360</v>
      </c>
      <c r="AJ190" s="5" t="s">
        <v>360</v>
      </c>
      <c r="AK190" s="5" t="s">
        <v>360</v>
      </c>
      <c r="AL190" s="5" t="s">
        <v>360</v>
      </c>
      <c r="AM190" s="5" t="s">
        <v>360</v>
      </c>
      <c r="AN190" s="5" t="s">
        <v>360</v>
      </c>
      <c r="AO190" s="5" t="s">
        <v>360</v>
      </c>
      <c r="AP190" s="43">
        <f t="shared" si="74"/>
        <v>1.0953168284148675</v>
      </c>
      <c r="AQ190" s="44">
        <v>1064</v>
      </c>
      <c r="AR190" s="35">
        <f t="shared" si="67"/>
        <v>290.18181818181819</v>
      </c>
      <c r="AS190" s="35">
        <f t="shared" si="68"/>
        <v>317.8</v>
      </c>
      <c r="AT190" s="35">
        <f t="shared" si="69"/>
        <v>27.618181818181824</v>
      </c>
      <c r="AU190" s="35">
        <v>17.399999999999999</v>
      </c>
      <c r="AV190" s="35">
        <v>125.7</v>
      </c>
      <c r="AW190" s="35"/>
      <c r="AX190" s="35">
        <f t="shared" si="70"/>
        <v>174.7</v>
      </c>
      <c r="AY190" s="35"/>
      <c r="AZ190" s="35">
        <f t="shared" si="71"/>
        <v>174.7</v>
      </c>
      <c r="BA190" s="35">
        <v>0</v>
      </c>
      <c r="BB190" s="35">
        <f t="shared" si="75"/>
        <v>174.7</v>
      </c>
      <c r="BC190" s="35"/>
      <c r="BD190" s="35">
        <f t="shared" si="72"/>
        <v>174.7</v>
      </c>
      <c r="BE190" s="35">
        <v>179.8</v>
      </c>
      <c r="BF190" s="35">
        <f t="shared" si="73"/>
        <v>-5.0999999999999996</v>
      </c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10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10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10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10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10"/>
      <c r="HA190" s="9"/>
      <c r="HB190" s="9"/>
    </row>
    <row r="191" spans="1:210" s="2" customFormat="1" ht="17.149999999999999" customHeight="1">
      <c r="A191" s="14" t="s">
        <v>176</v>
      </c>
      <c r="B191" s="63">
        <v>0</v>
      </c>
      <c r="C191" s="63">
        <v>0</v>
      </c>
      <c r="D191" s="4">
        <f t="shared" si="63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372.7</v>
      </c>
      <c r="O191" s="35">
        <v>365</v>
      </c>
      <c r="P191" s="4">
        <f t="shared" si="64"/>
        <v>0.97933995170378318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82">
        <v>7012</v>
      </c>
      <c r="W191" s="82">
        <v>6441</v>
      </c>
      <c r="X191" s="4">
        <f t="shared" si="65"/>
        <v>0.91856816885339421</v>
      </c>
      <c r="Y191" s="5">
        <v>5</v>
      </c>
      <c r="Z191" s="5">
        <v>448</v>
      </c>
      <c r="AA191" s="5">
        <v>453</v>
      </c>
      <c r="AB191" s="4">
        <f t="shared" si="66"/>
        <v>1.0111607142857142</v>
      </c>
      <c r="AC191" s="5">
        <v>20</v>
      </c>
      <c r="AD191" s="5" t="s">
        <v>360</v>
      </c>
      <c r="AE191" s="5" t="s">
        <v>360</v>
      </c>
      <c r="AF191" s="5" t="s">
        <v>360</v>
      </c>
      <c r="AG191" s="5" t="s">
        <v>360</v>
      </c>
      <c r="AH191" s="5" t="s">
        <v>360</v>
      </c>
      <c r="AI191" s="5" t="s">
        <v>360</v>
      </c>
      <c r="AJ191" s="5" t="s">
        <v>360</v>
      </c>
      <c r="AK191" s="5" t="s">
        <v>360</v>
      </c>
      <c r="AL191" s="5" t="s">
        <v>360</v>
      </c>
      <c r="AM191" s="5" t="s">
        <v>360</v>
      </c>
      <c r="AN191" s="5" t="s">
        <v>360</v>
      </c>
      <c r="AO191" s="5" t="s">
        <v>360</v>
      </c>
      <c r="AP191" s="43">
        <f t="shared" si="74"/>
        <v>0.9867300925345982</v>
      </c>
      <c r="AQ191" s="44">
        <v>1806</v>
      </c>
      <c r="AR191" s="35">
        <f t="shared" si="67"/>
        <v>492.54545454545456</v>
      </c>
      <c r="AS191" s="35">
        <f t="shared" si="68"/>
        <v>486</v>
      </c>
      <c r="AT191" s="35">
        <f t="shared" si="69"/>
        <v>-6.545454545454561</v>
      </c>
      <c r="AU191" s="35">
        <v>48.3</v>
      </c>
      <c r="AV191" s="35">
        <v>24.9</v>
      </c>
      <c r="AW191" s="35"/>
      <c r="AX191" s="35">
        <f t="shared" si="70"/>
        <v>412.8</v>
      </c>
      <c r="AY191" s="35"/>
      <c r="AZ191" s="35">
        <f t="shared" si="71"/>
        <v>412.8</v>
      </c>
      <c r="BA191" s="35">
        <v>0</v>
      </c>
      <c r="BB191" s="35">
        <f t="shared" si="75"/>
        <v>412.8</v>
      </c>
      <c r="BC191" s="35"/>
      <c r="BD191" s="35">
        <f t="shared" si="72"/>
        <v>412.8</v>
      </c>
      <c r="BE191" s="35">
        <v>417</v>
      </c>
      <c r="BF191" s="35">
        <f t="shared" si="73"/>
        <v>-4.2</v>
      </c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10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10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10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10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10"/>
      <c r="HA191" s="9"/>
      <c r="HB191" s="9"/>
    </row>
    <row r="192" spans="1:210" s="2" customFormat="1" ht="17.149999999999999" customHeight="1">
      <c r="A192" s="14" t="s">
        <v>177</v>
      </c>
      <c r="B192" s="63">
        <v>539000</v>
      </c>
      <c r="C192" s="63">
        <v>656476.5</v>
      </c>
      <c r="D192" s="4">
        <f t="shared" si="63"/>
        <v>1.2017952690166975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3197.7</v>
      </c>
      <c r="O192" s="35">
        <v>3247.3</v>
      </c>
      <c r="P192" s="4">
        <f t="shared" si="64"/>
        <v>1.0155111486380837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82">
        <v>224389</v>
      </c>
      <c r="W192" s="82">
        <v>220712</v>
      </c>
      <c r="X192" s="4">
        <f t="shared" si="65"/>
        <v>0.98361327872578419</v>
      </c>
      <c r="Y192" s="5">
        <v>5</v>
      </c>
      <c r="Z192" s="5">
        <v>50</v>
      </c>
      <c r="AA192" s="5">
        <v>50</v>
      </c>
      <c r="AB192" s="4">
        <f t="shared" si="66"/>
        <v>1</v>
      </c>
      <c r="AC192" s="5">
        <v>20</v>
      </c>
      <c r="AD192" s="5" t="s">
        <v>360</v>
      </c>
      <c r="AE192" s="5" t="s">
        <v>360</v>
      </c>
      <c r="AF192" s="5" t="s">
        <v>360</v>
      </c>
      <c r="AG192" s="5" t="s">
        <v>360</v>
      </c>
      <c r="AH192" s="5" t="s">
        <v>360</v>
      </c>
      <c r="AI192" s="5" t="s">
        <v>360</v>
      </c>
      <c r="AJ192" s="5" t="s">
        <v>360</v>
      </c>
      <c r="AK192" s="5" t="s">
        <v>360</v>
      </c>
      <c r="AL192" s="5" t="s">
        <v>360</v>
      </c>
      <c r="AM192" s="5" t="s">
        <v>360</v>
      </c>
      <c r="AN192" s="5" t="s">
        <v>360</v>
      </c>
      <c r="AO192" s="5" t="s">
        <v>360</v>
      </c>
      <c r="AP192" s="43">
        <f t="shared" si="74"/>
        <v>1.0247453142294816</v>
      </c>
      <c r="AQ192" s="44">
        <v>1348</v>
      </c>
      <c r="AR192" s="35">
        <f t="shared" si="67"/>
        <v>367.63636363636363</v>
      </c>
      <c r="AS192" s="35">
        <f t="shared" si="68"/>
        <v>376.7</v>
      </c>
      <c r="AT192" s="35">
        <f t="shared" si="69"/>
        <v>9.0636363636363626</v>
      </c>
      <c r="AU192" s="35">
        <v>146.6</v>
      </c>
      <c r="AV192" s="35">
        <v>116</v>
      </c>
      <c r="AW192" s="35"/>
      <c r="AX192" s="35">
        <f t="shared" si="70"/>
        <v>114.1</v>
      </c>
      <c r="AY192" s="35"/>
      <c r="AZ192" s="35">
        <f t="shared" si="71"/>
        <v>114.1</v>
      </c>
      <c r="BA192" s="35">
        <v>0</v>
      </c>
      <c r="BB192" s="35">
        <f t="shared" si="75"/>
        <v>114.1</v>
      </c>
      <c r="BC192" s="35"/>
      <c r="BD192" s="35">
        <f t="shared" si="72"/>
        <v>114.1</v>
      </c>
      <c r="BE192" s="35">
        <v>115.8</v>
      </c>
      <c r="BF192" s="35">
        <f t="shared" si="73"/>
        <v>-1.7</v>
      </c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10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10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10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10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10"/>
      <c r="HA192" s="9"/>
      <c r="HB192" s="9"/>
    </row>
    <row r="193" spans="1:210" s="2" customFormat="1" ht="17.149999999999999" customHeight="1">
      <c r="A193" s="14" t="s">
        <v>178</v>
      </c>
      <c r="B193" s="63">
        <v>0</v>
      </c>
      <c r="C193" s="63">
        <v>152.19999999999999</v>
      </c>
      <c r="D193" s="4">
        <f t="shared" si="63"/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404</v>
      </c>
      <c r="O193" s="35">
        <v>768.3</v>
      </c>
      <c r="P193" s="4">
        <f t="shared" si="64"/>
        <v>1.2701732673267325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82">
        <v>8415</v>
      </c>
      <c r="W193" s="82">
        <v>7662</v>
      </c>
      <c r="X193" s="4">
        <f t="shared" si="65"/>
        <v>0.91051693404634582</v>
      </c>
      <c r="Y193" s="5">
        <v>5</v>
      </c>
      <c r="Z193" s="5">
        <v>885</v>
      </c>
      <c r="AA193" s="5">
        <v>840</v>
      </c>
      <c r="AB193" s="4">
        <f t="shared" si="66"/>
        <v>0.94915254237288138</v>
      </c>
      <c r="AC193" s="5">
        <v>20</v>
      </c>
      <c r="AD193" s="5" t="s">
        <v>360</v>
      </c>
      <c r="AE193" s="5" t="s">
        <v>360</v>
      </c>
      <c r="AF193" s="5" t="s">
        <v>360</v>
      </c>
      <c r="AG193" s="5" t="s">
        <v>360</v>
      </c>
      <c r="AH193" s="5" t="s">
        <v>360</v>
      </c>
      <c r="AI193" s="5" t="s">
        <v>360</v>
      </c>
      <c r="AJ193" s="5" t="s">
        <v>360</v>
      </c>
      <c r="AK193" s="5" t="s">
        <v>360</v>
      </c>
      <c r="AL193" s="5" t="s">
        <v>360</v>
      </c>
      <c r="AM193" s="5" t="s">
        <v>360</v>
      </c>
      <c r="AN193" s="5" t="s">
        <v>360</v>
      </c>
      <c r="AO193" s="5" t="s">
        <v>360</v>
      </c>
      <c r="AP193" s="43">
        <f t="shared" si="74"/>
        <v>1.0875355747605335</v>
      </c>
      <c r="AQ193" s="44">
        <v>1104</v>
      </c>
      <c r="AR193" s="35">
        <f t="shared" si="67"/>
        <v>301.09090909090907</v>
      </c>
      <c r="AS193" s="35">
        <f t="shared" si="68"/>
        <v>327.39999999999998</v>
      </c>
      <c r="AT193" s="35">
        <f t="shared" si="69"/>
        <v>26.309090909090912</v>
      </c>
      <c r="AU193" s="35">
        <v>47</v>
      </c>
      <c r="AV193" s="35">
        <v>75.2</v>
      </c>
      <c r="AW193" s="35"/>
      <c r="AX193" s="35">
        <f t="shared" si="70"/>
        <v>205.2</v>
      </c>
      <c r="AY193" s="35"/>
      <c r="AZ193" s="35">
        <f t="shared" si="71"/>
        <v>205.2</v>
      </c>
      <c r="BA193" s="35">
        <v>0</v>
      </c>
      <c r="BB193" s="35">
        <f t="shared" si="75"/>
        <v>205.2</v>
      </c>
      <c r="BC193" s="35"/>
      <c r="BD193" s="35">
        <f t="shared" si="72"/>
        <v>205.2</v>
      </c>
      <c r="BE193" s="35">
        <v>211.9</v>
      </c>
      <c r="BF193" s="35">
        <f t="shared" si="73"/>
        <v>-6.7</v>
      </c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10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10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10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10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10"/>
      <c r="HA193" s="9"/>
      <c r="HB193" s="9"/>
    </row>
    <row r="194" spans="1:210" s="2" customFormat="1" ht="17.149999999999999" customHeight="1">
      <c r="A194" s="14" t="s">
        <v>179</v>
      </c>
      <c r="B194" s="63">
        <v>0</v>
      </c>
      <c r="C194" s="63">
        <v>0</v>
      </c>
      <c r="D194" s="4">
        <f t="shared" si="63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704.8</v>
      </c>
      <c r="O194" s="35">
        <v>529.20000000000005</v>
      </c>
      <c r="P194" s="4">
        <f t="shared" si="64"/>
        <v>0.7508513053348469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82">
        <v>7012</v>
      </c>
      <c r="W194" s="82">
        <v>6894</v>
      </c>
      <c r="X194" s="4">
        <f t="shared" si="65"/>
        <v>0.98317170564746148</v>
      </c>
      <c r="Y194" s="5">
        <v>5</v>
      </c>
      <c r="Z194" s="5">
        <v>330</v>
      </c>
      <c r="AA194" s="5">
        <v>330</v>
      </c>
      <c r="AB194" s="4">
        <f t="shared" si="66"/>
        <v>1</v>
      </c>
      <c r="AC194" s="5">
        <v>20</v>
      </c>
      <c r="AD194" s="5" t="s">
        <v>360</v>
      </c>
      <c r="AE194" s="5" t="s">
        <v>360</v>
      </c>
      <c r="AF194" s="5" t="s">
        <v>360</v>
      </c>
      <c r="AG194" s="5" t="s">
        <v>360</v>
      </c>
      <c r="AH194" s="5" t="s">
        <v>360</v>
      </c>
      <c r="AI194" s="5" t="s">
        <v>360</v>
      </c>
      <c r="AJ194" s="5" t="s">
        <v>360</v>
      </c>
      <c r="AK194" s="5" t="s">
        <v>360</v>
      </c>
      <c r="AL194" s="5" t="s">
        <v>360</v>
      </c>
      <c r="AM194" s="5" t="s">
        <v>360</v>
      </c>
      <c r="AN194" s="5" t="s">
        <v>360</v>
      </c>
      <c r="AO194" s="5" t="s">
        <v>360</v>
      </c>
      <c r="AP194" s="43">
        <f t="shared" si="74"/>
        <v>0.88739743633187218</v>
      </c>
      <c r="AQ194" s="44">
        <v>1331</v>
      </c>
      <c r="AR194" s="35">
        <f t="shared" si="67"/>
        <v>363</v>
      </c>
      <c r="AS194" s="35">
        <f t="shared" si="68"/>
        <v>322.10000000000002</v>
      </c>
      <c r="AT194" s="35">
        <f t="shared" si="69"/>
        <v>-40.899999999999977</v>
      </c>
      <c r="AU194" s="35">
        <v>122.6</v>
      </c>
      <c r="AV194" s="35">
        <v>125.3</v>
      </c>
      <c r="AW194" s="35"/>
      <c r="AX194" s="35">
        <f t="shared" si="70"/>
        <v>74.2</v>
      </c>
      <c r="AY194" s="35"/>
      <c r="AZ194" s="35">
        <f t="shared" si="71"/>
        <v>74.2</v>
      </c>
      <c r="BA194" s="35">
        <v>0</v>
      </c>
      <c r="BB194" s="35">
        <f t="shared" si="75"/>
        <v>74.2</v>
      </c>
      <c r="BC194" s="35"/>
      <c r="BD194" s="35">
        <f t="shared" si="72"/>
        <v>74.2</v>
      </c>
      <c r="BE194" s="35">
        <v>69.900000000000006</v>
      </c>
      <c r="BF194" s="35">
        <f t="shared" si="73"/>
        <v>4.3</v>
      </c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10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10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10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10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10"/>
      <c r="HA194" s="9"/>
      <c r="HB194" s="9"/>
    </row>
    <row r="195" spans="1:210" s="2" customFormat="1" ht="17.149999999999999" customHeight="1">
      <c r="A195" s="14" t="s">
        <v>180</v>
      </c>
      <c r="B195" s="63">
        <v>0</v>
      </c>
      <c r="C195" s="63">
        <v>0</v>
      </c>
      <c r="D195" s="4">
        <f t="shared" si="63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357.4</v>
      </c>
      <c r="O195" s="35">
        <v>464.2</v>
      </c>
      <c r="P195" s="4">
        <f t="shared" si="64"/>
        <v>1.2098824846110801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82">
        <v>10869</v>
      </c>
      <c r="W195" s="82">
        <v>9602</v>
      </c>
      <c r="X195" s="4">
        <f t="shared" si="65"/>
        <v>0.88342993835679451</v>
      </c>
      <c r="Y195" s="5">
        <v>5</v>
      </c>
      <c r="Z195" s="5">
        <v>409</v>
      </c>
      <c r="AA195" s="5">
        <v>420</v>
      </c>
      <c r="AB195" s="4">
        <f t="shared" si="66"/>
        <v>1.0268948655256724</v>
      </c>
      <c r="AC195" s="5">
        <v>20</v>
      </c>
      <c r="AD195" s="5" t="s">
        <v>360</v>
      </c>
      <c r="AE195" s="5" t="s">
        <v>360</v>
      </c>
      <c r="AF195" s="5" t="s">
        <v>360</v>
      </c>
      <c r="AG195" s="5" t="s">
        <v>360</v>
      </c>
      <c r="AH195" s="5" t="s">
        <v>360</v>
      </c>
      <c r="AI195" s="5" t="s">
        <v>360</v>
      </c>
      <c r="AJ195" s="5" t="s">
        <v>360</v>
      </c>
      <c r="AK195" s="5" t="s">
        <v>360</v>
      </c>
      <c r="AL195" s="5" t="s">
        <v>360</v>
      </c>
      <c r="AM195" s="5" t="s">
        <v>360</v>
      </c>
      <c r="AN195" s="5" t="s">
        <v>360</v>
      </c>
      <c r="AO195" s="5" t="s">
        <v>360</v>
      </c>
      <c r="AP195" s="43">
        <f t="shared" si="74"/>
        <v>1.0922821487670893</v>
      </c>
      <c r="AQ195" s="44">
        <v>1478</v>
      </c>
      <c r="AR195" s="35">
        <f t="shared" si="67"/>
        <v>403.09090909090912</v>
      </c>
      <c r="AS195" s="35">
        <f t="shared" si="68"/>
        <v>440.3</v>
      </c>
      <c r="AT195" s="35">
        <f t="shared" si="69"/>
        <v>37.209090909090889</v>
      </c>
      <c r="AU195" s="35">
        <v>60.2</v>
      </c>
      <c r="AV195" s="35">
        <v>54.7</v>
      </c>
      <c r="AW195" s="35"/>
      <c r="AX195" s="35">
        <f t="shared" si="70"/>
        <v>325.39999999999998</v>
      </c>
      <c r="AY195" s="35"/>
      <c r="AZ195" s="35">
        <f t="shared" si="71"/>
        <v>325.39999999999998</v>
      </c>
      <c r="BA195" s="35">
        <v>0</v>
      </c>
      <c r="BB195" s="35">
        <f t="shared" si="75"/>
        <v>325.39999999999998</v>
      </c>
      <c r="BC195" s="35"/>
      <c r="BD195" s="35">
        <f t="shared" si="72"/>
        <v>325.39999999999998</v>
      </c>
      <c r="BE195" s="35">
        <v>335.9</v>
      </c>
      <c r="BF195" s="35">
        <f t="shared" si="73"/>
        <v>-10.5</v>
      </c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10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10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10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10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10"/>
      <c r="HA195" s="9"/>
      <c r="HB195" s="9"/>
    </row>
    <row r="196" spans="1:210" s="2" customFormat="1" ht="17.149999999999999" customHeight="1">
      <c r="A196" s="14" t="s">
        <v>181</v>
      </c>
      <c r="B196" s="63">
        <v>41830</v>
      </c>
      <c r="C196" s="63">
        <v>48746</v>
      </c>
      <c r="D196" s="4">
        <f t="shared" si="63"/>
        <v>1.1653358833373177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1116.8</v>
      </c>
      <c r="O196" s="35">
        <v>623.6</v>
      </c>
      <c r="P196" s="4">
        <f t="shared" si="64"/>
        <v>0.55838108882521498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82">
        <v>42073</v>
      </c>
      <c r="W196" s="82">
        <v>47429</v>
      </c>
      <c r="X196" s="4">
        <f t="shared" si="65"/>
        <v>1.1273025455755472</v>
      </c>
      <c r="Y196" s="5">
        <v>5</v>
      </c>
      <c r="Z196" s="5">
        <v>755</v>
      </c>
      <c r="AA196" s="5">
        <v>755</v>
      </c>
      <c r="AB196" s="4">
        <f t="shared" si="66"/>
        <v>1</v>
      </c>
      <c r="AC196" s="5">
        <v>20</v>
      </c>
      <c r="AD196" s="5" t="s">
        <v>360</v>
      </c>
      <c r="AE196" s="5" t="s">
        <v>360</v>
      </c>
      <c r="AF196" s="5" t="s">
        <v>360</v>
      </c>
      <c r="AG196" s="5" t="s">
        <v>360</v>
      </c>
      <c r="AH196" s="5" t="s">
        <v>360</v>
      </c>
      <c r="AI196" s="5" t="s">
        <v>360</v>
      </c>
      <c r="AJ196" s="5" t="s">
        <v>360</v>
      </c>
      <c r="AK196" s="5" t="s">
        <v>360</v>
      </c>
      <c r="AL196" s="5" t="s">
        <v>360</v>
      </c>
      <c r="AM196" s="5" t="s">
        <v>360</v>
      </c>
      <c r="AN196" s="5" t="s">
        <v>360</v>
      </c>
      <c r="AO196" s="5" t="s">
        <v>360</v>
      </c>
      <c r="AP196" s="43">
        <f t="shared" si="74"/>
        <v>0.85261627842137244</v>
      </c>
      <c r="AQ196" s="44">
        <v>765</v>
      </c>
      <c r="AR196" s="35">
        <f t="shared" si="67"/>
        <v>208.63636363636363</v>
      </c>
      <c r="AS196" s="35">
        <f t="shared" si="68"/>
        <v>177.9</v>
      </c>
      <c r="AT196" s="35">
        <f t="shared" si="69"/>
        <v>-30.73636363636362</v>
      </c>
      <c r="AU196" s="35">
        <v>27.6</v>
      </c>
      <c r="AV196" s="35">
        <v>24.2</v>
      </c>
      <c r="AW196" s="35">
        <v>29.5</v>
      </c>
      <c r="AX196" s="35">
        <f t="shared" si="70"/>
        <v>96.6</v>
      </c>
      <c r="AY196" s="35"/>
      <c r="AZ196" s="35">
        <f t="shared" si="71"/>
        <v>96.6</v>
      </c>
      <c r="BA196" s="35">
        <v>0</v>
      </c>
      <c r="BB196" s="35">
        <f t="shared" si="75"/>
        <v>96.6</v>
      </c>
      <c r="BC196" s="35"/>
      <c r="BD196" s="35">
        <f t="shared" si="72"/>
        <v>96.6</v>
      </c>
      <c r="BE196" s="35">
        <v>90.2</v>
      </c>
      <c r="BF196" s="35">
        <f t="shared" si="73"/>
        <v>6.4</v>
      </c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10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10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10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10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10"/>
      <c r="HA196" s="9"/>
      <c r="HB196" s="9"/>
    </row>
    <row r="197" spans="1:210" s="2" customFormat="1" ht="17.149999999999999" customHeight="1">
      <c r="A197" s="14" t="s">
        <v>182</v>
      </c>
      <c r="B197" s="63">
        <v>0</v>
      </c>
      <c r="C197" s="63">
        <v>0</v>
      </c>
      <c r="D197" s="4">
        <f t="shared" si="63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352.3</v>
      </c>
      <c r="O197" s="35">
        <v>403.8</v>
      </c>
      <c r="P197" s="4">
        <f t="shared" si="64"/>
        <v>1.1461822310530798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82">
        <v>8415</v>
      </c>
      <c r="W197" s="82">
        <v>7551</v>
      </c>
      <c r="X197" s="4">
        <f t="shared" si="65"/>
        <v>0.89732620320855616</v>
      </c>
      <c r="Y197" s="5">
        <v>5</v>
      </c>
      <c r="Z197" s="5">
        <v>718</v>
      </c>
      <c r="AA197" s="5">
        <v>731</v>
      </c>
      <c r="AB197" s="4">
        <f t="shared" si="66"/>
        <v>1.0181058495821727</v>
      </c>
      <c r="AC197" s="5">
        <v>20</v>
      </c>
      <c r="AD197" s="5" t="s">
        <v>360</v>
      </c>
      <c r="AE197" s="5" t="s">
        <v>360</v>
      </c>
      <c r="AF197" s="5" t="s">
        <v>360</v>
      </c>
      <c r="AG197" s="5" t="s">
        <v>360</v>
      </c>
      <c r="AH197" s="5" t="s">
        <v>360</v>
      </c>
      <c r="AI197" s="5" t="s">
        <v>360</v>
      </c>
      <c r="AJ197" s="5" t="s">
        <v>360</v>
      </c>
      <c r="AK197" s="5" t="s">
        <v>360</v>
      </c>
      <c r="AL197" s="5" t="s">
        <v>360</v>
      </c>
      <c r="AM197" s="5" t="s">
        <v>360</v>
      </c>
      <c r="AN197" s="5" t="s">
        <v>360</v>
      </c>
      <c r="AO197" s="5" t="s">
        <v>360</v>
      </c>
      <c r="AP197" s="43">
        <f t="shared" si="74"/>
        <v>1.0616087250832851</v>
      </c>
      <c r="AQ197" s="44">
        <v>1834</v>
      </c>
      <c r="AR197" s="35">
        <f t="shared" si="67"/>
        <v>500.18181818181813</v>
      </c>
      <c r="AS197" s="35">
        <f t="shared" si="68"/>
        <v>531</v>
      </c>
      <c r="AT197" s="35">
        <f t="shared" si="69"/>
        <v>30.81818181818187</v>
      </c>
      <c r="AU197" s="35">
        <v>60.4</v>
      </c>
      <c r="AV197" s="35">
        <v>88.2</v>
      </c>
      <c r="AW197" s="35"/>
      <c r="AX197" s="35">
        <f t="shared" si="70"/>
        <v>382.4</v>
      </c>
      <c r="AY197" s="35"/>
      <c r="AZ197" s="35">
        <f t="shared" si="71"/>
        <v>382.4</v>
      </c>
      <c r="BA197" s="35">
        <v>0</v>
      </c>
      <c r="BB197" s="35">
        <f t="shared" si="75"/>
        <v>382.4</v>
      </c>
      <c r="BC197" s="35"/>
      <c r="BD197" s="35">
        <f t="shared" si="72"/>
        <v>382.4</v>
      </c>
      <c r="BE197" s="35">
        <v>392.7</v>
      </c>
      <c r="BF197" s="35">
        <f t="shared" si="73"/>
        <v>-10.3</v>
      </c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10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10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10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10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10"/>
      <c r="HA197" s="9"/>
      <c r="HB197" s="9"/>
    </row>
    <row r="198" spans="1:210" s="2" customFormat="1" ht="17.149999999999999" customHeight="1">
      <c r="A198" s="14" t="s">
        <v>183</v>
      </c>
      <c r="B198" s="63">
        <v>0</v>
      </c>
      <c r="C198" s="63">
        <v>0</v>
      </c>
      <c r="D198" s="4">
        <f t="shared" si="63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196.5</v>
      </c>
      <c r="O198" s="35">
        <v>218.1</v>
      </c>
      <c r="P198" s="4">
        <f t="shared" si="64"/>
        <v>1.1099236641221373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82">
        <v>7012</v>
      </c>
      <c r="W198" s="82">
        <v>5153</v>
      </c>
      <c r="X198" s="4">
        <f t="shared" si="65"/>
        <v>0.73488305761551631</v>
      </c>
      <c r="Y198" s="5">
        <v>5</v>
      </c>
      <c r="Z198" s="5">
        <v>507</v>
      </c>
      <c r="AA198" s="5">
        <v>525</v>
      </c>
      <c r="AB198" s="4">
        <f t="shared" si="66"/>
        <v>1.0355029585798816</v>
      </c>
      <c r="AC198" s="5">
        <v>20</v>
      </c>
      <c r="AD198" s="5" t="s">
        <v>360</v>
      </c>
      <c r="AE198" s="5" t="s">
        <v>360</v>
      </c>
      <c r="AF198" s="5" t="s">
        <v>360</v>
      </c>
      <c r="AG198" s="5" t="s">
        <v>360</v>
      </c>
      <c r="AH198" s="5" t="s">
        <v>360</v>
      </c>
      <c r="AI198" s="5" t="s">
        <v>360</v>
      </c>
      <c r="AJ198" s="5" t="s">
        <v>360</v>
      </c>
      <c r="AK198" s="5" t="s">
        <v>360</v>
      </c>
      <c r="AL198" s="5" t="s">
        <v>360</v>
      </c>
      <c r="AM198" s="5" t="s">
        <v>360</v>
      </c>
      <c r="AN198" s="5" t="s">
        <v>360</v>
      </c>
      <c r="AO198" s="5" t="s">
        <v>360</v>
      </c>
      <c r="AP198" s="43">
        <f t="shared" si="74"/>
        <v>1.0351766164915102</v>
      </c>
      <c r="AQ198" s="44">
        <v>1264</v>
      </c>
      <c r="AR198" s="35">
        <f t="shared" si="67"/>
        <v>344.72727272727275</v>
      </c>
      <c r="AS198" s="35">
        <f t="shared" si="68"/>
        <v>356.9</v>
      </c>
      <c r="AT198" s="35">
        <f t="shared" si="69"/>
        <v>12.172727272727229</v>
      </c>
      <c r="AU198" s="35">
        <v>49.2</v>
      </c>
      <c r="AV198" s="35">
        <v>88.3</v>
      </c>
      <c r="AW198" s="35"/>
      <c r="AX198" s="35">
        <f t="shared" si="70"/>
        <v>219.4</v>
      </c>
      <c r="AY198" s="35"/>
      <c r="AZ198" s="35">
        <f t="shared" si="71"/>
        <v>219.4</v>
      </c>
      <c r="BA198" s="35">
        <v>0</v>
      </c>
      <c r="BB198" s="35">
        <f t="shared" si="75"/>
        <v>219.4</v>
      </c>
      <c r="BC198" s="35"/>
      <c r="BD198" s="35">
        <f t="shared" si="72"/>
        <v>219.4</v>
      </c>
      <c r="BE198" s="35">
        <v>232.3</v>
      </c>
      <c r="BF198" s="35">
        <f t="shared" si="73"/>
        <v>-12.9</v>
      </c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10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10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10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10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10"/>
      <c r="HA198" s="9"/>
      <c r="HB198" s="9"/>
    </row>
    <row r="199" spans="1:210" s="2" customFormat="1" ht="17.149999999999999" customHeight="1">
      <c r="A199" s="14" t="s">
        <v>184</v>
      </c>
      <c r="B199" s="63">
        <v>0</v>
      </c>
      <c r="C199" s="63">
        <v>0</v>
      </c>
      <c r="D199" s="4">
        <f t="shared" si="63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213</v>
      </c>
      <c r="O199" s="35">
        <v>279.8</v>
      </c>
      <c r="P199" s="4">
        <f t="shared" si="64"/>
        <v>1.2113615023474178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82">
        <v>4558</v>
      </c>
      <c r="W199" s="82">
        <v>3399</v>
      </c>
      <c r="X199" s="4">
        <f t="shared" si="65"/>
        <v>0.74572180781044317</v>
      </c>
      <c r="Y199" s="5">
        <v>5</v>
      </c>
      <c r="Z199" s="5">
        <v>357</v>
      </c>
      <c r="AA199" s="5">
        <v>323</v>
      </c>
      <c r="AB199" s="4">
        <f t="shared" si="66"/>
        <v>0.90476190476190477</v>
      </c>
      <c r="AC199" s="5">
        <v>20</v>
      </c>
      <c r="AD199" s="5" t="s">
        <v>360</v>
      </c>
      <c r="AE199" s="5" t="s">
        <v>360</v>
      </c>
      <c r="AF199" s="5" t="s">
        <v>360</v>
      </c>
      <c r="AG199" s="5" t="s">
        <v>360</v>
      </c>
      <c r="AH199" s="5" t="s">
        <v>360</v>
      </c>
      <c r="AI199" s="5" t="s">
        <v>360</v>
      </c>
      <c r="AJ199" s="5" t="s">
        <v>360</v>
      </c>
      <c r="AK199" s="5" t="s">
        <v>360</v>
      </c>
      <c r="AL199" s="5" t="s">
        <v>360</v>
      </c>
      <c r="AM199" s="5" t="s">
        <v>360</v>
      </c>
      <c r="AN199" s="5" t="s">
        <v>360</v>
      </c>
      <c r="AO199" s="5" t="s">
        <v>360</v>
      </c>
      <c r="AP199" s="43">
        <f t="shared" si="74"/>
        <v>1.0233572706941927</v>
      </c>
      <c r="AQ199" s="44">
        <v>1389</v>
      </c>
      <c r="AR199" s="35">
        <f t="shared" si="67"/>
        <v>378.81818181818181</v>
      </c>
      <c r="AS199" s="35">
        <f t="shared" si="68"/>
        <v>387.7</v>
      </c>
      <c r="AT199" s="35">
        <f t="shared" si="69"/>
        <v>8.8818181818181756</v>
      </c>
      <c r="AU199" s="35">
        <v>21</v>
      </c>
      <c r="AV199" s="35">
        <v>24.2</v>
      </c>
      <c r="AW199" s="35"/>
      <c r="AX199" s="35">
        <f t="shared" si="70"/>
        <v>342.5</v>
      </c>
      <c r="AY199" s="35"/>
      <c r="AZ199" s="35">
        <f t="shared" si="71"/>
        <v>342.5</v>
      </c>
      <c r="BA199" s="35">
        <v>0</v>
      </c>
      <c r="BB199" s="35">
        <f t="shared" si="75"/>
        <v>342.5</v>
      </c>
      <c r="BC199" s="35"/>
      <c r="BD199" s="35">
        <f t="shared" si="72"/>
        <v>342.5</v>
      </c>
      <c r="BE199" s="35">
        <v>355.6</v>
      </c>
      <c r="BF199" s="35">
        <f t="shared" si="73"/>
        <v>-13.1</v>
      </c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10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10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10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10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10"/>
      <c r="HA199" s="9"/>
      <c r="HB199" s="9"/>
    </row>
    <row r="200" spans="1:210" s="2" customFormat="1" ht="17.149999999999999" customHeight="1">
      <c r="A200" s="14" t="s">
        <v>185</v>
      </c>
      <c r="B200" s="63">
        <v>0</v>
      </c>
      <c r="C200" s="63">
        <v>0</v>
      </c>
      <c r="D200" s="4">
        <f t="shared" si="63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244.5</v>
      </c>
      <c r="O200" s="35">
        <v>270.10000000000002</v>
      </c>
      <c r="P200" s="4">
        <f t="shared" si="64"/>
        <v>1.1047034764826176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82">
        <v>10518</v>
      </c>
      <c r="W200" s="82">
        <v>8839</v>
      </c>
      <c r="X200" s="4">
        <f t="shared" si="65"/>
        <v>0.84036889142422511</v>
      </c>
      <c r="Y200" s="5">
        <v>5</v>
      </c>
      <c r="Z200" s="5">
        <v>1389</v>
      </c>
      <c r="AA200" s="5">
        <v>1389</v>
      </c>
      <c r="AB200" s="4">
        <f t="shared" si="66"/>
        <v>1</v>
      </c>
      <c r="AC200" s="5">
        <v>20</v>
      </c>
      <c r="AD200" s="5" t="s">
        <v>360</v>
      </c>
      <c r="AE200" s="5" t="s">
        <v>360</v>
      </c>
      <c r="AF200" s="5" t="s">
        <v>360</v>
      </c>
      <c r="AG200" s="5" t="s">
        <v>360</v>
      </c>
      <c r="AH200" s="5" t="s">
        <v>360</v>
      </c>
      <c r="AI200" s="5" t="s">
        <v>360</v>
      </c>
      <c r="AJ200" s="5" t="s">
        <v>360</v>
      </c>
      <c r="AK200" s="5" t="s">
        <v>360</v>
      </c>
      <c r="AL200" s="5" t="s">
        <v>360</v>
      </c>
      <c r="AM200" s="5" t="s">
        <v>360</v>
      </c>
      <c r="AN200" s="5" t="s">
        <v>360</v>
      </c>
      <c r="AO200" s="5" t="s">
        <v>360</v>
      </c>
      <c r="AP200" s="43">
        <f t="shared" si="74"/>
        <v>1.0287980885949661</v>
      </c>
      <c r="AQ200" s="44">
        <v>1144</v>
      </c>
      <c r="AR200" s="35">
        <f t="shared" si="67"/>
        <v>312</v>
      </c>
      <c r="AS200" s="35">
        <f t="shared" si="68"/>
        <v>321</v>
      </c>
      <c r="AT200" s="35">
        <f t="shared" si="69"/>
        <v>9</v>
      </c>
      <c r="AU200" s="35">
        <v>69.2</v>
      </c>
      <c r="AV200" s="35">
        <v>68.7</v>
      </c>
      <c r="AW200" s="35"/>
      <c r="AX200" s="35">
        <f t="shared" si="70"/>
        <v>183.1</v>
      </c>
      <c r="AY200" s="35"/>
      <c r="AZ200" s="35">
        <f t="shared" si="71"/>
        <v>183.1</v>
      </c>
      <c r="BA200" s="35">
        <v>0</v>
      </c>
      <c r="BB200" s="35">
        <f t="shared" si="75"/>
        <v>183.1</v>
      </c>
      <c r="BC200" s="35"/>
      <c r="BD200" s="35">
        <f t="shared" si="72"/>
        <v>183.1</v>
      </c>
      <c r="BE200" s="35">
        <v>190.4</v>
      </c>
      <c r="BF200" s="35">
        <f t="shared" si="73"/>
        <v>-7.3</v>
      </c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10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10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10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10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10"/>
      <c r="HA200" s="9"/>
      <c r="HB200" s="9"/>
    </row>
    <row r="201" spans="1:210" s="2" customFormat="1" ht="17.149999999999999" customHeight="1">
      <c r="A201" s="14" t="s">
        <v>186</v>
      </c>
      <c r="B201" s="63">
        <v>0</v>
      </c>
      <c r="C201" s="63">
        <v>0</v>
      </c>
      <c r="D201" s="4">
        <f t="shared" si="63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352.7</v>
      </c>
      <c r="O201" s="35">
        <v>417</v>
      </c>
      <c r="P201" s="4">
        <f t="shared" si="64"/>
        <v>1.1823079104054437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82">
        <v>11921</v>
      </c>
      <c r="W201" s="82">
        <v>9780</v>
      </c>
      <c r="X201" s="4">
        <f t="shared" si="65"/>
        <v>0.82040097307272875</v>
      </c>
      <c r="Y201" s="5">
        <v>5</v>
      </c>
      <c r="Z201" s="5">
        <v>450</v>
      </c>
      <c r="AA201" s="5">
        <v>488</v>
      </c>
      <c r="AB201" s="4">
        <f t="shared" si="66"/>
        <v>1.0844444444444445</v>
      </c>
      <c r="AC201" s="5">
        <v>20</v>
      </c>
      <c r="AD201" s="5" t="s">
        <v>360</v>
      </c>
      <c r="AE201" s="5" t="s">
        <v>360</v>
      </c>
      <c r="AF201" s="5" t="s">
        <v>360</v>
      </c>
      <c r="AG201" s="5" t="s">
        <v>360</v>
      </c>
      <c r="AH201" s="5" t="s">
        <v>360</v>
      </c>
      <c r="AI201" s="5" t="s">
        <v>360</v>
      </c>
      <c r="AJ201" s="5" t="s">
        <v>360</v>
      </c>
      <c r="AK201" s="5" t="s">
        <v>360</v>
      </c>
      <c r="AL201" s="5" t="s">
        <v>360</v>
      </c>
      <c r="AM201" s="5" t="s">
        <v>360</v>
      </c>
      <c r="AN201" s="5" t="s">
        <v>360</v>
      </c>
      <c r="AO201" s="5" t="s">
        <v>360</v>
      </c>
      <c r="AP201" s="43">
        <f t="shared" si="74"/>
        <v>1.0986011547191423</v>
      </c>
      <c r="AQ201" s="44">
        <v>1556</v>
      </c>
      <c r="AR201" s="35">
        <f t="shared" si="67"/>
        <v>424.36363636363637</v>
      </c>
      <c r="AS201" s="35">
        <f t="shared" si="68"/>
        <v>466.2</v>
      </c>
      <c r="AT201" s="35">
        <f t="shared" si="69"/>
        <v>41.836363636363615</v>
      </c>
      <c r="AU201" s="35">
        <v>78.3</v>
      </c>
      <c r="AV201" s="35">
        <v>82.5</v>
      </c>
      <c r="AW201" s="35"/>
      <c r="AX201" s="35">
        <f t="shared" si="70"/>
        <v>305.39999999999998</v>
      </c>
      <c r="AY201" s="35"/>
      <c r="AZ201" s="35">
        <f t="shared" si="71"/>
        <v>305.39999999999998</v>
      </c>
      <c r="BA201" s="35">
        <v>0</v>
      </c>
      <c r="BB201" s="35">
        <f t="shared" si="75"/>
        <v>305.39999999999998</v>
      </c>
      <c r="BC201" s="35"/>
      <c r="BD201" s="35">
        <f t="shared" si="72"/>
        <v>305.39999999999998</v>
      </c>
      <c r="BE201" s="35">
        <v>320.2</v>
      </c>
      <c r="BF201" s="35">
        <f t="shared" si="73"/>
        <v>-14.8</v>
      </c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10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10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10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10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10"/>
      <c r="HA201" s="9"/>
      <c r="HB201" s="9"/>
    </row>
    <row r="202" spans="1:210" s="2" customFormat="1" ht="17.149999999999999" customHeight="1">
      <c r="A202" s="18" t="s">
        <v>187</v>
      </c>
      <c r="B202" s="5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83"/>
      <c r="W202" s="83"/>
      <c r="X202" s="11"/>
      <c r="Y202" s="11"/>
      <c r="Z202" s="11"/>
      <c r="AA202" s="11"/>
      <c r="AB202" s="11"/>
      <c r="AC202" s="11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35"/>
      <c r="BB202" s="35"/>
      <c r="BC202" s="35"/>
      <c r="BD202" s="35"/>
      <c r="BE202" s="35"/>
      <c r="BF202" s="35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10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10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10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10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10"/>
      <c r="HA202" s="9"/>
      <c r="HB202" s="9"/>
    </row>
    <row r="203" spans="1:210" s="2" customFormat="1" ht="17.149999999999999" customHeight="1">
      <c r="A203" s="14" t="s">
        <v>188</v>
      </c>
      <c r="B203" s="63">
        <v>0</v>
      </c>
      <c r="C203" s="63">
        <v>0</v>
      </c>
      <c r="D203" s="4">
        <f t="shared" si="63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451.2</v>
      </c>
      <c r="O203" s="35">
        <v>1619.8</v>
      </c>
      <c r="P203" s="4">
        <f t="shared" si="64"/>
        <v>1.3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63">
        <v>890.6</v>
      </c>
      <c r="W203" s="82">
        <v>863</v>
      </c>
      <c r="X203" s="4">
        <f t="shared" si="65"/>
        <v>0.96900965641140802</v>
      </c>
      <c r="Y203" s="5">
        <v>5</v>
      </c>
      <c r="Z203" s="5">
        <v>272</v>
      </c>
      <c r="AA203" s="5">
        <v>282</v>
      </c>
      <c r="AB203" s="4">
        <f t="shared" si="66"/>
        <v>1.036764705882353</v>
      </c>
      <c r="AC203" s="5">
        <v>20</v>
      </c>
      <c r="AD203" s="5" t="s">
        <v>360</v>
      </c>
      <c r="AE203" s="5" t="s">
        <v>360</v>
      </c>
      <c r="AF203" s="5" t="s">
        <v>360</v>
      </c>
      <c r="AG203" s="5" t="s">
        <v>360</v>
      </c>
      <c r="AH203" s="5" t="s">
        <v>360</v>
      </c>
      <c r="AI203" s="5" t="s">
        <v>360</v>
      </c>
      <c r="AJ203" s="5" t="s">
        <v>360</v>
      </c>
      <c r="AK203" s="5" t="s">
        <v>360</v>
      </c>
      <c r="AL203" s="5" t="s">
        <v>360</v>
      </c>
      <c r="AM203" s="5" t="s">
        <v>360</v>
      </c>
      <c r="AN203" s="5" t="s">
        <v>360</v>
      </c>
      <c r="AO203" s="5" t="s">
        <v>360</v>
      </c>
      <c r="AP203" s="43">
        <f t="shared" si="74"/>
        <v>1.1462298311045356</v>
      </c>
      <c r="AQ203" s="44">
        <v>1040</v>
      </c>
      <c r="AR203" s="35">
        <f t="shared" si="67"/>
        <v>283.63636363636363</v>
      </c>
      <c r="AS203" s="35">
        <f t="shared" si="68"/>
        <v>325.10000000000002</v>
      </c>
      <c r="AT203" s="35">
        <f t="shared" si="69"/>
        <v>41.463636363636397</v>
      </c>
      <c r="AU203" s="35">
        <v>57.2</v>
      </c>
      <c r="AV203" s="35">
        <v>0</v>
      </c>
      <c r="AW203" s="35">
        <v>41.4</v>
      </c>
      <c r="AX203" s="35">
        <f t="shared" si="70"/>
        <v>226.5</v>
      </c>
      <c r="AY203" s="35"/>
      <c r="AZ203" s="35">
        <f t="shared" si="71"/>
        <v>226.5</v>
      </c>
      <c r="BA203" s="35">
        <v>0</v>
      </c>
      <c r="BB203" s="35">
        <f t="shared" si="75"/>
        <v>226.5</v>
      </c>
      <c r="BC203" s="35">
        <f>MIN(BB203,47.3)</f>
        <v>47.3</v>
      </c>
      <c r="BD203" s="35">
        <f t="shared" si="72"/>
        <v>179.2</v>
      </c>
      <c r="BE203" s="35">
        <v>185.5</v>
      </c>
      <c r="BF203" s="35">
        <f t="shared" si="73"/>
        <v>-6.3</v>
      </c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10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10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10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10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10"/>
      <c r="HA203" s="9"/>
      <c r="HB203" s="9"/>
    </row>
    <row r="204" spans="1:210" s="2" customFormat="1" ht="17.149999999999999" customHeight="1">
      <c r="A204" s="14" t="s">
        <v>189</v>
      </c>
      <c r="B204" s="63">
        <v>0</v>
      </c>
      <c r="C204" s="63">
        <v>0</v>
      </c>
      <c r="D204" s="4">
        <f t="shared" si="63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236.3</v>
      </c>
      <c r="O204" s="35">
        <v>170.3</v>
      </c>
      <c r="P204" s="4">
        <f t="shared" si="64"/>
        <v>0.72069403300888701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82">
        <v>1513</v>
      </c>
      <c r="W204" s="82">
        <v>1469</v>
      </c>
      <c r="X204" s="4">
        <f t="shared" si="65"/>
        <v>0.97091870456047591</v>
      </c>
      <c r="Y204" s="5">
        <v>5</v>
      </c>
      <c r="Z204" s="5">
        <v>35</v>
      </c>
      <c r="AA204" s="5">
        <v>36</v>
      </c>
      <c r="AB204" s="4">
        <f t="shared" si="66"/>
        <v>1.0285714285714285</v>
      </c>
      <c r="AC204" s="5">
        <v>20</v>
      </c>
      <c r="AD204" s="5" t="s">
        <v>360</v>
      </c>
      <c r="AE204" s="5" t="s">
        <v>360</v>
      </c>
      <c r="AF204" s="5" t="s">
        <v>360</v>
      </c>
      <c r="AG204" s="5" t="s">
        <v>360</v>
      </c>
      <c r="AH204" s="5" t="s">
        <v>360</v>
      </c>
      <c r="AI204" s="5" t="s">
        <v>360</v>
      </c>
      <c r="AJ204" s="5" t="s">
        <v>360</v>
      </c>
      <c r="AK204" s="5" t="s">
        <v>360</v>
      </c>
      <c r="AL204" s="5" t="s">
        <v>360</v>
      </c>
      <c r="AM204" s="5" t="s">
        <v>360</v>
      </c>
      <c r="AN204" s="5" t="s">
        <v>360</v>
      </c>
      <c r="AO204" s="5" t="s">
        <v>360</v>
      </c>
      <c r="AP204" s="43">
        <f t="shared" si="74"/>
        <v>0.88533117232019309</v>
      </c>
      <c r="AQ204" s="44">
        <v>774</v>
      </c>
      <c r="AR204" s="35">
        <f t="shared" si="67"/>
        <v>211.09090909090907</v>
      </c>
      <c r="AS204" s="35">
        <f t="shared" si="68"/>
        <v>186.9</v>
      </c>
      <c r="AT204" s="35">
        <f t="shared" si="69"/>
        <v>-24.190909090909059</v>
      </c>
      <c r="AU204" s="35">
        <v>47.8</v>
      </c>
      <c r="AV204" s="35">
        <v>15.1</v>
      </c>
      <c r="AW204" s="35"/>
      <c r="AX204" s="35">
        <f t="shared" si="70"/>
        <v>124</v>
      </c>
      <c r="AY204" s="35"/>
      <c r="AZ204" s="35">
        <f t="shared" si="71"/>
        <v>124</v>
      </c>
      <c r="BA204" s="35">
        <v>0</v>
      </c>
      <c r="BB204" s="35">
        <f t="shared" si="75"/>
        <v>124</v>
      </c>
      <c r="BC204" s="35"/>
      <c r="BD204" s="35">
        <f t="shared" si="72"/>
        <v>124</v>
      </c>
      <c r="BE204" s="35">
        <v>121.7</v>
      </c>
      <c r="BF204" s="35">
        <f t="shared" si="73"/>
        <v>2.2999999999999998</v>
      </c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10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10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10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10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10"/>
      <c r="HA204" s="9"/>
      <c r="HB204" s="9"/>
    </row>
    <row r="205" spans="1:210" s="2" customFormat="1" ht="17.149999999999999" customHeight="1">
      <c r="A205" s="14" t="s">
        <v>190</v>
      </c>
      <c r="B205" s="63">
        <v>0</v>
      </c>
      <c r="C205" s="63">
        <v>0</v>
      </c>
      <c r="D205" s="4">
        <f t="shared" si="63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414.3</v>
      </c>
      <c r="O205" s="35">
        <v>703</v>
      </c>
      <c r="P205" s="4">
        <f t="shared" si="64"/>
        <v>1.2496838040067584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82">
        <v>1231</v>
      </c>
      <c r="W205" s="82">
        <v>1400</v>
      </c>
      <c r="X205" s="4">
        <f t="shared" si="65"/>
        <v>1.1372867587327375</v>
      </c>
      <c r="Y205" s="5">
        <v>5</v>
      </c>
      <c r="Z205" s="5">
        <v>610</v>
      </c>
      <c r="AA205" s="5">
        <v>610</v>
      </c>
      <c r="AB205" s="4">
        <f t="shared" si="66"/>
        <v>1</v>
      </c>
      <c r="AC205" s="5">
        <v>20</v>
      </c>
      <c r="AD205" s="5" t="s">
        <v>360</v>
      </c>
      <c r="AE205" s="5" t="s">
        <v>360</v>
      </c>
      <c r="AF205" s="5" t="s">
        <v>360</v>
      </c>
      <c r="AG205" s="5" t="s">
        <v>360</v>
      </c>
      <c r="AH205" s="5" t="s">
        <v>360</v>
      </c>
      <c r="AI205" s="5" t="s">
        <v>360</v>
      </c>
      <c r="AJ205" s="5" t="s">
        <v>360</v>
      </c>
      <c r="AK205" s="5" t="s">
        <v>360</v>
      </c>
      <c r="AL205" s="5" t="s">
        <v>360</v>
      </c>
      <c r="AM205" s="5" t="s">
        <v>360</v>
      </c>
      <c r="AN205" s="5" t="s">
        <v>360</v>
      </c>
      <c r="AO205" s="5" t="s">
        <v>360</v>
      </c>
      <c r="AP205" s="43">
        <f t="shared" si="74"/>
        <v>1.1262246638621969</v>
      </c>
      <c r="AQ205" s="44">
        <v>1954</v>
      </c>
      <c r="AR205" s="35">
        <f t="shared" si="67"/>
        <v>532.90909090909088</v>
      </c>
      <c r="AS205" s="35">
        <f t="shared" si="68"/>
        <v>600.20000000000005</v>
      </c>
      <c r="AT205" s="35">
        <f t="shared" si="69"/>
        <v>67.290909090909167</v>
      </c>
      <c r="AU205" s="35">
        <v>210.7</v>
      </c>
      <c r="AV205" s="35">
        <v>78.900000000000006</v>
      </c>
      <c r="AW205" s="35">
        <v>88.8</v>
      </c>
      <c r="AX205" s="35">
        <f t="shared" si="70"/>
        <v>221.8</v>
      </c>
      <c r="AY205" s="35"/>
      <c r="AZ205" s="35">
        <f t="shared" si="71"/>
        <v>221.8</v>
      </c>
      <c r="BA205" s="35">
        <v>0</v>
      </c>
      <c r="BB205" s="35">
        <f t="shared" si="75"/>
        <v>221.8</v>
      </c>
      <c r="BC205" s="35">
        <f>MIN(BB205,20.9)</f>
        <v>20.9</v>
      </c>
      <c r="BD205" s="35">
        <f t="shared" si="72"/>
        <v>200.9</v>
      </c>
      <c r="BE205" s="35">
        <v>200.1</v>
      </c>
      <c r="BF205" s="35">
        <f t="shared" si="73"/>
        <v>0.8</v>
      </c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10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10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10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10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10"/>
      <c r="HA205" s="9"/>
      <c r="HB205" s="9"/>
    </row>
    <row r="206" spans="1:210" s="2" customFormat="1" ht="17.149999999999999" customHeight="1">
      <c r="A206" s="14" t="s">
        <v>191</v>
      </c>
      <c r="B206" s="63">
        <v>0</v>
      </c>
      <c r="C206" s="63">
        <v>0</v>
      </c>
      <c r="D206" s="4">
        <f t="shared" si="63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263.5</v>
      </c>
      <c r="O206" s="35">
        <v>339.9</v>
      </c>
      <c r="P206" s="4">
        <f t="shared" si="64"/>
        <v>1.2089943074003795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63">
        <v>1587.2</v>
      </c>
      <c r="W206" s="82">
        <v>1572</v>
      </c>
      <c r="X206" s="4">
        <f t="shared" si="65"/>
        <v>0.99042338709677413</v>
      </c>
      <c r="Y206" s="5">
        <v>5</v>
      </c>
      <c r="Z206" s="5">
        <v>74</v>
      </c>
      <c r="AA206" s="5">
        <v>76</v>
      </c>
      <c r="AB206" s="4">
        <f t="shared" si="66"/>
        <v>1.027027027027027</v>
      </c>
      <c r="AC206" s="5">
        <v>20</v>
      </c>
      <c r="AD206" s="5" t="s">
        <v>360</v>
      </c>
      <c r="AE206" s="5" t="s">
        <v>360</v>
      </c>
      <c r="AF206" s="5" t="s">
        <v>360</v>
      </c>
      <c r="AG206" s="5" t="s">
        <v>360</v>
      </c>
      <c r="AH206" s="5" t="s">
        <v>360</v>
      </c>
      <c r="AI206" s="5" t="s">
        <v>360</v>
      </c>
      <c r="AJ206" s="5" t="s">
        <v>360</v>
      </c>
      <c r="AK206" s="5" t="s">
        <v>360</v>
      </c>
      <c r="AL206" s="5" t="s">
        <v>360</v>
      </c>
      <c r="AM206" s="5" t="s">
        <v>360</v>
      </c>
      <c r="AN206" s="5" t="s">
        <v>360</v>
      </c>
      <c r="AO206" s="5" t="s">
        <v>360</v>
      </c>
      <c r="AP206" s="43">
        <f t="shared" si="74"/>
        <v>1.1038343027562667</v>
      </c>
      <c r="AQ206" s="44">
        <v>539</v>
      </c>
      <c r="AR206" s="35">
        <f t="shared" si="67"/>
        <v>147</v>
      </c>
      <c r="AS206" s="35">
        <f t="shared" si="68"/>
        <v>162.30000000000001</v>
      </c>
      <c r="AT206" s="35">
        <f t="shared" si="69"/>
        <v>15.300000000000011</v>
      </c>
      <c r="AU206" s="35">
        <v>12</v>
      </c>
      <c r="AV206" s="35">
        <v>43.8</v>
      </c>
      <c r="AW206" s="35"/>
      <c r="AX206" s="35">
        <f t="shared" si="70"/>
        <v>106.5</v>
      </c>
      <c r="AY206" s="35"/>
      <c r="AZ206" s="35">
        <f t="shared" si="71"/>
        <v>106.5</v>
      </c>
      <c r="BA206" s="35">
        <v>0</v>
      </c>
      <c r="BB206" s="35">
        <f t="shared" si="75"/>
        <v>106.5</v>
      </c>
      <c r="BC206" s="35"/>
      <c r="BD206" s="35">
        <f t="shared" si="72"/>
        <v>106.5</v>
      </c>
      <c r="BE206" s="35">
        <v>108.5</v>
      </c>
      <c r="BF206" s="35">
        <f t="shared" si="73"/>
        <v>-2</v>
      </c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10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10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10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10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10"/>
      <c r="HA206" s="9"/>
      <c r="HB206" s="9"/>
    </row>
    <row r="207" spans="1:210" s="2" customFormat="1" ht="17.149999999999999" customHeight="1">
      <c r="A207" s="14" t="s">
        <v>192</v>
      </c>
      <c r="B207" s="63">
        <v>0</v>
      </c>
      <c r="C207" s="63">
        <v>0</v>
      </c>
      <c r="D207" s="4">
        <f t="shared" si="63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354.3</v>
      </c>
      <c r="O207" s="35">
        <v>491</v>
      </c>
      <c r="P207" s="4">
        <f t="shared" si="64"/>
        <v>1.2185831216483205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63">
        <v>1468.5</v>
      </c>
      <c r="W207" s="82">
        <v>2542</v>
      </c>
      <c r="X207" s="4">
        <f t="shared" si="65"/>
        <v>1.2531018045624787</v>
      </c>
      <c r="Y207" s="5">
        <v>5</v>
      </c>
      <c r="Z207" s="5">
        <v>420</v>
      </c>
      <c r="AA207" s="5">
        <v>422</v>
      </c>
      <c r="AB207" s="4">
        <f t="shared" si="66"/>
        <v>1.0047619047619047</v>
      </c>
      <c r="AC207" s="5">
        <v>20</v>
      </c>
      <c r="AD207" s="5" t="s">
        <v>360</v>
      </c>
      <c r="AE207" s="5" t="s">
        <v>360</v>
      </c>
      <c r="AF207" s="5" t="s">
        <v>360</v>
      </c>
      <c r="AG207" s="5" t="s">
        <v>360</v>
      </c>
      <c r="AH207" s="5" t="s">
        <v>360</v>
      </c>
      <c r="AI207" s="5" t="s">
        <v>360</v>
      </c>
      <c r="AJ207" s="5" t="s">
        <v>360</v>
      </c>
      <c r="AK207" s="5" t="s">
        <v>360</v>
      </c>
      <c r="AL207" s="5" t="s">
        <v>360</v>
      </c>
      <c r="AM207" s="5" t="s">
        <v>360</v>
      </c>
      <c r="AN207" s="5" t="s">
        <v>360</v>
      </c>
      <c r="AO207" s="5" t="s">
        <v>360</v>
      </c>
      <c r="AP207" s="43">
        <f t="shared" si="74"/>
        <v>1.1273868789114867</v>
      </c>
      <c r="AQ207" s="44">
        <v>896</v>
      </c>
      <c r="AR207" s="35">
        <f t="shared" si="67"/>
        <v>244.36363636363637</v>
      </c>
      <c r="AS207" s="35">
        <f t="shared" si="68"/>
        <v>275.5</v>
      </c>
      <c r="AT207" s="35">
        <f t="shared" si="69"/>
        <v>31.136363636363626</v>
      </c>
      <c r="AU207" s="35">
        <v>103.5</v>
      </c>
      <c r="AV207" s="35">
        <v>93.6</v>
      </c>
      <c r="AW207" s="35"/>
      <c r="AX207" s="35">
        <f t="shared" si="70"/>
        <v>78.400000000000006</v>
      </c>
      <c r="AY207" s="35"/>
      <c r="AZ207" s="35">
        <f t="shared" si="71"/>
        <v>78.400000000000006</v>
      </c>
      <c r="BA207" s="35">
        <v>0</v>
      </c>
      <c r="BB207" s="35">
        <f t="shared" si="75"/>
        <v>78.400000000000006</v>
      </c>
      <c r="BC207" s="35"/>
      <c r="BD207" s="35">
        <f t="shared" si="72"/>
        <v>78.400000000000006</v>
      </c>
      <c r="BE207" s="35">
        <v>74.599999999999994</v>
      </c>
      <c r="BF207" s="35">
        <f t="shared" si="73"/>
        <v>3.8</v>
      </c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10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10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10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10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10"/>
      <c r="HA207" s="9"/>
      <c r="HB207" s="9"/>
    </row>
    <row r="208" spans="1:210" s="2" customFormat="1" ht="17.149999999999999" customHeight="1">
      <c r="A208" s="14" t="s">
        <v>193</v>
      </c>
      <c r="B208" s="63">
        <v>823</v>
      </c>
      <c r="C208" s="63">
        <v>939.5</v>
      </c>
      <c r="D208" s="4">
        <f t="shared" si="63"/>
        <v>1.1415552855407047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456.1</v>
      </c>
      <c r="O208" s="35">
        <v>678.9</v>
      </c>
      <c r="P208" s="4">
        <f t="shared" si="64"/>
        <v>1.2288489366367024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63">
        <v>6706.2</v>
      </c>
      <c r="W208" s="82">
        <v>7032</v>
      </c>
      <c r="X208" s="4">
        <f t="shared" si="65"/>
        <v>1.0485819092779816</v>
      </c>
      <c r="Y208" s="5">
        <v>5</v>
      </c>
      <c r="Z208" s="5">
        <v>534</v>
      </c>
      <c r="AA208" s="5">
        <v>556</v>
      </c>
      <c r="AB208" s="4">
        <f t="shared" si="66"/>
        <v>1.0411985018726593</v>
      </c>
      <c r="AC208" s="5">
        <v>20</v>
      </c>
      <c r="AD208" s="5" t="s">
        <v>360</v>
      </c>
      <c r="AE208" s="5" t="s">
        <v>360</v>
      </c>
      <c r="AF208" s="5" t="s">
        <v>360</v>
      </c>
      <c r="AG208" s="5" t="s">
        <v>360</v>
      </c>
      <c r="AH208" s="5" t="s">
        <v>360</v>
      </c>
      <c r="AI208" s="5" t="s">
        <v>360</v>
      </c>
      <c r="AJ208" s="5" t="s">
        <v>360</v>
      </c>
      <c r="AK208" s="5" t="s">
        <v>360</v>
      </c>
      <c r="AL208" s="5" t="s">
        <v>360</v>
      </c>
      <c r="AM208" s="5" t="s">
        <v>360</v>
      </c>
      <c r="AN208" s="5" t="s">
        <v>360</v>
      </c>
      <c r="AO208" s="5" t="s">
        <v>360</v>
      </c>
      <c r="AP208" s="43">
        <f t="shared" si="74"/>
        <v>1.1270326948856133</v>
      </c>
      <c r="AQ208" s="44">
        <v>1354</v>
      </c>
      <c r="AR208" s="35">
        <f t="shared" si="67"/>
        <v>369.27272727272725</v>
      </c>
      <c r="AS208" s="35">
        <f t="shared" si="68"/>
        <v>416.2</v>
      </c>
      <c r="AT208" s="35">
        <f t="shared" si="69"/>
        <v>46.927272727272737</v>
      </c>
      <c r="AU208" s="35">
        <v>130.5</v>
      </c>
      <c r="AV208" s="35">
        <v>112.9</v>
      </c>
      <c r="AW208" s="35"/>
      <c r="AX208" s="35">
        <f t="shared" si="70"/>
        <v>172.8</v>
      </c>
      <c r="AY208" s="35"/>
      <c r="AZ208" s="35">
        <f t="shared" si="71"/>
        <v>172.8</v>
      </c>
      <c r="BA208" s="35">
        <v>0</v>
      </c>
      <c r="BB208" s="35">
        <f t="shared" si="75"/>
        <v>172.8</v>
      </c>
      <c r="BC208" s="35"/>
      <c r="BD208" s="35">
        <f t="shared" si="72"/>
        <v>172.8</v>
      </c>
      <c r="BE208" s="35">
        <v>176</v>
      </c>
      <c r="BF208" s="35">
        <f t="shared" si="73"/>
        <v>-3.2</v>
      </c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10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10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10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10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10"/>
      <c r="HA208" s="9"/>
      <c r="HB208" s="9"/>
    </row>
    <row r="209" spans="1:210" s="2" customFormat="1" ht="17.149999999999999" customHeight="1">
      <c r="A209" s="14" t="s">
        <v>194</v>
      </c>
      <c r="B209" s="63">
        <v>45736</v>
      </c>
      <c r="C209" s="63">
        <v>47621.3</v>
      </c>
      <c r="D209" s="4">
        <f t="shared" si="63"/>
        <v>1.0412213573552562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3098</v>
      </c>
      <c r="O209" s="35">
        <v>2718.4</v>
      </c>
      <c r="P209" s="4">
        <f t="shared" si="64"/>
        <v>0.87746933505487412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63">
        <v>128312.3</v>
      </c>
      <c r="W209" s="82">
        <v>133839</v>
      </c>
      <c r="X209" s="4">
        <f t="shared" si="65"/>
        <v>1.043072254179841</v>
      </c>
      <c r="Y209" s="5">
        <v>5</v>
      </c>
      <c r="Z209" s="5">
        <v>420</v>
      </c>
      <c r="AA209" s="5">
        <v>431</v>
      </c>
      <c r="AB209" s="4">
        <f t="shared" si="66"/>
        <v>1.0261904761904761</v>
      </c>
      <c r="AC209" s="5">
        <v>20</v>
      </c>
      <c r="AD209" s="5" t="s">
        <v>360</v>
      </c>
      <c r="AE209" s="5" t="s">
        <v>360</v>
      </c>
      <c r="AF209" s="5" t="s">
        <v>360</v>
      </c>
      <c r="AG209" s="5" t="s">
        <v>360</v>
      </c>
      <c r="AH209" s="5" t="s">
        <v>360</v>
      </c>
      <c r="AI209" s="5" t="s">
        <v>360</v>
      </c>
      <c r="AJ209" s="5" t="s">
        <v>360</v>
      </c>
      <c r="AK209" s="5" t="s">
        <v>360</v>
      </c>
      <c r="AL209" s="5" t="s">
        <v>360</v>
      </c>
      <c r="AM209" s="5" t="s">
        <v>360</v>
      </c>
      <c r="AN209" s="5" t="s">
        <v>360</v>
      </c>
      <c r="AO209" s="5" t="s">
        <v>360</v>
      </c>
      <c r="AP209" s="43">
        <f t="shared" si="74"/>
        <v>0.96989328565164978</v>
      </c>
      <c r="AQ209" s="44">
        <v>951</v>
      </c>
      <c r="AR209" s="35">
        <f t="shared" si="67"/>
        <v>259.36363636363637</v>
      </c>
      <c r="AS209" s="35">
        <f t="shared" si="68"/>
        <v>251.6</v>
      </c>
      <c r="AT209" s="35">
        <f t="shared" si="69"/>
        <v>-7.7636363636363797</v>
      </c>
      <c r="AU209" s="35">
        <v>102.3</v>
      </c>
      <c r="AV209" s="35">
        <v>54.5</v>
      </c>
      <c r="AW209" s="35">
        <v>4.4000000000000004</v>
      </c>
      <c r="AX209" s="35">
        <f t="shared" si="70"/>
        <v>90.4</v>
      </c>
      <c r="AY209" s="35"/>
      <c r="AZ209" s="35">
        <f t="shared" si="71"/>
        <v>90.4</v>
      </c>
      <c r="BA209" s="35">
        <v>0</v>
      </c>
      <c r="BB209" s="35">
        <f t="shared" si="75"/>
        <v>90.4</v>
      </c>
      <c r="BC209" s="35"/>
      <c r="BD209" s="35">
        <f t="shared" si="72"/>
        <v>90.4</v>
      </c>
      <c r="BE209" s="35">
        <v>88.2</v>
      </c>
      <c r="BF209" s="35">
        <f t="shared" si="73"/>
        <v>2.2000000000000002</v>
      </c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10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10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10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10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10"/>
      <c r="HA209" s="9"/>
      <c r="HB209" s="9"/>
    </row>
    <row r="210" spans="1:210" s="2" customFormat="1" ht="17.149999999999999" customHeight="1">
      <c r="A210" s="14" t="s">
        <v>195</v>
      </c>
      <c r="B210" s="63">
        <v>0</v>
      </c>
      <c r="C210" s="63">
        <v>0</v>
      </c>
      <c r="D210" s="4">
        <f t="shared" si="63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628.4</v>
      </c>
      <c r="O210" s="35">
        <v>197.1</v>
      </c>
      <c r="P210" s="4">
        <f t="shared" si="64"/>
        <v>0.31365372374283895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63">
        <v>1068.8</v>
      </c>
      <c r="W210" s="82">
        <v>1118</v>
      </c>
      <c r="X210" s="4">
        <f t="shared" si="65"/>
        <v>1.0460329341317365</v>
      </c>
      <c r="Y210" s="5">
        <v>5</v>
      </c>
      <c r="Z210" s="5">
        <v>172</v>
      </c>
      <c r="AA210" s="5">
        <v>259</v>
      </c>
      <c r="AB210" s="4">
        <f t="shared" si="66"/>
        <v>1.2305813953488371</v>
      </c>
      <c r="AC210" s="5">
        <v>20</v>
      </c>
      <c r="AD210" s="5" t="s">
        <v>360</v>
      </c>
      <c r="AE210" s="5" t="s">
        <v>360</v>
      </c>
      <c r="AF210" s="5" t="s">
        <v>360</v>
      </c>
      <c r="AG210" s="5" t="s">
        <v>360</v>
      </c>
      <c r="AH210" s="5" t="s">
        <v>360</v>
      </c>
      <c r="AI210" s="5" t="s">
        <v>360</v>
      </c>
      <c r="AJ210" s="5" t="s">
        <v>360</v>
      </c>
      <c r="AK210" s="5" t="s">
        <v>360</v>
      </c>
      <c r="AL210" s="5" t="s">
        <v>360</v>
      </c>
      <c r="AM210" s="5" t="s">
        <v>360</v>
      </c>
      <c r="AN210" s="5" t="s">
        <v>360</v>
      </c>
      <c r="AO210" s="5" t="s">
        <v>360</v>
      </c>
      <c r="AP210" s="43">
        <f t="shared" si="74"/>
        <v>0.80255260116649341</v>
      </c>
      <c r="AQ210" s="44">
        <v>505</v>
      </c>
      <c r="AR210" s="35">
        <f t="shared" si="67"/>
        <v>137.72727272727272</v>
      </c>
      <c r="AS210" s="35">
        <f t="shared" si="68"/>
        <v>110.5</v>
      </c>
      <c r="AT210" s="35">
        <f t="shared" si="69"/>
        <v>-27.22727272727272</v>
      </c>
      <c r="AU210" s="35">
        <v>6.6</v>
      </c>
      <c r="AV210" s="35">
        <v>4.8</v>
      </c>
      <c r="AW210" s="35"/>
      <c r="AX210" s="35">
        <f t="shared" si="70"/>
        <v>99.1</v>
      </c>
      <c r="AY210" s="35"/>
      <c r="AZ210" s="35">
        <f t="shared" si="71"/>
        <v>99.1</v>
      </c>
      <c r="BA210" s="35">
        <v>0</v>
      </c>
      <c r="BB210" s="35">
        <f t="shared" si="75"/>
        <v>99.1</v>
      </c>
      <c r="BC210" s="35"/>
      <c r="BD210" s="35">
        <f t="shared" si="72"/>
        <v>99.1</v>
      </c>
      <c r="BE210" s="35">
        <v>94.9</v>
      </c>
      <c r="BF210" s="35">
        <f t="shared" si="73"/>
        <v>4.2</v>
      </c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10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10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10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10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10"/>
      <c r="HA210" s="9"/>
      <c r="HB210" s="9"/>
    </row>
    <row r="211" spans="1:210" s="2" customFormat="1" ht="17.149999999999999" customHeight="1">
      <c r="A211" s="14" t="s">
        <v>196</v>
      </c>
      <c r="B211" s="63">
        <v>0</v>
      </c>
      <c r="C211" s="63">
        <v>0</v>
      </c>
      <c r="D211" s="4">
        <f t="shared" si="63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74.400000000000006</v>
      </c>
      <c r="O211" s="35">
        <v>84.6</v>
      </c>
      <c r="P211" s="4">
        <f t="shared" si="64"/>
        <v>1.1370967741935483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63">
        <v>1631.8</v>
      </c>
      <c r="W211" s="82">
        <v>1580</v>
      </c>
      <c r="X211" s="4">
        <f t="shared" si="65"/>
        <v>0.96825591371491604</v>
      </c>
      <c r="Y211" s="5">
        <v>5</v>
      </c>
      <c r="Z211" s="5">
        <v>77</v>
      </c>
      <c r="AA211" s="5">
        <v>79</v>
      </c>
      <c r="AB211" s="4">
        <f t="shared" si="66"/>
        <v>1.025974025974026</v>
      </c>
      <c r="AC211" s="5">
        <v>20</v>
      </c>
      <c r="AD211" s="5" t="s">
        <v>360</v>
      </c>
      <c r="AE211" s="5" t="s">
        <v>360</v>
      </c>
      <c r="AF211" s="5" t="s">
        <v>360</v>
      </c>
      <c r="AG211" s="5" t="s">
        <v>360</v>
      </c>
      <c r="AH211" s="5" t="s">
        <v>360</v>
      </c>
      <c r="AI211" s="5" t="s">
        <v>360</v>
      </c>
      <c r="AJ211" s="5" t="s">
        <v>360</v>
      </c>
      <c r="AK211" s="5" t="s">
        <v>360</v>
      </c>
      <c r="AL211" s="5" t="s">
        <v>360</v>
      </c>
      <c r="AM211" s="5" t="s">
        <v>360</v>
      </c>
      <c r="AN211" s="5" t="s">
        <v>360</v>
      </c>
      <c r="AO211" s="5" t="s">
        <v>360</v>
      </c>
      <c r="AP211" s="43">
        <f t="shared" si="74"/>
        <v>1.0689487904872459</v>
      </c>
      <c r="AQ211" s="44">
        <v>918</v>
      </c>
      <c r="AR211" s="35">
        <f t="shared" si="67"/>
        <v>250.36363636363637</v>
      </c>
      <c r="AS211" s="35">
        <f t="shared" si="68"/>
        <v>267.60000000000002</v>
      </c>
      <c r="AT211" s="35">
        <f t="shared" si="69"/>
        <v>17.236363636363649</v>
      </c>
      <c r="AU211" s="35">
        <v>28.4</v>
      </c>
      <c r="AV211" s="35">
        <v>100.7</v>
      </c>
      <c r="AW211" s="35"/>
      <c r="AX211" s="35">
        <f t="shared" si="70"/>
        <v>138.5</v>
      </c>
      <c r="AY211" s="35"/>
      <c r="AZ211" s="35">
        <f t="shared" si="71"/>
        <v>138.5</v>
      </c>
      <c r="BA211" s="35">
        <v>0</v>
      </c>
      <c r="BB211" s="35">
        <f t="shared" si="75"/>
        <v>138.5</v>
      </c>
      <c r="BC211" s="35"/>
      <c r="BD211" s="35">
        <f t="shared" si="72"/>
        <v>138.5</v>
      </c>
      <c r="BE211" s="35">
        <v>141.69999999999999</v>
      </c>
      <c r="BF211" s="35">
        <f t="shared" si="73"/>
        <v>-3.2</v>
      </c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10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10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10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10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10"/>
      <c r="HA211" s="9"/>
      <c r="HB211" s="9"/>
    </row>
    <row r="212" spans="1:210" s="2" customFormat="1" ht="17.149999999999999" customHeight="1">
      <c r="A212" s="14" t="s">
        <v>197</v>
      </c>
      <c r="B212" s="63">
        <v>0</v>
      </c>
      <c r="C212" s="63">
        <v>0</v>
      </c>
      <c r="D212" s="4">
        <f t="shared" si="63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372.2</v>
      </c>
      <c r="O212" s="35">
        <v>725.6</v>
      </c>
      <c r="P212" s="4">
        <f t="shared" si="64"/>
        <v>1.2749489521762494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82">
        <v>2463</v>
      </c>
      <c r="W212" s="82">
        <v>3805</v>
      </c>
      <c r="X212" s="4">
        <f t="shared" si="65"/>
        <v>1.2344863987007715</v>
      </c>
      <c r="Y212" s="5">
        <v>5</v>
      </c>
      <c r="Z212" s="5">
        <v>583</v>
      </c>
      <c r="AA212" s="5">
        <v>583</v>
      </c>
      <c r="AB212" s="4">
        <f t="shared" si="66"/>
        <v>1</v>
      </c>
      <c r="AC212" s="5">
        <v>20</v>
      </c>
      <c r="AD212" s="5" t="s">
        <v>360</v>
      </c>
      <c r="AE212" s="5" t="s">
        <v>360</v>
      </c>
      <c r="AF212" s="5" t="s">
        <v>360</v>
      </c>
      <c r="AG212" s="5" t="s">
        <v>360</v>
      </c>
      <c r="AH212" s="5" t="s">
        <v>360</v>
      </c>
      <c r="AI212" s="5" t="s">
        <v>360</v>
      </c>
      <c r="AJ212" s="5" t="s">
        <v>360</v>
      </c>
      <c r="AK212" s="5" t="s">
        <v>360</v>
      </c>
      <c r="AL212" s="5" t="s">
        <v>360</v>
      </c>
      <c r="AM212" s="5" t="s">
        <v>360</v>
      </c>
      <c r="AN212" s="5" t="s">
        <v>360</v>
      </c>
      <c r="AO212" s="5" t="s">
        <v>360</v>
      </c>
      <c r="AP212" s="43">
        <f t="shared" si="74"/>
        <v>1.1482535786006411</v>
      </c>
      <c r="AQ212" s="44">
        <v>1663</v>
      </c>
      <c r="AR212" s="35">
        <f t="shared" si="67"/>
        <v>453.54545454545456</v>
      </c>
      <c r="AS212" s="35">
        <f t="shared" si="68"/>
        <v>520.79999999999995</v>
      </c>
      <c r="AT212" s="35">
        <f t="shared" si="69"/>
        <v>67.254545454545394</v>
      </c>
      <c r="AU212" s="35">
        <v>184.8</v>
      </c>
      <c r="AV212" s="35">
        <v>185.8</v>
      </c>
      <c r="AW212" s="35"/>
      <c r="AX212" s="35">
        <f t="shared" si="70"/>
        <v>150.19999999999999</v>
      </c>
      <c r="AY212" s="35"/>
      <c r="AZ212" s="35">
        <f t="shared" si="71"/>
        <v>150.19999999999999</v>
      </c>
      <c r="BA212" s="35">
        <v>0</v>
      </c>
      <c r="BB212" s="35">
        <f t="shared" si="75"/>
        <v>150.19999999999999</v>
      </c>
      <c r="BC212" s="35"/>
      <c r="BD212" s="35">
        <f t="shared" si="72"/>
        <v>150.19999999999999</v>
      </c>
      <c r="BE212" s="35">
        <v>145.30000000000001</v>
      </c>
      <c r="BF212" s="35">
        <f t="shared" si="73"/>
        <v>4.9000000000000004</v>
      </c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10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10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10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10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10"/>
      <c r="HA212" s="9"/>
      <c r="HB212" s="9"/>
    </row>
    <row r="213" spans="1:210" s="2" customFormat="1" ht="17.149999999999999" customHeight="1">
      <c r="A213" s="14" t="s">
        <v>198</v>
      </c>
      <c r="B213" s="63">
        <v>0</v>
      </c>
      <c r="C213" s="63">
        <v>0</v>
      </c>
      <c r="D213" s="4">
        <f t="shared" si="63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80.900000000000006</v>
      </c>
      <c r="O213" s="35">
        <v>106.3</v>
      </c>
      <c r="P213" s="4">
        <f t="shared" si="64"/>
        <v>1.2113967861557478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63">
        <v>415.6</v>
      </c>
      <c r="W213" s="82">
        <v>469</v>
      </c>
      <c r="X213" s="4">
        <f t="shared" si="65"/>
        <v>1.1284889316650626</v>
      </c>
      <c r="Y213" s="5">
        <v>5</v>
      </c>
      <c r="Z213" s="5">
        <v>74</v>
      </c>
      <c r="AA213" s="5">
        <v>74</v>
      </c>
      <c r="AB213" s="4">
        <f t="shared" si="66"/>
        <v>1</v>
      </c>
      <c r="AC213" s="5">
        <v>20</v>
      </c>
      <c r="AD213" s="5" t="s">
        <v>360</v>
      </c>
      <c r="AE213" s="5" t="s">
        <v>360</v>
      </c>
      <c r="AF213" s="5" t="s">
        <v>360</v>
      </c>
      <c r="AG213" s="5" t="s">
        <v>360</v>
      </c>
      <c r="AH213" s="5" t="s">
        <v>360</v>
      </c>
      <c r="AI213" s="5" t="s">
        <v>360</v>
      </c>
      <c r="AJ213" s="5" t="s">
        <v>360</v>
      </c>
      <c r="AK213" s="5" t="s">
        <v>360</v>
      </c>
      <c r="AL213" s="5" t="s">
        <v>360</v>
      </c>
      <c r="AM213" s="5" t="s">
        <v>360</v>
      </c>
      <c r="AN213" s="5" t="s">
        <v>360</v>
      </c>
      <c r="AO213" s="5" t="s">
        <v>360</v>
      </c>
      <c r="AP213" s="43">
        <f t="shared" si="74"/>
        <v>1.108230675143117</v>
      </c>
      <c r="AQ213" s="44">
        <v>521</v>
      </c>
      <c r="AR213" s="35">
        <f t="shared" si="67"/>
        <v>142.09090909090909</v>
      </c>
      <c r="AS213" s="35">
        <f t="shared" si="68"/>
        <v>157.5</v>
      </c>
      <c r="AT213" s="35">
        <f t="shared" si="69"/>
        <v>15.409090909090907</v>
      </c>
      <c r="AU213" s="35">
        <v>58.8</v>
      </c>
      <c r="AV213" s="35">
        <v>33.6</v>
      </c>
      <c r="AW213" s="35"/>
      <c r="AX213" s="35">
        <f t="shared" si="70"/>
        <v>65.099999999999994</v>
      </c>
      <c r="AY213" s="35"/>
      <c r="AZ213" s="35">
        <f t="shared" si="71"/>
        <v>65.099999999999994</v>
      </c>
      <c r="BA213" s="35">
        <v>0</v>
      </c>
      <c r="BB213" s="35">
        <f t="shared" si="75"/>
        <v>65.099999999999994</v>
      </c>
      <c r="BC213" s="35"/>
      <c r="BD213" s="35">
        <f t="shared" si="72"/>
        <v>65.099999999999994</v>
      </c>
      <c r="BE213" s="35">
        <v>64.7</v>
      </c>
      <c r="BF213" s="35">
        <f t="shared" si="73"/>
        <v>0.4</v>
      </c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10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10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10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10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10"/>
      <c r="HA213" s="9"/>
      <c r="HB213" s="9"/>
    </row>
    <row r="214" spans="1:210" s="2" customFormat="1" ht="17.149999999999999" customHeight="1">
      <c r="A214" s="14" t="s">
        <v>199</v>
      </c>
      <c r="B214" s="63">
        <v>0</v>
      </c>
      <c r="C214" s="63">
        <v>0</v>
      </c>
      <c r="D214" s="4">
        <f t="shared" si="63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355.9</v>
      </c>
      <c r="O214" s="35">
        <v>432.9</v>
      </c>
      <c r="P214" s="4">
        <f t="shared" si="64"/>
        <v>1.2016352908120258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63">
        <v>1083.5999999999999</v>
      </c>
      <c r="W214" s="82">
        <v>1240</v>
      </c>
      <c r="X214" s="4">
        <f t="shared" si="65"/>
        <v>1.1443337024732374</v>
      </c>
      <c r="Y214" s="5">
        <v>5</v>
      </c>
      <c r="Z214" s="5">
        <v>60</v>
      </c>
      <c r="AA214" s="5">
        <v>60</v>
      </c>
      <c r="AB214" s="4">
        <f t="shared" si="66"/>
        <v>1</v>
      </c>
      <c r="AC214" s="5">
        <v>20</v>
      </c>
      <c r="AD214" s="5" t="s">
        <v>360</v>
      </c>
      <c r="AE214" s="5" t="s">
        <v>360</v>
      </c>
      <c r="AF214" s="5" t="s">
        <v>360</v>
      </c>
      <c r="AG214" s="5" t="s">
        <v>360</v>
      </c>
      <c r="AH214" s="5" t="s">
        <v>360</v>
      </c>
      <c r="AI214" s="5" t="s">
        <v>360</v>
      </c>
      <c r="AJ214" s="5" t="s">
        <v>360</v>
      </c>
      <c r="AK214" s="5" t="s">
        <v>360</v>
      </c>
      <c r="AL214" s="5" t="s">
        <v>360</v>
      </c>
      <c r="AM214" s="5" t="s">
        <v>360</v>
      </c>
      <c r="AN214" s="5" t="s">
        <v>360</v>
      </c>
      <c r="AO214" s="5" t="s">
        <v>360</v>
      </c>
      <c r="AP214" s="43">
        <f t="shared" si="74"/>
        <v>1.1056527628579267</v>
      </c>
      <c r="AQ214" s="44">
        <v>695</v>
      </c>
      <c r="AR214" s="35">
        <f t="shared" si="67"/>
        <v>189.54545454545453</v>
      </c>
      <c r="AS214" s="35">
        <f t="shared" si="68"/>
        <v>209.6</v>
      </c>
      <c r="AT214" s="35">
        <f t="shared" si="69"/>
        <v>20.054545454545462</v>
      </c>
      <c r="AU214" s="35">
        <v>82.1</v>
      </c>
      <c r="AV214" s="35">
        <v>82.1</v>
      </c>
      <c r="AW214" s="35"/>
      <c r="AX214" s="35">
        <f t="shared" si="70"/>
        <v>45.4</v>
      </c>
      <c r="AY214" s="35"/>
      <c r="AZ214" s="35">
        <f t="shared" si="71"/>
        <v>45.4</v>
      </c>
      <c r="BA214" s="35">
        <v>0</v>
      </c>
      <c r="BB214" s="35">
        <f t="shared" si="75"/>
        <v>45.4</v>
      </c>
      <c r="BC214" s="35"/>
      <c r="BD214" s="35">
        <f t="shared" si="72"/>
        <v>45.4</v>
      </c>
      <c r="BE214" s="35">
        <v>44.5</v>
      </c>
      <c r="BF214" s="35">
        <f t="shared" si="73"/>
        <v>0.9</v>
      </c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10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10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10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10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10"/>
      <c r="HA214" s="9"/>
      <c r="HB214" s="9"/>
    </row>
    <row r="215" spans="1:210" s="2" customFormat="1" ht="17.149999999999999" customHeight="1">
      <c r="A215" s="18" t="s">
        <v>200</v>
      </c>
      <c r="B215" s="5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83"/>
      <c r="W215" s="83"/>
      <c r="X215" s="11"/>
      <c r="Y215" s="11"/>
      <c r="Z215" s="11"/>
      <c r="AA215" s="11"/>
      <c r="AB215" s="11"/>
      <c r="AC215" s="11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35"/>
      <c r="BB215" s="35"/>
      <c r="BC215" s="35"/>
      <c r="BD215" s="35"/>
      <c r="BE215" s="35"/>
      <c r="BF215" s="35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10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10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10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10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10"/>
      <c r="HA215" s="9"/>
      <c r="HB215" s="9"/>
    </row>
    <row r="216" spans="1:210" s="2" customFormat="1" ht="16.7" customHeight="1">
      <c r="A216" s="45" t="s">
        <v>201</v>
      </c>
      <c r="B216" s="63">
        <v>0</v>
      </c>
      <c r="C216" s="63">
        <v>0</v>
      </c>
      <c r="D216" s="4">
        <f t="shared" si="63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489.5</v>
      </c>
      <c r="O216" s="35">
        <v>728.3</v>
      </c>
      <c r="P216" s="4">
        <f t="shared" si="64"/>
        <v>1.2287844739530132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82">
        <v>3162</v>
      </c>
      <c r="W216" s="82">
        <v>3511</v>
      </c>
      <c r="X216" s="4">
        <f t="shared" si="65"/>
        <v>1.1103731815306768</v>
      </c>
      <c r="Y216" s="5">
        <v>5</v>
      </c>
      <c r="Z216" s="5">
        <v>346</v>
      </c>
      <c r="AA216" s="5">
        <v>343</v>
      </c>
      <c r="AB216" s="4">
        <f t="shared" si="66"/>
        <v>0.99132947976878616</v>
      </c>
      <c r="AC216" s="5">
        <v>20</v>
      </c>
      <c r="AD216" s="5" t="s">
        <v>360</v>
      </c>
      <c r="AE216" s="5" t="s">
        <v>360</v>
      </c>
      <c r="AF216" s="5" t="s">
        <v>360</v>
      </c>
      <c r="AG216" s="5" t="s">
        <v>360</v>
      </c>
      <c r="AH216" s="5" t="s">
        <v>360</v>
      </c>
      <c r="AI216" s="5" t="s">
        <v>360</v>
      </c>
      <c r="AJ216" s="5" t="s">
        <v>360</v>
      </c>
      <c r="AK216" s="5" t="s">
        <v>360</v>
      </c>
      <c r="AL216" s="5" t="s">
        <v>360</v>
      </c>
      <c r="AM216" s="5" t="s">
        <v>360</v>
      </c>
      <c r="AN216" s="5" t="s">
        <v>360</v>
      </c>
      <c r="AO216" s="5" t="s">
        <v>360</v>
      </c>
      <c r="AP216" s="43">
        <f t="shared" si="74"/>
        <v>1.110092110713097</v>
      </c>
      <c r="AQ216" s="44">
        <v>993</v>
      </c>
      <c r="AR216" s="35">
        <f t="shared" si="67"/>
        <v>270.81818181818181</v>
      </c>
      <c r="AS216" s="35">
        <f t="shared" si="68"/>
        <v>300.60000000000002</v>
      </c>
      <c r="AT216" s="35">
        <f t="shared" si="69"/>
        <v>29.78181818181821</v>
      </c>
      <c r="AU216" s="35">
        <v>84.1</v>
      </c>
      <c r="AV216" s="35">
        <v>117.4</v>
      </c>
      <c r="AW216" s="35"/>
      <c r="AX216" s="35">
        <f t="shared" si="70"/>
        <v>99.1</v>
      </c>
      <c r="AY216" s="35"/>
      <c r="AZ216" s="35">
        <f t="shared" si="71"/>
        <v>99.1</v>
      </c>
      <c r="BA216" s="35">
        <v>0</v>
      </c>
      <c r="BB216" s="35">
        <f t="shared" si="75"/>
        <v>99.1</v>
      </c>
      <c r="BC216" s="35"/>
      <c r="BD216" s="35">
        <f t="shared" si="72"/>
        <v>99.1</v>
      </c>
      <c r="BE216" s="35">
        <v>99.1</v>
      </c>
      <c r="BF216" s="35">
        <f t="shared" si="73"/>
        <v>0</v>
      </c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10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10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10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10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10"/>
      <c r="HA216" s="9"/>
      <c r="HB216" s="9"/>
    </row>
    <row r="217" spans="1:210" s="2" customFormat="1" ht="17.149999999999999" customHeight="1">
      <c r="A217" s="45" t="s">
        <v>202</v>
      </c>
      <c r="B217" s="63">
        <v>0</v>
      </c>
      <c r="C217" s="63">
        <v>0</v>
      </c>
      <c r="D217" s="4">
        <f t="shared" si="63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617</v>
      </c>
      <c r="O217" s="35">
        <v>548.5</v>
      </c>
      <c r="P217" s="4">
        <f t="shared" si="64"/>
        <v>0.88897893030794162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82">
        <v>5856</v>
      </c>
      <c r="W217" s="82">
        <v>5375</v>
      </c>
      <c r="X217" s="4">
        <f t="shared" si="65"/>
        <v>0.91786202185792354</v>
      </c>
      <c r="Y217" s="5">
        <v>5</v>
      </c>
      <c r="Z217" s="5">
        <v>159</v>
      </c>
      <c r="AA217" s="5">
        <v>192</v>
      </c>
      <c r="AB217" s="4">
        <f t="shared" si="66"/>
        <v>1.2007547169811321</v>
      </c>
      <c r="AC217" s="5">
        <v>20</v>
      </c>
      <c r="AD217" s="5" t="s">
        <v>360</v>
      </c>
      <c r="AE217" s="5" t="s">
        <v>360</v>
      </c>
      <c r="AF217" s="5" t="s">
        <v>360</v>
      </c>
      <c r="AG217" s="5" t="s">
        <v>360</v>
      </c>
      <c r="AH217" s="5" t="s">
        <v>360</v>
      </c>
      <c r="AI217" s="5" t="s">
        <v>360</v>
      </c>
      <c r="AJ217" s="5" t="s">
        <v>360</v>
      </c>
      <c r="AK217" s="5" t="s">
        <v>360</v>
      </c>
      <c r="AL217" s="5" t="s">
        <v>360</v>
      </c>
      <c r="AM217" s="5" t="s">
        <v>360</v>
      </c>
      <c r="AN217" s="5" t="s">
        <v>360</v>
      </c>
      <c r="AO217" s="5" t="s">
        <v>360</v>
      </c>
      <c r="AP217" s="43">
        <f t="shared" si="74"/>
        <v>1.0307551790015799</v>
      </c>
      <c r="AQ217" s="44">
        <v>2214</v>
      </c>
      <c r="AR217" s="35">
        <f t="shared" si="67"/>
        <v>603.81818181818187</v>
      </c>
      <c r="AS217" s="35">
        <f t="shared" si="68"/>
        <v>622.4</v>
      </c>
      <c r="AT217" s="35">
        <f t="shared" si="69"/>
        <v>18.581818181818107</v>
      </c>
      <c r="AU217" s="35">
        <v>195</v>
      </c>
      <c r="AV217" s="35">
        <v>242.5</v>
      </c>
      <c r="AW217" s="35"/>
      <c r="AX217" s="35">
        <f t="shared" si="70"/>
        <v>184.9</v>
      </c>
      <c r="AY217" s="35"/>
      <c r="AZ217" s="35">
        <f t="shared" si="71"/>
        <v>184.9</v>
      </c>
      <c r="BA217" s="35">
        <v>0</v>
      </c>
      <c r="BB217" s="35">
        <f t="shared" si="75"/>
        <v>184.9</v>
      </c>
      <c r="BC217" s="35"/>
      <c r="BD217" s="35">
        <f t="shared" si="72"/>
        <v>184.9</v>
      </c>
      <c r="BE217" s="35">
        <v>193.4</v>
      </c>
      <c r="BF217" s="35">
        <f t="shared" si="73"/>
        <v>-8.5</v>
      </c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10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10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10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10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10"/>
      <c r="HA217" s="9"/>
      <c r="HB217" s="9"/>
    </row>
    <row r="218" spans="1:210" s="2" customFormat="1" ht="17.149999999999999" customHeight="1">
      <c r="A218" s="45" t="s">
        <v>203</v>
      </c>
      <c r="B218" s="63">
        <v>176971</v>
      </c>
      <c r="C218" s="63">
        <v>372585.1</v>
      </c>
      <c r="D218" s="4">
        <f t="shared" si="63"/>
        <v>1.2905345508586152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3766.7</v>
      </c>
      <c r="O218" s="35">
        <v>10365.6</v>
      </c>
      <c r="P218" s="4">
        <f t="shared" si="64"/>
        <v>1.3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82">
        <v>93694</v>
      </c>
      <c r="W218" s="82">
        <v>88951</v>
      </c>
      <c r="X218" s="4">
        <f t="shared" si="65"/>
        <v>0.9493777616496254</v>
      </c>
      <c r="Y218" s="5">
        <v>5</v>
      </c>
      <c r="Z218" s="5">
        <v>10</v>
      </c>
      <c r="AA218" s="5">
        <v>18</v>
      </c>
      <c r="AB218" s="4">
        <f t="shared" si="66"/>
        <v>1.26</v>
      </c>
      <c r="AC218" s="5">
        <v>20</v>
      </c>
      <c r="AD218" s="5" t="s">
        <v>360</v>
      </c>
      <c r="AE218" s="5" t="s">
        <v>360</v>
      </c>
      <c r="AF218" s="5" t="s">
        <v>360</v>
      </c>
      <c r="AG218" s="5" t="s">
        <v>360</v>
      </c>
      <c r="AH218" s="5" t="s">
        <v>360</v>
      </c>
      <c r="AI218" s="5" t="s">
        <v>360</v>
      </c>
      <c r="AJ218" s="5" t="s">
        <v>360</v>
      </c>
      <c r="AK218" s="5" t="s">
        <v>360</v>
      </c>
      <c r="AL218" s="5" t="s">
        <v>360</v>
      </c>
      <c r="AM218" s="5" t="s">
        <v>360</v>
      </c>
      <c r="AN218" s="5" t="s">
        <v>360</v>
      </c>
      <c r="AO218" s="5" t="s">
        <v>360</v>
      </c>
      <c r="AP218" s="43">
        <f t="shared" si="74"/>
        <v>1.2479912312508241</v>
      </c>
      <c r="AQ218" s="44">
        <v>12</v>
      </c>
      <c r="AR218" s="35">
        <f t="shared" si="67"/>
        <v>3.2727272727272725</v>
      </c>
      <c r="AS218" s="35">
        <f t="shared" si="68"/>
        <v>4.0999999999999996</v>
      </c>
      <c r="AT218" s="35">
        <f t="shared" si="69"/>
        <v>0.82727272727272716</v>
      </c>
      <c r="AU218" s="35">
        <v>0.7</v>
      </c>
      <c r="AV218" s="35">
        <v>1.4</v>
      </c>
      <c r="AW218" s="35"/>
      <c r="AX218" s="35">
        <f t="shared" si="70"/>
        <v>2</v>
      </c>
      <c r="AY218" s="35"/>
      <c r="AZ218" s="35">
        <f t="shared" si="71"/>
        <v>2</v>
      </c>
      <c r="BA218" s="35">
        <v>0</v>
      </c>
      <c r="BB218" s="35">
        <f t="shared" si="75"/>
        <v>2</v>
      </c>
      <c r="BC218" s="35"/>
      <c r="BD218" s="35">
        <f t="shared" si="72"/>
        <v>2</v>
      </c>
      <c r="BE218" s="35">
        <v>2.1</v>
      </c>
      <c r="BF218" s="35">
        <f t="shared" si="73"/>
        <v>-0.1</v>
      </c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10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10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10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10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10"/>
      <c r="HA218" s="9"/>
      <c r="HB218" s="9"/>
    </row>
    <row r="219" spans="1:210" s="2" customFormat="1" ht="17.149999999999999" customHeight="1">
      <c r="A219" s="45" t="s">
        <v>204</v>
      </c>
      <c r="B219" s="63">
        <v>5834</v>
      </c>
      <c r="C219" s="63">
        <v>13136.4</v>
      </c>
      <c r="D219" s="4">
        <f t="shared" si="63"/>
        <v>1.3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521.4</v>
      </c>
      <c r="O219" s="35">
        <v>447.2</v>
      </c>
      <c r="P219" s="4">
        <f t="shared" si="64"/>
        <v>0.85769083237437671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82">
        <v>3865</v>
      </c>
      <c r="W219" s="82">
        <v>3610</v>
      </c>
      <c r="X219" s="4">
        <f t="shared" si="65"/>
        <v>0.93402328589909445</v>
      </c>
      <c r="Y219" s="5">
        <v>5</v>
      </c>
      <c r="Z219" s="5">
        <v>142</v>
      </c>
      <c r="AA219" s="5">
        <v>152</v>
      </c>
      <c r="AB219" s="4">
        <f t="shared" si="66"/>
        <v>1.0704225352112675</v>
      </c>
      <c r="AC219" s="5">
        <v>20</v>
      </c>
      <c r="AD219" s="5" t="s">
        <v>360</v>
      </c>
      <c r="AE219" s="5" t="s">
        <v>360</v>
      </c>
      <c r="AF219" s="5" t="s">
        <v>360</v>
      </c>
      <c r="AG219" s="5" t="s">
        <v>360</v>
      </c>
      <c r="AH219" s="5" t="s">
        <v>360</v>
      </c>
      <c r="AI219" s="5" t="s">
        <v>360</v>
      </c>
      <c r="AJ219" s="5" t="s">
        <v>360</v>
      </c>
      <c r="AK219" s="5" t="s">
        <v>360</v>
      </c>
      <c r="AL219" s="5" t="s">
        <v>360</v>
      </c>
      <c r="AM219" s="5" t="s">
        <v>360</v>
      </c>
      <c r="AN219" s="5" t="s">
        <v>360</v>
      </c>
      <c r="AO219" s="5" t="s">
        <v>360</v>
      </c>
      <c r="AP219" s="43">
        <f t="shared" si="74"/>
        <v>0.99464767562416712</v>
      </c>
      <c r="AQ219" s="44">
        <v>1309</v>
      </c>
      <c r="AR219" s="35">
        <f t="shared" si="67"/>
        <v>357</v>
      </c>
      <c r="AS219" s="35">
        <f t="shared" si="68"/>
        <v>355.1</v>
      </c>
      <c r="AT219" s="35">
        <f t="shared" si="69"/>
        <v>-1.8999999999999773</v>
      </c>
      <c r="AU219" s="35">
        <v>113.9</v>
      </c>
      <c r="AV219" s="35">
        <v>75.900000000000006</v>
      </c>
      <c r="AW219" s="35">
        <v>5.5</v>
      </c>
      <c r="AX219" s="35">
        <f t="shared" si="70"/>
        <v>159.80000000000001</v>
      </c>
      <c r="AY219" s="35"/>
      <c r="AZ219" s="35">
        <f t="shared" si="71"/>
        <v>159.80000000000001</v>
      </c>
      <c r="BA219" s="35">
        <v>0</v>
      </c>
      <c r="BB219" s="35">
        <f t="shared" si="75"/>
        <v>159.80000000000001</v>
      </c>
      <c r="BC219" s="35"/>
      <c r="BD219" s="35">
        <f t="shared" si="72"/>
        <v>159.80000000000001</v>
      </c>
      <c r="BE219" s="35">
        <v>162.19999999999999</v>
      </c>
      <c r="BF219" s="35">
        <f t="shared" si="73"/>
        <v>-2.4</v>
      </c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10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10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10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10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10"/>
      <c r="HA219" s="9"/>
      <c r="HB219" s="9"/>
    </row>
    <row r="220" spans="1:210" s="2" customFormat="1" ht="17.149999999999999" customHeight="1">
      <c r="A220" s="45" t="s">
        <v>205</v>
      </c>
      <c r="B220" s="63">
        <v>142896</v>
      </c>
      <c r="C220" s="63">
        <v>222344.1</v>
      </c>
      <c r="D220" s="4">
        <f t="shared" si="63"/>
        <v>1.2355985471951629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12124.7</v>
      </c>
      <c r="O220" s="35">
        <v>11278.9</v>
      </c>
      <c r="P220" s="4">
        <f t="shared" si="64"/>
        <v>0.93024157298737276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82">
        <v>609013</v>
      </c>
      <c r="W220" s="82">
        <v>555244</v>
      </c>
      <c r="X220" s="4">
        <f t="shared" si="65"/>
        <v>0.91171124425915373</v>
      </c>
      <c r="Y220" s="5">
        <v>5</v>
      </c>
      <c r="Z220" s="5">
        <v>560</v>
      </c>
      <c r="AA220" s="5">
        <v>117</v>
      </c>
      <c r="AB220" s="4">
        <f t="shared" si="66"/>
        <v>0.20892857142857144</v>
      </c>
      <c r="AC220" s="5">
        <v>20</v>
      </c>
      <c r="AD220" s="5" t="s">
        <v>360</v>
      </c>
      <c r="AE220" s="5" t="s">
        <v>360</v>
      </c>
      <c r="AF220" s="5" t="s">
        <v>360</v>
      </c>
      <c r="AG220" s="5" t="s">
        <v>360</v>
      </c>
      <c r="AH220" s="5" t="s">
        <v>360</v>
      </c>
      <c r="AI220" s="5" t="s">
        <v>360</v>
      </c>
      <c r="AJ220" s="5" t="s">
        <v>360</v>
      </c>
      <c r="AK220" s="5" t="s">
        <v>360</v>
      </c>
      <c r="AL220" s="5" t="s">
        <v>360</v>
      </c>
      <c r="AM220" s="5" t="s">
        <v>360</v>
      </c>
      <c r="AN220" s="5" t="s">
        <v>360</v>
      </c>
      <c r="AO220" s="5" t="s">
        <v>360</v>
      </c>
      <c r="AP220" s="43">
        <f t="shared" si="74"/>
        <v>0.67039903691180935</v>
      </c>
      <c r="AQ220" s="44">
        <v>2269</v>
      </c>
      <c r="AR220" s="35">
        <f t="shared" si="67"/>
        <v>618.81818181818187</v>
      </c>
      <c r="AS220" s="35">
        <f t="shared" si="68"/>
        <v>414.9</v>
      </c>
      <c r="AT220" s="35">
        <f t="shared" si="69"/>
        <v>-203.91818181818189</v>
      </c>
      <c r="AU220" s="35">
        <v>258.3</v>
      </c>
      <c r="AV220" s="35">
        <v>138.80000000000001</v>
      </c>
      <c r="AW220" s="35"/>
      <c r="AX220" s="35">
        <f t="shared" si="70"/>
        <v>17.8</v>
      </c>
      <c r="AY220" s="35"/>
      <c r="AZ220" s="35">
        <f t="shared" si="71"/>
        <v>17.8</v>
      </c>
      <c r="BA220" s="35">
        <v>0</v>
      </c>
      <c r="BB220" s="35">
        <f t="shared" si="75"/>
        <v>17.8</v>
      </c>
      <c r="BC220" s="35"/>
      <c r="BD220" s="35">
        <f t="shared" si="72"/>
        <v>17.8</v>
      </c>
      <c r="BE220" s="35">
        <v>1.2</v>
      </c>
      <c r="BF220" s="35">
        <f t="shared" si="73"/>
        <v>16.600000000000001</v>
      </c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10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10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10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10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10"/>
      <c r="HA220" s="9"/>
      <c r="HB220" s="9"/>
    </row>
    <row r="221" spans="1:210" s="2" customFormat="1" ht="17.149999999999999" customHeight="1">
      <c r="A221" s="45" t="s">
        <v>206</v>
      </c>
      <c r="B221" s="63">
        <v>40340</v>
      </c>
      <c r="C221" s="63">
        <v>35885.1</v>
      </c>
      <c r="D221" s="4">
        <f t="shared" si="63"/>
        <v>0.88956618740704008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2294.6</v>
      </c>
      <c r="O221" s="35">
        <v>2162.4</v>
      </c>
      <c r="P221" s="4">
        <f t="shared" si="64"/>
        <v>0.94238647258781494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82">
        <v>170992</v>
      </c>
      <c r="W221" s="82">
        <v>168065</v>
      </c>
      <c r="X221" s="4">
        <f t="shared" si="65"/>
        <v>0.98288224010480019</v>
      </c>
      <c r="Y221" s="5">
        <v>5</v>
      </c>
      <c r="Z221" s="5">
        <v>5</v>
      </c>
      <c r="AA221" s="5">
        <v>5</v>
      </c>
      <c r="AB221" s="4">
        <f t="shared" si="66"/>
        <v>1</v>
      </c>
      <c r="AC221" s="5">
        <v>20</v>
      </c>
      <c r="AD221" s="5" t="s">
        <v>360</v>
      </c>
      <c r="AE221" s="5" t="s">
        <v>360</v>
      </c>
      <c r="AF221" s="5" t="s">
        <v>360</v>
      </c>
      <c r="AG221" s="5" t="s">
        <v>360</v>
      </c>
      <c r="AH221" s="5" t="s">
        <v>360</v>
      </c>
      <c r="AI221" s="5" t="s">
        <v>360</v>
      </c>
      <c r="AJ221" s="5" t="s">
        <v>360</v>
      </c>
      <c r="AK221" s="5" t="s">
        <v>360</v>
      </c>
      <c r="AL221" s="5" t="s">
        <v>360</v>
      </c>
      <c r="AM221" s="5" t="s">
        <v>360</v>
      </c>
      <c r="AN221" s="5" t="s">
        <v>360</v>
      </c>
      <c r="AO221" s="5" t="s">
        <v>360</v>
      </c>
      <c r="AP221" s="43">
        <f t="shared" si="74"/>
        <v>0.96419943178631007</v>
      </c>
      <c r="AQ221" s="44">
        <v>1358</v>
      </c>
      <c r="AR221" s="35">
        <f t="shared" si="67"/>
        <v>370.36363636363637</v>
      </c>
      <c r="AS221" s="35">
        <f t="shared" si="68"/>
        <v>357.1</v>
      </c>
      <c r="AT221" s="35">
        <f t="shared" si="69"/>
        <v>-13.263636363636351</v>
      </c>
      <c r="AU221" s="35">
        <v>149.5</v>
      </c>
      <c r="AV221" s="35">
        <v>96.7</v>
      </c>
      <c r="AW221" s="35"/>
      <c r="AX221" s="35">
        <f t="shared" si="70"/>
        <v>110.9</v>
      </c>
      <c r="AY221" s="35"/>
      <c r="AZ221" s="35">
        <f t="shared" si="71"/>
        <v>110.9</v>
      </c>
      <c r="BA221" s="35">
        <v>0</v>
      </c>
      <c r="BB221" s="35">
        <f t="shared" si="75"/>
        <v>110.9</v>
      </c>
      <c r="BC221" s="35"/>
      <c r="BD221" s="35">
        <f t="shared" si="72"/>
        <v>110.9</v>
      </c>
      <c r="BE221" s="35">
        <v>110.1</v>
      </c>
      <c r="BF221" s="35">
        <f t="shared" si="73"/>
        <v>0.8</v>
      </c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10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10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10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10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10"/>
      <c r="HA221" s="9"/>
      <c r="HB221" s="9"/>
    </row>
    <row r="222" spans="1:210" s="2" customFormat="1" ht="17.149999999999999" customHeight="1">
      <c r="A222" s="45" t="s">
        <v>207</v>
      </c>
      <c r="B222" s="63">
        <v>623215</v>
      </c>
      <c r="C222" s="63">
        <v>536503.6</v>
      </c>
      <c r="D222" s="4">
        <f t="shared" si="63"/>
        <v>0.86086438869411031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8918.6</v>
      </c>
      <c r="O222" s="35">
        <v>6961.3</v>
      </c>
      <c r="P222" s="4">
        <f t="shared" si="64"/>
        <v>0.7805373040611755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82">
        <v>187388</v>
      </c>
      <c r="W222" s="82">
        <v>172750</v>
      </c>
      <c r="X222" s="4">
        <f t="shared" si="65"/>
        <v>0.92188400537921322</v>
      </c>
      <c r="Y222" s="5">
        <v>5</v>
      </c>
      <c r="Z222" s="5">
        <v>58</v>
      </c>
      <c r="AA222" s="5">
        <v>62</v>
      </c>
      <c r="AB222" s="4">
        <f t="shared" si="66"/>
        <v>1.0689655172413792</v>
      </c>
      <c r="AC222" s="5">
        <v>20</v>
      </c>
      <c r="AD222" s="5" t="s">
        <v>360</v>
      </c>
      <c r="AE222" s="5" t="s">
        <v>360</v>
      </c>
      <c r="AF222" s="5" t="s">
        <v>360</v>
      </c>
      <c r="AG222" s="5" t="s">
        <v>360</v>
      </c>
      <c r="AH222" s="5" t="s">
        <v>360</v>
      </c>
      <c r="AI222" s="5" t="s">
        <v>360</v>
      </c>
      <c r="AJ222" s="5" t="s">
        <v>360</v>
      </c>
      <c r="AK222" s="5" t="s">
        <v>360</v>
      </c>
      <c r="AL222" s="5" t="s">
        <v>360</v>
      </c>
      <c r="AM222" s="5" t="s">
        <v>360</v>
      </c>
      <c r="AN222" s="5" t="s">
        <v>360</v>
      </c>
      <c r="AO222" s="5" t="s">
        <v>360</v>
      </c>
      <c r="AP222" s="43">
        <f t="shared" si="74"/>
        <v>0.91807596792835422</v>
      </c>
      <c r="AQ222" s="44">
        <v>51</v>
      </c>
      <c r="AR222" s="35">
        <f t="shared" si="67"/>
        <v>13.90909090909091</v>
      </c>
      <c r="AS222" s="35">
        <f t="shared" si="68"/>
        <v>12.8</v>
      </c>
      <c r="AT222" s="35">
        <f t="shared" si="69"/>
        <v>-1.1090909090909093</v>
      </c>
      <c r="AU222" s="35">
        <v>3.9</v>
      </c>
      <c r="AV222" s="35">
        <v>1.9</v>
      </c>
      <c r="AW222" s="35">
        <v>1</v>
      </c>
      <c r="AX222" s="35">
        <f t="shared" si="70"/>
        <v>6</v>
      </c>
      <c r="AY222" s="35"/>
      <c r="AZ222" s="35">
        <f t="shared" si="71"/>
        <v>6</v>
      </c>
      <c r="BA222" s="35">
        <v>0</v>
      </c>
      <c r="BB222" s="35">
        <f t="shared" si="75"/>
        <v>6</v>
      </c>
      <c r="BC222" s="35"/>
      <c r="BD222" s="35">
        <f t="shared" si="72"/>
        <v>6</v>
      </c>
      <c r="BE222" s="35">
        <v>6</v>
      </c>
      <c r="BF222" s="35">
        <f t="shared" si="73"/>
        <v>0</v>
      </c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10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10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10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10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10"/>
      <c r="HA222" s="9"/>
      <c r="HB222" s="9"/>
    </row>
    <row r="223" spans="1:210" s="2" customFormat="1" ht="17.149999999999999" customHeight="1">
      <c r="A223" s="45" t="s">
        <v>208</v>
      </c>
      <c r="B223" s="63">
        <v>18508</v>
      </c>
      <c r="C223" s="63">
        <v>65997.399999999994</v>
      </c>
      <c r="D223" s="4">
        <f t="shared" si="63"/>
        <v>1.3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975.6</v>
      </c>
      <c r="O223" s="35">
        <v>820.2</v>
      </c>
      <c r="P223" s="4">
        <f t="shared" si="64"/>
        <v>0.84071340713407139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82">
        <v>58559</v>
      </c>
      <c r="W223" s="82">
        <v>43047</v>
      </c>
      <c r="X223" s="4">
        <f t="shared" si="65"/>
        <v>0.73510476613330145</v>
      </c>
      <c r="Y223" s="5">
        <v>5</v>
      </c>
      <c r="Z223" s="5">
        <v>246</v>
      </c>
      <c r="AA223" s="5">
        <v>275</v>
      </c>
      <c r="AB223" s="4">
        <f t="shared" si="66"/>
        <v>1.1178861788617886</v>
      </c>
      <c r="AC223" s="5">
        <v>20</v>
      </c>
      <c r="AD223" s="5" t="s">
        <v>360</v>
      </c>
      <c r="AE223" s="5" t="s">
        <v>360</v>
      </c>
      <c r="AF223" s="5" t="s">
        <v>360</v>
      </c>
      <c r="AG223" s="5" t="s">
        <v>360</v>
      </c>
      <c r="AH223" s="5" t="s">
        <v>360</v>
      </c>
      <c r="AI223" s="5" t="s">
        <v>360</v>
      </c>
      <c r="AJ223" s="5" t="s">
        <v>360</v>
      </c>
      <c r="AK223" s="5" t="s">
        <v>360</v>
      </c>
      <c r="AL223" s="5" t="s">
        <v>360</v>
      </c>
      <c r="AM223" s="5" t="s">
        <v>360</v>
      </c>
      <c r="AN223" s="5" t="s">
        <v>360</v>
      </c>
      <c r="AO223" s="5" t="s">
        <v>360</v>
      </c>
      <c r="AP223" s="43">
        <f t="shared" si="74"/>
        <v>0.98695031101167419</v>
      </c>
      <c r="AQ223" s="44">
        <v>2587</v>
      </c>
      <c r="AR223" s="35">
        <f t="shared" si="67"/>
        <v>705.5454545454545</v>
      </c>
      <c r="AS223" s="35">
        <f t="shared" si="68"/>
        <v>696.3</v>
      </c>
      <c r="AT223" s="35">
        <f t="shared" si="69"/>
        <v>-9.2454545454545496</v>
      </c>
      <c r="AU223" s="35">
        <v>239.1</v>
      </c>
      <c r="AV223" s="35">
        <v>250.6</v>
      </c>
      <c r="AW223" s="35"/>
      <c r="AX223" s="35">
        <f t="shared" si="70"/>
        <v>206.6</v>
      </c>
      <c r="AY223" s="35"/>
      <c r="AZ223" s="35">
        <f t="shared" si="71"/>
        <v>206.6</v>
      </c>
      <c r="BA223" s="35">
        <v>0</v>
      </c>
      <c r="BB223" s="35">
        <f t="shared" si="75"/>
        <v>206.6</v>
      </c>
      <c r="BC223" s="35"/>
      <c r="BD223" s="35">
        <f t="shared" si="72"/>
        <v>206.6</v>
      </c>
      <c r="BE223" s="35">
        <v>226.4</v>
      </c>
      <c r="BF223" s="35">
        <f t="shared" si="73"/>
        <v>-19.8</v>
      </c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10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10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10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10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10"/>
      <c r="HA223" s="9"/>
      <c r="HB223" s="9"/>
    </row>
    <row r="224" spans="1:210" s="2" customFormat="1" ht="17.149999999999999" customHeight="1">
      <c r="A224" s="45" t="s">
        <v>209</v>
      </c>
      <c r="B224" s="63">
        <v>409027</v>
      </c>
      <c r="C224" s="63">
        <v>318520.8</v>
      </c>
      <c r="D224" s="4">
        <f t="shared" si="63"/>
        <v>0.77872805462720063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5285</v>
      </c>
      <c r="O224" s="35">
        <v>3996.3</v>
      </c>
      <c r="P224" s="4">
        <f t="shared" si="64"/>
        <v>0.75615894039735099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82">
        <v>19910</v>
      </c>
      <c r="W224" s="82">
        <v>13122</v>
      </c>
      <c r="X224" s="4">
        <f t="shared" si="65"/>
        <v>0.6590657960823707</v>
      </c>
      <c r="Y224" s="5">
        <v>5</v>
      </c>
      <c r="Z224" s="5">
        <v>570</v>
      </c>
      <c r="AA224" s="5">
        <v>1065</v>
      </c>
      <c r="AB224" s="4">
        <f t="shared" si="66"/>
        <v>1.2668421052631578</v>
      </c>
      <c r="AC224" s="5">
        <v>20</v>
      </c>
      <c r="AD224" s="5" t="s">
        <v>360</v>
      </c>
      <c r="AE224" s="5" t="s">
        <v>360</v>
      </c>
      <c r="AF224" s="5" t="s">
        <v>360</v>
      </c>
      <c r="AG224" s="5" t="s">
        <v>360</v>
      </c>
      <c r="AH224" s="5" t="s">
        <v>360</v>
      </c>
      <c r="AI224" s="5" t="s">
        <v>360</v>
      </c>
      <c r="AJ224" s="5" t="s">
        <v>360</v>
      </c>
      <c r="AK224" s="5" t="s">
        <v>360</v>
      </c>
      <c r="AL224" s="5" t="s">
        <v>360</v>
      </c>
      <c r="AM224" s="5" t="s">
        <v>360</v>
      </c>
      <c r="AN224" s="5" t="s">
        <v>360</v>
      </c>
      <c r="AO224" s="5" t="s">
        <v>360</v>
      </c>
      <c r="AP224" s="43">
        <f t="shared" si="74"/>
        <v>0.95297980333516064</v>
      </c>
      <c r="AQ224" s="44">
        <v>914</v>
      </c>
      <c r="AR224" s="35">
        <f t="shared" si="67"/>
        <v>249.27272727272728</v>
      </c>
      <c r="AS224" s="35">
        <f t="shared" si="68"/>
        <v>237.6</v>
      </c>
      <c r="AT224" s="35">
        <f t="shared" si="69"/>
        <v>-11.672727272727286</v>
      </c>
      <c r="AU224" s="35">
        <v>78</v>
      </c>
      <c r="AV224" s="35">
        <v>56</v>
      </c>
      <c r="AW224" s="35"/>
      <c r="AX224" s="35">
        <f t="shared" si="70"/>
        <v>103.6</v>
      </c>
      <c r="AY224" s="35"/>
      <c r="AZ224" s="35">
        <f t="shared" si="71"/>
        <v>103.6</v>
      </c>
      <c r="BA224" s="35">
        <v>0</v>
      </c>
      <c r="BB224" s="35">
        <f t="shared" si="75"/>
        <v>103.6</v>
      </c>
      <c r="BC224" s="35"/>
      <c r="BD224" s="35">
        <f t="shared" si="72"/>
        <v>103.6</v>
      </c>
      <c r="BE224" s="35">
        <v>111.7</v>
      </c>
      <c r="BF224" s="35">
        <f t="shared" si="73"/>
        <v>-8.1</v>
      </c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10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10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10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10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10"/>
      <c r="HA224" s="9"/>
      <c r="HB224" s="9"/>
    </row>
    <row r="225" spans="1:210" s="2" customFormat="1" ht="17.149999999999999" customHeight="1">
      <c r="A225" s="45" t="s">
        <v>210</v>
      </c>
      <c r="B225" s="63">
        <v>0</v>
      </c>
      <c r="C225" s="63">
        <v>0</v>
      </c>
      <c r="D225" s="4">
        <f t="shared" si="63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259.89999999999998</v>
      </c>
      <c r="O225" s="35">
        <v>163.80000000000001</v>
      </c>
      <c r="P225" s="4">
        <f t="shared" si="64"/>
        <v>0.6302424009234322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82">
        <v>5856</v>
      </c>
      <c r="W225" s="82">
        <v>4863</v>
      </c>
      <c r="X225" s="4">
        <f t="shared" si="65"/>
        <v>0.83043032786885251</v>
      </c>
      <c r="Y225" s="5">
        <v>5</v>
      </c>
      <c r="Z225" s="5">
        <v>70</v>
      </c>
      <c r="AA225" s="5">
        <v>76</v>
      </c>
      <c r="AB225" s="4">
        <f t="shared" si="66"/>
        <v>1.0857142857142856</v>
      </c>
      <c r="AC225" s="5">
        <v>20</v>
      </c>
      <c r="AD225" s="5" t="s">
        <v>360</v>
      </c>
      <c r="AE225" s="5" t="s">
        <v>360</v>
      </c>
      <c r="AF225" s="5" t="s">
        <v>360</v>
      </c>
      <c r="AG225" s="5" t="s">
        <v>360</v>
      </c>
      <c r="AH225" s="5" t="s">
        <v>360</v>
      </c>
      <c r="AI225" s="5" t="s">
        <v>360</v>
      </c>
      <c r="AJ225" s="5" t="s">
        <v>360</v>
      </c>
      <c r="AK225" s="5" t="s">
        <v>360</v>
      </c>
      <c r="AL225" s="5" t="s">
        <v>360</v>
      </c>
      <c r="AM225" s="5" t="s">
        <v>360</v>
      </c>
      <c r="AN225" s="5" t="s">
        <v>360</v>
      </c>
      <c r="AO225" s="5" t="s">
        <v>360</v>
      </c>
      <c r="AP225" s="43">
        <f t="shared" si="74"/>
        <v>0.85491745271330266</v>
      </c>
      <c r="AQ225" s="44">
        <v>1147</v>
      </c>
      <c r="AR225" s="35">
        <f t="shared" si="67"/>
        <v>312.81818181818181</v>
      </c>
      <c r="AS225" s="35">
        <f t="shared" si="68"/>
        <v>267.39999999999998</v>
      </c>
      <c r="AT225" s="35">
        <f t="shared" si="69"/>
        <v>-45.418181818181836</v>
      </c>
      <c r="AU225" s="35">
        <v>74.8</v>
      </c>
      <c r="AV225" s="35">
        <v>64.7</v>
      </c>
      <c r="AW225" s="35"/>
      <c r="AX225" s="35">
        <f t="shared" si="70"/>
        <v>127.9</v>
      </c>
      <c r="AY225" s="35"/>
      <c r="AZ225" s="35">
        <f t="shared" si="71"/>
        <v>127.9</v>
      </c>
      <c r="BA225" s="35">
        <v>0</v>
      </c>
      <c r="BB225" s="35">
        <f t="shared" si="75"/>
        <v>127.9</v>
      </c>
      <c r="BC225" s="35"/>
      <c r="BD225" s="35">
        <f t="shared" si="72"/>
        <v>127.9</v>
      </c>
      <c r="BE225" s="35">
        <v>128.9</v>
      </c>
      <c r="BF225" s="35">
        <f t="shared" si="73"/>
        <v>-1</v>
      </c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10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10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10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10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10"/>
      <c r="HA225" s="9"/>
      <c r="HB225" s="9"/>
    </row>
    <row r="226" spans="1:210" s="2" customFormat="1" ht="17.149999999999999" customHeight="1">
      <c r="A226" s="45" t="s">
        <v>211</v>
      </c>
      <c r="B226" s="63">
        <v>3615</v>
      </c>
      <c r="C226" s="63">
        <v>5008.2</v>
      </c>
      <c r="D226" s="4">
        <f t="shared" si="63"/>
        <v>1.2185394190871368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673.7</v>
      </c>
      <c r="O226" s="35">
        <v>301.39999999999998</v>
      </c>
      <c r="P226" s="4">
        <f t="shared" si="64"/>
        <v>0.44738013952797973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82">
        <v>3748</v>
      </c>
      <c r="W226" s="82">
        <v>6929</v>
      </c>
      <c r="X226" s="4">
        <f t="shared" si="65"/>
        <v>1.264871931696905</v>
      </c>
      <c r="Y226" s="5">
        <v>5</v>
      </c>
      <c r="Z226" s="5">
        <v>1270</v>
      </c>
      <c r="AA226" s="5">
        <v>1587</v>
      </c>
      <c r="AB226" s="4">
        <f t="shared" si="66"/>
        <v>1.2049606299212599</v>
      </c>
      <c r="AC226" s="5">
        <v>20</v>
      </c>
      <c r="AD226" s="5" t="s">
        <v>360</v>
      </c>
      <c r="AE226" s="5" t="s">
        <v>360</v>
      </c>
      <c r="AF226" s="5" t="s">
        <v>360</v>
      </c>
      <c r="AG226" s="5" t="s">
        <v>360</v>
      </c>
      <c r="AH226" s="5" t="s">
        <v>360</v>
      </c>
      <c r="AI226" s="5" t="s">
        <v>360</v>
      </c>
      <c r="AJ226" s="5" t="s">
        <v>360</v>
      </c>
      <c r="AK226" s="5" t="s">
        <v>360</v>
      </c>
      <c r="AL226" s="5" t="s">
        <v>360</v>
      </c>
      <c r="AM226" s="5" t="s">
        <v>360</v>
      </c>
      <c r="AN226" s="5" t="s">
        <v>360</v>
      </c>
      <c r="AO226" s="5" t="s">
        <v>360</v>
      </c>
      <c r="AP226" s="43">
        <f t="shared" si="74"/>
        <v>0.90927744285810008</v>
      </c>
      <c r="AQ226" s="44">
        <v>2119</v>
      </c>
      <c r="AR226" s="35">
        <f t="shared" si="67"/>
        <v>577.90909090909088</v>
      </c>
      <c r="AS226" s="35">
        <f t="shared" si="68"/>
        <v>525.5</v>
      </c>
      <c r="AT226" s="35">
        <f t="shared" si="69"/>
        <v>-52.409090909090878</v>
      </c>
      <c r="AU226" s="35">
        <v>209.5</v>
      </c>
      <c r="AV226" s="35">
        <v>134.6</v>
      </c>
      <c r="AW226" s="35">
        <v>15.7</v>
      </c>
      <c r="AX226" s="35">
        <f t="shared" si="70"/>
        <v>165.7</v>
      </c>
      <c r="AY226" s="35"/>
      <c r="AZ226" s="35">
        <f t="shared" si="71"/>
        <v>165.7</v>
      </c>
      <c r="BA226" s="35">
        <v>0</v>
      </c>
      <c r="BB226" s="35">
        <f t="shared" si="75"/>
        <v>165.7</v>
      </c>
      <c r="BC226" s="35"/>
      <c r="BD226" s="35">
        <f t="shared" si="72"/>
        <v>165.7</v>
      </c>
      <c r="BE226" s="35">
        <v>142.80000000000001</v>
      </c>
      <c r="BF226" s="35">
        <f t="shared" si="73"/>
        <v>22.9</v>
      </c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10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10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10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10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10"/>
      <c r="HA226" s="9"/>
      <c r="HB226" s="9"/>
    </row>
    <row r="227" spans="1:210" s="2" customFormat="1" ht="17.149999999999999" customHeight="1">
      <c r="A227" s="45" t="s">
        <v>212</v>
      </c>
      <c r="B227" s="63">
        <v>0</v>
      </c>
      <c r="C227" s="63">
        <v>0</v>
      </c>
      <c r="D227" s="4">
        <f t="shared" si="63"/>
        <v>1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2328.8000000000002</v>
      </c>
      <c r="O227" s="35">
        <v>1974.7</v>
      </c>
      <c r="P227" s="4">
        <f t="shared" si="64"/>
        <v>0.847947440742013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82">
        <v>5856</v>
      </c>
      <c r="W227" s="82">
        <v>8680</v>
      </c>
      <c r="X227" s="4">
        <f t="shared" si="65"/>
        <v>1.2282240437158469</v>
      </c>
      <c r="Y227" s="5">
        <v>5</v>
      </c>
      <c r="Z227" s="5">
        <v>940</v>
      </c>
      <c r="AA227" s="5">
        <v>940</v>
      </c>
      <c r="AB227" s="4">
        <f t="shared" si="66"/>
        <v>1</v>
      </c>
      <c r="AC227" s="5">
        <v>20</v>
      </c>
      <c r="AD227" s="5" t="s">
        <v>360</v>
      </c>
      <c r="AE227" s="5" t="s">
        <v>360</v>
      </c>
      <c r="AF227" s="5" t="s">
        <v>360</v>
      </c>
      <c r="AG227" s="5" t="s">
        <v>360</v>
      </c>
      <c r="AH227" s="5" t="s">
        <v>360</v>
      </c>
      <c r="AI227" s="5" t="s">
        <v>360</v>
      </c>
      <c r="AJ227" s="5" t="s">
        <v>360</v>
      </c>
      <c r="AK227" s="5" t="s">
        <v>360</v>
      </c>
      <c r="AL227" s="5" t="s">
        <v>360</v>
      </c>
      <c r="AM227" s="5" t="s">
        <v>360</v>
      </c>
      <c r="AN227" s="5" t="s">
        <v>360</v>
      </c>
      <c r="AO227" s="5" t="s">
        <v>360</v>
      </c>
      <c r="AP227" s="43">
        <f t="shared" si="74"/>
        <v>0.96200138066838992</v>
      </c>
      <c r="AQ227" s="44">
        <v>1059</v>
      </c>
      <c r="AR227" s="35">
        <f t="shared" si="67"/>
        <v>288.81818181818181</v>
      </c>
      <c r="AS227" s="35">
        <f t="shared" si="68"/>
        <v>277.8</v>
      </c>
      <c r="AT227" s="35">
        <f t="shared" si="69"/>
        <v>-11.018181818181802</v>
      </c>
      <c r="AU227" s="35">
        <v>119.4</v>
      </c>
      <c r="AV227" s="35">
        <v>22.8</v>
      </c>
      <c r="AW227" s="35"/>
      <c r="AX227" s="35">
        <f t="shared" si="70"/>
        <v>135.6</v>
      </c>
      <c r="AY227" s="35"/>
      <c r="AZ227" s="35">
        <f t="shared" si="71"/>
        <v>135.6</v>
      </c>
      <c r="BA227" s="35">
        <v>0</v>
      </c>
      <c r="BB227" s="35">
        <f t="shared" si="75"/>
        <v>135.6</v>
      </c>
      <c r="BC227" s="35"/>
      <c r="BD227" s="35">
        <f t="shared" si="72"/>
        <v>135.6</v>
      </c>
      <c r="BE227" s="35">
        <v>127.1</v>
      </c>
      <c r="BF227" s="35">
        <f t="shared" si="73"/>
        <v>8.5</v>
      </c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10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10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10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10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10"/>
      <c r="HA227" s="9"/>
      <c r="HB227" s="9"/>
    </row>
    <row r="228" spans="1:210" s="2" customFormat="1" ht="17.149999999999999" customHeight="1">
      <c r="A228" s="45" t="s">
        <v>213</v>
      </c>
      <c r="B228" s="63">
        <v>0</v>
      </c>
      <c r="C228" s="63">
        <v>0</v>
      </c>
      <c r="D228" s="4">
        <f t="shared" si="63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213.8</v>
      </c>
      <c r="O228" s="35">
        <v>101.6</v>
      </c>
      <c r="P228" s="4">
        <f t="shared" si="64"/>
        <v>0.47521047708138442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82">
        <v>3279</v>
      </c>
      <c r="W228" s="82">
        <v>3017</v>
      </c>
      <c r="X228" s="4">
        <f t="shared" si="65"/>
        <v>0.92009759072888075</v>
      </c>
      <c r="Y228" s="5">
        <v>5</v>
      </c>
      <c r="Z228" s="5">
        <v>65</v>
      </c>
      <c r="AA228" s="5">
        <v>65</v>
      </c>
      <c r="AB228" s="4">
        <f t="shared" si="66"/>
        <v>1</v>
      </c>
      <c r="AC228" s="5">
        <v>20</v>
      </c>
      <c r="AD228" s="5" t="s">
        <v>360</v>
      </c>
      <c r="AE228" s="5" t="s">
        <v>360</v>
      </c>
      <c r="AF228" s="5" t="s">
        <v>360</v>
      </c>
      <c r="AG228" s="5" t="s">
        <v>360</v>
      </c>
      <c r="AH228" s="5" t="s">
        <v>360</v>
      </c>
      <c r="AI228" s="5" t="s">
        <v>360</v>
      </c>
      <c r="AJ228" s="5" t="s">
        <v>360</v>
      </c>
      <c r="AK228" s="5" t="s">
        <v>360</v>
      </c>
      <c r="AL228" s="5" t="s">
        <v>360</v>
      </c>
      <c r="AM228" s="5" t="s">
        <v>360</v>
      </c>
      <c r="AN228" s="5" t="s">
        <v>360</v>
      </c>
      <c r="AO228" s="5" t="s">
        <v>360</v>
      </c>
      <c r="AP228" s="43">
        <f t="shared" si="74"/>
        <v>0.75788216656160201</v>
      </c>
      <c r="AQ228" s="44">
        <v>888</v>
      </c>
      <c r="AR228" s="35">
        <f t="shared" si="67"/>
        <v>242.18181818181819</v>
      </c>
      <c r="AS228" s="35">
        <f t="shared" si="68"/>
        <v>183.5</v>
      </c>
      <c r="AT228" s="35">
        <f t="shared" si="69"/>
        <v>-58.681818181818187</v>
      </c>
      <c r="AU228" s="35">
        <v>97.1</v>
      </c>
      <c r="AV228" s="35">
        <v>25.2</v>
      </c>
      <c r="AW228" s="35"/>
      <c r="AX228" s="35">
        <f t="shared" si="70"/>
        <v>61.2</v>
      </c>
      <c r="AY228" s="35"/>
      <c r="AZ228" s="35">
        <f t="shared" si="71"/>
        <v>61.2</v>
      </c>
      <c r="BA228" s="35">
        <v>0</v>
      </c>
      <c r="BB228" s="35">
        <f t="shared" si="75"/>
        <v>61.2</v>
      </c>
      <c r="BC228" s="35"/>
      <c r="BD228" s="35">
        <f t="shared" si="72"/>
        <v>61.2</v>
      </c>
      <c r="BE228" s="35">
        <v>56.3</v>
      </c>
      <c r="BF228" s="35">
        <f t="shared" si="73"/>
        <v>4.9000000000000004</v>
      </c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10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10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10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10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10"/>
      <c r="HA228" s="9"/>
      <c r="HB228" s="9"/>
    </row>
    <row r="229" spans="1:210" s="2" customFormat="1" ht="17.149999999999999" customHeight="1">
      <c r="A229" s="18" t="s">
        <v>214</v>
      </c>
      <c r="B229" s="5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83"/>
      <c r="W229" s="83"/>
      <c r="X229" s="11"/>
      <c r="Y229" s="11"/>
      <c r="Z229" s="11"/>
      <c r="AA229" s="11"/>
      <c r="AB229" s="11"/>
      <c r="AC229" s="11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35"/>
      <c r="BB229" s="35"/>
      <c r="BC229" s="35"/>
      <c r="BD229" s="35"/>
      <c r="BE229" s="35"/>
      <c r="BF229" s="35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10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10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10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10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10"/>
      <c r="HA229" s="9"/>
      <c r="HB229" s="9"/>
    </row>
    <row r="230" spans="1:210" s="2" customFormat="1" ht="17.149999999999999" customHeight="1">
      <c r="A230" s="14" t="s">
        <v>215</v>
      </c>
      <c r="B230" s="63">
        <v>0</v>
      </c>
      <c r="C230" s="63">
        <v>0</v>
      </c>
      <c r="D230" s="4">
        <f t="shared" si="63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290.39999999999998</v>
      </c>
      <c r="O230" s="35">
        <v>371.9</v>
      </c>
      <c r="P230" s="4">
        <f t="shared" si="64"/>
        <v>1.2080647382920109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82">
        <v>1940</v>
      </c>
      <c r="W230" s="82">
        <v>1760</v>
      </c>
      <c r="X230" s="4">
        <f t="shared" si="65"/>
        <v>0.90721649484536082</v>
      </c>
      <c r="Y230" s="5">
        <v>5</v>
      </c>
      <c r="Z230" s="5">
        <v>90</v>
      </c>
      <c r="AA230" s="5">
        <v>111</v>
      </c>
      <c r="AB230" s="4">
        <f t="shared" si="66"/>
        <v>1.2033333333333334</v>
      </c>
      <c r="AC230" s="5">
        <v>20</v>
      </c>
      <c r="AD230" s="5" t="s">
        <v>360</v>
      </c>
      <c r="AE230" s="5" t="s">
        <v>360</v>
      </c>
      <c r="AF230" s="5" t="s">
        <v>360</v>
      </c>
      <c r="AG230" s="5" t="s">
        <v>360</v>
      </c>
      <c r="AH230" s="5" t="s">
        <v>360</v>
      </c>
      <c r="AI230" s="5" t="s">
        <v>360</v>
      </c>
      <c r="AJ230" s="5" t="s">
        <v>360</v>
      </c>
      <c r="AK230" s="5" t="s">
        <v>360</v>
      </c>
      <c r="AL230" s="5" t="s">
        <v>360</v>
      </c>
      <c r="AM230" s="5" t="s">
        <v>360</v>
      </c>
      <c r="AN230" s="5" t="s">
        <v>360</v>
      </c>
      <c r="AO230" s="5" t="s">
        <v>360</v>
      </c>
      <c r="AP230" s="43">
        <f t="shared" si="74"/>
        <v>1.1725343090385265</v>
      </c>
      <c r="AQ230" s="44">
        <v>988</v>
      </c>
      <c r="AR230" s="35">
        <f t="shared" si="67"/>
        <v>269.45454545454544</v>
      </c>
      <c r="AS230" s="35">
        <f t="shared" si="68"/>
        <v>315.89999999999998</v>
      </c>
      <c r="AT230" s="35">
        <f t="shared" si="69"/>
        <v>46.445454545454538</v>
      </c>
      <c r="AU230" s="35">
        <v>84.9</v>
      </c>
      <c r="AV230" s="35">
        <v>99.2</v>
      </c>
      <c r="AW230" s="35"/>
      <c r="AX230" s="35">
        <f t="shared" si="70"/>
        <v>131.80000000000001</v>
      </c>
      <c r="AY230" s="35"/>
      <c r="AZ230" s="35">
        <f t="shared" si="71"/>
        <v>131.80000000000001</v>
      </c>
      <c r="BA230" s="35">
        <v>0</v>
      </c>
      <c r="BB230" s="35">
        <f t="shared" si="75"/>
        <v>131.80000000000001</v>
      </c>
      <c r="BC230" s="35"/>
      <c r="BD230" s="35">
        <f t="shared" si="72"/>
        <v>131.80000000000001</v>
      </c>
      <c r="BE230" s="35">
        <v>140.80000000000001</v>
      </c>
      <c r="BF230" s="35">
        <f t="shared" si="73"/>
        <v>-9</v>
      </c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10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10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10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10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10"/>
      <c r="HA230" s="9"/>
      <c r="HB230" s="9"/>
    </row>
    <row r="231" spans="1:210" s="2" customFormat="1" ht="17.149999999999999" customHeight="1">
      <c r="A231" s="14" t="s">
        <v>144</v>
      </c>
      <c r="B231" s="63">
        <v>0</v>
      </c>
      <c r="C231" s="63">
        <v>0</v>
      </c>
      <c r="D231" s="4">
        <f t="shared" si="63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432.8</v>
      </c>
      <c r="O231" s="35">
        <v>250.3</v>
      </c>
      <c r="P231" s="4">
        <f t="shared" si="64"/>
        <v>0.57832717190388172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82">
        <v>3233</v>
      </c>
      <c r="W231" s="82">
        <v>3380</v>
      </c>
      <c r="X231" s="4">
        <f t="shared" si="65"/>
        <v>1.0454686050108259</v>
      </c>
      <c r="Y231" s="5">
        <v>5</v>
      </c>
      <c r="Z231" s="5">
        <v>525</v>
      </c>
      <c r="AA231" s="5">
        <v>552</v>
      </c>
      <c r="AB231" s="4">
        <f t="shared" si="66"/>
        <v>1.0514285714285714</v>
      </c>
      <c r="AC231" s="5">
        <v>20</v>
      </c>
      <c r="AD231" s="5" t="s">
        <v>360</v>
      </c>
      <c r="AE231" s="5" t="s">
        <v>360</v>
      </c>
      <c r="AF231" s="5" t="s">
        <v>360</v>
      </c>
      <c r="AG231" s="5" t="s">
        <v>360</v>
      </c>
      <c r="AH231" s="5" t="s">
        <v>360</v>
      </c>
      <c r="AI231" s="5" t="s">
        <v>360</v>
      </c>
      <c r="AJ231" s="5" t="s">
        <v>360</v>
      </c>
      <c r="AK231" s="5" t="s">
        <v>360</v>
      </c>
      <c r="AL231" s="5" t="s">
        <v>360</v>
      </c>
      <c r="AM231" s="5" t="s">
        <v>360</v>
      </c>
      <c r="AN231" s="5" t="s">
        <v>360</v>
      </c>
      <c r="AO231" s="5" t="s">
        <v>360</v>
      </c>
      <c r="AP231" s="43">
        <f t="shared" si="74"/>
        <v>0.84049906426007104</v>
      </c>
      <c r="AQ231" s="44">
        <v>969</v>
      </c>
      <c r="AR231" s="35">
        <f t="shared" si="67"/>
        <v>264.27272727272725</v>
      </c>
      <c r="AS231" s="35">
        <f t="shared" si="68"/>
        <v>222.1</v>
      </c>
      <c r="AT231" s="35">
        <f t="shared" si="69"/>
        <v>-42.172727272727258</v>
      </c>
      <c r="AU231" s="35">
        <v>77.099999999999994</v>
      </c>
      <c r="AV231" s="35">
        <v>25.9</v>
      </c>
      <c r="AW231" s="35"/>
      <c r="AX231" s="35">
        <f t="shared" si="70"/>
        <v>119.1</v>
      </c>
      <c r="AY231" s="35"/>
      <c r="AZ231" s="35">
        <f t="shared" si="71"/>
        <v>119.1</v>
      </c>
      <c r="BA231" s="35">
        <v>0</v>
      </c>
      <c r="BB231" s="35">
        <f t="shared" si="75"/>
        <v>119.1</v>
      </c>
      <c r="BC231" s="35"/>
      <c r="BD231" s="35">
        <f t="shared" si="72"/>
        <v>119.1</v>
      </c>
      <c r="BE231" s="35">
        <v>112.3</v>
      </c>
      <c r="BF231" s="35">
        <f t="shared" si="73"/>
        <v>6.8</v>
      </c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10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10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10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10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10"/>
      <c r="HA231" s="9"/>
      <c r="HB231" s="9"/>
    </row>
    <row r="232" spans="1:210" s="2" customFormat="1" ht="17.149999999999999" customHeight="1">
      <c r="A232" s="14" t="s">
        <v>216</v>
      </c>
      <c r="B232" s="63">
        <v>0</v>
      </c>
      <c r="C232" s="63">
        <v>0</v>
      </c>
      <c r="D232" s="4">
        <f t="shared" si="63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183.9</v>
      </c>
      <c r="O232" s="35">
        <v>194.4</v>
      </c>
      <c r="P232" s="4">
        <f t="shared" si="64"/>
        <v>1.0570962479608483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82">
        <v>5700</v>
      </c>
      <c r="W232" s="82">
        <v>5358</v>
      </c>
      <c r="X232" s="4">
        <f t="shared" si="65"/>
        <v>0.94</v>
      </c>
      <c r="Y232" s="5">
        <v>5</v>
      </c>
      <c r="Z232" s="5">
        <v>395</v>
      </c>
      <c r="AA232" s="5">
        <v>412</v>
      </c>
      <c r="AB232" s="4">
        <f t="shared" si="66"/>
        <v>1.0430379746835443</v>
      </c>
      <c r="AC232" s="5">
        <v>20</v>
      </c>
      <c r="AD232" s="5" t="s">
        <v>360</v>
      </c>
      <c r="AE232" s="5" t="s">
        <v>360</v>
      </c>
      <c r="AF232" s="5" t="s">
        <v>360</v>
      </c>
      <c r="AG232" s="5" t="s">
        <v>360</v>
      </c>
      <c r="AH232" s="5" t="s">
        <v>360</v>
      </c>
      <c r="AI232" s="5" t="s">
        <v>360</v>
      </c>
      <c r="AJ232" s="5" t="s">
        <v>360</v>
      </c>
      <c r="AK232" s="5" t="s">
        <v>360</v>
      </c>
      <c r="AL232" s="5" t="s">
        <v>360</v>
      </c>
      <c r="AM232" s="5" t="s">
        <v>360</v>
      </c>
      <c r="AN232" s="5" t="s">
        <v>360</v>
      </c>
      <c r="AO232" s="5" t="s">
        <v>360</v>
      </c>
      <c r="AP232" s="43">
        <f t="shared" si="74"/>
        <v>1.0378374322863968</v>
      </c>
      <c r="AQ232" s="44">
        <v>1062</v>
      </c>
      <c r="AR232" s="35">
        <f t="shared" si="67"/>
        <v>289.63636363636363</v>
      </c>
      <c r="AS232" s="35">
        <f t="shared" si="68"/>
        <v>300.60000000000002</v>
      </c>
      <c r="AT232" s="35">
        <f t="shared" si="69"/>
        <v>10.963636363636397</v>
      </c>
      <c r="AU232" s="35">
        <v>125.5</v>
      </c>
      <c r="AV232" s="35">
        <v>13.6</v>
      </c>
      <c r="AW232" s="35">
        <v>48.3</v>
      </c>
      <c r="AX232" s="35">
        <f t="shared" si="70"/>
        <v>113.2</v>
      </c>
      <c r="AY232" s="35"/>
      <c r="AZ232" s="35">
        <f t="shared" si="71"/>
        <v>113.2</v>
      </c>
      <c r="BA232" s="35">
        <v>0</v>
      </c>
      <c r="BB232" s="35">
        <f t="shared" si="75"/>
        <v>113.2</v>
      </c>
      <c r="BC232" s="35">
        <f>MIN(BB232,23.3)</f>
        <v>23.3</v>
      </c>
      <c r="BD232" s="35">
        <f t="shared" si="72"/>
        <v>89.9</v>
      </c>
      <c r="BE232" s="35">
        <v>93.4</v>
      </c>
      <c r="BF232" s="35">
        <f t="shared" si="73"/>
        <v>-3.5</v>
      </c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10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10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10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10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10"/>
      <c r="HA232" s="9"/>
      <c r="HB232" s="9"/>
    </row>
    <row r="233" spans="1:210" s="2" customFormat="1" ht="17.149999999999999" customHeight="1">
      <c r="A233" s="14" t="s">
        <v>217</v>
      </c>
      <c r="B233" s="63">
        <v>0</v>
      </c>
      <c r="C233" s="63">
        <v>0</v>
      </c>
      <c r="D233" s="4">
        <f t="shared" si="63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381.4</v>
      </c>
      <c r="O233" s="35">
        <v>268.2</v>
      </c>
      <c r="P233" s="4">
        <f t="shared" si="64"/>
        <v>0.70319874147876249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82">
        <v>7200</v>
      </c>
      <c r="W233" s="82">
        <v>6987</v>
      </c>
      <c r="X233" s="4">
        <f t="shared" si="65"/>
        <v>0.97041666666666671</v>
      </c>
      <c r="Y233" s="5">
        <v>5</v>
      </c>
      <c r="Z233" s="5">
        <v>125</v>
      </c>
      <c r="AA233" s="5">
        <v>125</v>
      </c>
      <c r="AB233" s="4">
        <f t="shared" si="66"/>
        <v>1</v>
      </c>
      <c r="AC233" s="5">
        <v>20</v>
      </c>
      <c r="AD233" s="5" t="s">
        <v>360</v>
      </c>
      <c r="AE233" s="5" t="s">
        <v>360</v>
      </c>
      <c r="AF233" s="5" t="s">
        <v>360</v>
      </c>
      <c r="AG233" s="5" t="s">
        <v>360</v>
      </c>
      <c r="AH233" s="5" t="s">
        <v>360</v>
      </c>
      <c r="AI233" s="5" t="s">
        <v>360</v>
      </c>
      <c r="AJ233" s="5" t="s">
        <v>360</v>
      </c>
      <c r="AK233" s="5" t="s">
        <v>360</v>
      </c>
      <c r="AL233" s="5" t="s">
        <v>360</v>
      </c>
      <c r="AM233" s="5" t="s">
        <v>360</v>
      </c>
      <c r="AN233" s="5" t="s">
        <v>360</v>
      </c>
      <c r="AO233" s="5" t="s">
        <v>360</v>
      </c>
      <c r="AP233" s="43">
        <f t="shared" si="74"/>
        <v>0.86480129250907967</v>
      </c>
      <c r="AQ233" s="44">
        <v>785</v>
      </c>
      <c r="AR233" s="35">
        <f t="shared" si="67"/>
        <v>214.09090909090907</v>
      </c>
      <c r="AS233" s="35">
        <f t="shared" si="68"/>
        <v>185.1</v>
      </c>
      <c r="AT233" s="35">
        <f t="shared" si="69"/>
        <v>-28.990909090909071</v>
      </c>
      <c r="AU233" s="35">
        <v>14.2</v>
      </c>
      <c r="AV233" s="35">
        <v>89.3</v>
      </c>
      <c r="AW233" s="35"/>
      <c r="AX233" s="35">
        <f t="shared" si="70"/>
        <v>81.599999999999994</v>
      </c>
      <c r="AY233" s="35"/>
      <c r="AZ233" s="35">
        <f t="shared" si="71"/>
        <v>81.599999999999994</v>
      </c>
      <c r="BA233" s="35">
        <v>0</v>
      </c>
      <c r="BB233" s="35">
        <f t="shared" si="75"/>
        <v>81.599999999999994</v>
      </c>
      <c r="BC233" s="35"/>
      <c r="BD233" s="35">
        <f t="shared" si="72"/>
        <v>81.599999999999994</v>
      </c>
      <c r="BE233" s="35">
        <v>78.8</v>
      </c>
      <c r="BF233" s="35">
        <f t="shared" si="73"/>
        <v>2.8</v>
      </c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10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10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10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10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10"/>
      <c r="HA233" s="9"/>
      <c r="HB233" s="9"/>
    </row>
    <row r="234" spans="1:210" s="2" customFormat="1" ht="17.149999999999999" customHeight="1">
      <c r="A234" s="45" t="s">
        <v>218</v>
      </c>
      <c r="B234" s="63">
        <v>21744</v>
      </c>
      <c r="C234" s="63">
        <v>27030.3</v>
      </c>
      <c r="D234" s="4">
        <f t="shared" si="63"/>
        <v>1.2043115342163355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419.2</v>
      </c>
      <c r="O234" s="35">
        <v>1066.7</v>
      </c>
      <c r="P234" s="4">
        <f t="shared" si="64"/>
        <v>1.3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82">
        <v>2100</v>
      </c>
      <c r="W234" s="82">
        <v>2043</v>
      </c>
      <c r="X234" s="4">
        <f t="shared" si="65"/>
        <v>0.97285714285714286</v>
      </c>
      <c r="Y234" s="5">
        <v>5</v>
      </c>
      <c r="Z234" s="5">
        <v>50</v>
      </c>
      <c r="AA234" s="5">
        <v>52</v>
      </c>
      <c r="AB234" s="4">
        <f t="shared" si="66"/>
        <v>1.04</v>
      </c>
      <c r="AC234" s="5">
        <v>20</v>
      </c>
      <c r="AD234" s="5" t="s">
        <v>360</v>
      </c>
      <c r="AE234" s="5" t="s">
        <v>360</v>
      </c>
      <c r="AF234" s="5" t="s">
        <v>360</v>
      </c>
      <c r="AG234" s="5" t="s">
        <v>360</v>
      </c>
      <c r="AH234" s="5" t="s">
        <v>360</v>
      </c>
      <c r="AI234" s="5" t="s">
        <v>360</v>
      </c>
      <c r="AJ234" s="5" t="s">
        <v>360</v>
      </c>
      <c r="AK234" s="5" t="s">
        <v>360</v>
      </c>
      <c r="AL234" s="5" t="s">
        <v>360</v>
      </c>
      <c r="AM234" s="5" t="s">
        <v>360</v>
      </c>
      <c r="AN234" s="5" t="s">
        <v>360</v>
      </c>
      <c r="AO234" s="5" t="s">
        <v>360</v>
      </c>
      <c r="AP234" s="43">
        <f t="shared" si="74"/>
        <v>1.1537168677073479</v>
      </c>
      <c r="AQ234" s="44">
        <v>414</v>
      </c>
      <c r="AR234" s="35">
        <f t="shared" si="67"/>
        <v>112.90909090909091</v>
      </c>
      <c r="AS234" s="35">
        <f t="shared" si="68"/>
        <v>130.30000000000001</v>
      </c>
      <c r="AT234" s="35">
        <f t="shared" si="69"/>
        <v>17.390909090909105</v>
      </c>
      <c r="AU234" s="35">
        <v>48.4</v>
      </c>
      <c r="AV234" s="35">
        <v>35.1</v>
      </c>
      <c r="AW234" s="35"/>
      <c r="AX234" s="35">
        <f t="shared" si="70"/>
        <v>46.8</v>
      </c>
      <c r="AY234" s="35"/>
      <c r="AZ234" s="35">
        <f t="shared" si="71"/>
        <v>46.8</v>
      </c>
      <c r="BA234" s="35">
        <v>0</v>
      </c>
      <c r="BB234" s="35">
        <f t="shared" si="75"/>
        <v>46.8</v>
      </c>
      <c r="BC234" s="35"/>
      <c r="BD234" s="35">
        <f t="shared" si="72"/>
        <v>46.8</v>
      </c>
      <c r="BE234" s="35">
        <v>49</v>
      </c>
      <c r="BF234" s="35">
        <f t="shared" si="73"/>
        <v>-2.2000000000000002</v>
      </c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10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10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10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10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10"/>
      <c r="HA234" s="9"/>
      <c r="HB234" s="9"/>
    </row>
    <row r="235" spans="1:210" s="2" customFormat="1" ht="17.149999999999999" customHeight="1">
      <c r="A235" s="14" t="s">
        <v>219</v>
      </c>
      <c r="B235" s="63">
        <v>3091301</v>
      </c>
      <c r="C235" s="63">
        <v>3148657.6</v>
      </c>
      <c r="D235" s="4">
        <f t="shared" si="63"/>
        <v>1.0185541944961038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11356</v>
      </c>
      <c r="O235" s="35">
        <v>7954.3</v>
      </c>
      <c r="P235" s="4">
        <f t="shared" si="64"/>
        <v>0.70044910179640718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82">
        <v>339000</v>
      </c>
      <c r="W235" s="82">
        <v>360063</v>
      </c>
      <c r="X235" s="4">
        <f t="shared" si="65"/>
        <v>1.0621327433628318</v>
      </c>
      <c r="Y235" s="5">
        <v>5</v>
      </c>
      <c r="Z235" s="5">
        <v>0</v>
      </c>
      <c r="AA235" s="5">
        <v>0</v>
      </c>
      <c r="AB235" s="4">
        <f t="shared" si="66"/>
        <v>1</v>
      </c>
      <c r="AC235" s="5">
        <v>20</v>
      </c>
      <c r="AD235" s="5" t="s">
        <v>360</v>
      </c>
      <c r="AE235" s="5" t="s">
        <v>360</v>
      </c>
      <c r="AF235" s="5" t="s">
        <v>360</v>
      </c>
      <c r="AG235" s="5" t="s">
        <v>360</v>
      </c>
      <c r="AH235" s="5" t="s">
        <v>360</v>
      </c>
      <c r="AI235" s="5" t="s">
        <v>360</v>
      </c>
      <c r="AJ235" s="5" t="s">
        <v>360</v>
      </c>
      <c r="AK235" s="5" t="s">
        <v>360</v>
      </c>
      <c r="AL235" s="5" t="s">
        <v>360</v>
      </c>
      <c r="AM235" s="5" t="s">
        <v>360</v>
      </c>
      <c r="AN235" s="5" t="s">
        <v>360</v>
      </c>
      <c r="AO235" s="5" t="s">
        <v>360</v>
      </c>
      <c r="AP235" s="43">
        <f t="shared" si="74"/>
        <v>0.8882483345044565</v>
      </c>
      <c r="AQ235" s="44">
        <v>286</v>
      </c>
      <c r="AR235" s="35">
        <f t="shared" si="67"/>
        <v>78</v>
      </c>
      <c r="AS235" s="35">
        <f t="shared" si="68"/>
        <v>69.3</v>
      </c>
      <c r="AT235" s="35">
        <f t="shared" si="69"/>
        <v>-8.7000000000000028</v>
      </c>
      <c r="AU235" s="35">
        <v>27.2</v>
      </c>
      <c r="AV235" s="35">
        <v>16</v>
      </c>
      <c r="AW235" s="35"/>
      <c r="AX235" s="35">
        <f t="shared" si="70"/>
        <v>26.1</v>
      </c>
      <c r="AY235" s="35"/>
      <c r="AZ235" s="35">
        <f t="shared" si="71"/>
        <v>26.1</v>
      </c>
      <c r="BA235" s="35">
        <v>0</v>
      </c>
      <c r="BB235" s="35">
        <f t="shared" si="75"/>
        <v>26.1</v>
      </c>
      <c r="BC235" s="35"/>
      <c r="BD235" s="35">
        <f t="shared" si="72"/>
        <v>26.1</v>
      </c>
      <c r="BE235" s="35">
        <v>24.6</v>
      </c>
      <c r="BF235" s="35">
        <f t="shared" si="73"/>
        <v>1.5</v>
      </c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10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10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10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10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10"/>
      <c r="HA235" s="9"/>
      <c r="HB235" s="9"/>
    </row>
    <row r="236" spans="1:210" s="2" customFormat="1" ht="17.149999999999999" customHeight="1">
      <c r="A236" s="14" t="s">
        <v>220</v>
      </c>
      <c r="B236" s="63">
        <v>0</v>
      </c>
      <c r="C236" s="63">
        <v>0</v>
      </c>
      <c r="D236" s="4">
        <f t="shared" si="63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169.6</v>
      </c>
      <c r="O236" s="35">
        <v>188.9</v>
      </c>
      <c r="P236" s="4">
        <f t="shared" si="64"/>
        <v>1.1137971698113209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82">
        <v>1750</v>
      </c>
      <c r="W236" s="82">
        <v>2002</v>
      </c>
      <c r="X236" s="4">
        <f t="shared" si="65"/>
        <v>1.1439999999999999</v>
      </c>
      <c r="Y236" s="5">
        <v>5</v>
      </c>
      <c r="Z236" s="5">
        <v>445</v>
      </c>
      <c r="AA236" s="5">
        <v>437</v>
      </c>
      <c r="AB236" s="4">
        <f t="shared" si="66"/>
        <v>0.98202247191011238</v>
      </c>
      <c r="AC236" s="5">
        <v>20</v>
      </c>
      <c r="AD236" s="5" t="s">
        <v>360</v>
      </c>
      <c r="AE236" s="5" t="s">
        <v>360</v>
      </c>
      <c r="AF236" s="5" t="s">
        <v>360</v>
      </c>
      <c r="AG236" s="5" t="s">
        <v>360</v>
      </c>
      <c r="AH236" s="5" t="s">
        <v>360</v>
      </c>
      <c r="AI236" s="5" t="s">
        <v>360</v>
      </c>
      <c r="AJ236" s="5" t="s">
        <v>360</v>
      </c>
      <c r="AK236" s="5" t="s">
        <v>360</v>
      </c>
      <c r="AL236" s="5" t="s">
        <v>360</v>
      </c>
      <c r="AM236" s="5" t="s">
        <v>360</v>
      </c>
      <c r="AN236" s="5" t="s">
        <v>360</v>
      </c>
      <c r="AO236" s="5" t="s">
        <v>360</v>
      </c>
      <c r="AP236" s="43">
        <f t="shared" si="74"/>
        <v>1.058586507431748</v>
      </c>
      <c r="AQ236" s="44">
        <v>1367</v>
      </c>
      <c r="AR236" s="35">
        <f t="shared" si="67"/>
        <v>372.81818181818181</v>
      </c>
      <c r="AS236" s="35">
        <f t="shared" si="68"/>
        <v>394.7</v>
      </c>
      <c r="AT236" s="35">
        <f t="shared" si="69"/>
        <v>21.881818181818176</v>
      </c>
      <c r="AU236" s="35">
        <v>161.6</v>
      </c>
      <c r="AV236" s="35">
        <v>148</v>
      </c>
      <c r="AW236" s="35"/>
      <c r="AX236" s="35">
        <f t="shared" si="70"/>
        <v>85.1</v>
      </c>
      <c r="AY236" s="35"/>
      <c r="AZ236" s="35">
        <f t="shared" si="71"/>
        <v>85.1</v>
      </c>
      <c r="BA236" s="35">
        <v>0</v>
      </c>
      <c r="BB236" s="35">
        <f t="shared" si="75"/>
        <v>85.1</v>
      </c>
      <c r="BC236" s="35"/>
      <c r="BD236" s="35">
        <f t="shared" si="72"/>
        <v>85.1</v>
      </c>
      <c r="BE236" s="35">
        <v>81.099999999999994</v>
      </c>
      <c r="BF236" s="35">
        <f t="shared" si="73"/>
        <v>4</v>
      </c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10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10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10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10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10"/>
      <c r="HA236" s="9"/>
      <c r="HB236" s="9"/>
    </row>
    <row r="237" spans="1:210" s="2" customFormat="1" ht="17.149999999999999" customHeight="1">
      <c r="A237" s="14" t="s">
        <v>221</v>
      </c>
      <c r="B237" s="63">
        <v>0</v>
      </c>
      <c r="C237" s="63">
        <v>0</v>
      </c>
      <c r="D237" s="4">
        <f t="shared" si="63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1717</v>
      </c>
      <c r="O237" s="35">
        <v>2108</v>
      </c>
      <c r="P237" s="4">
        <f t="shared" si="64"/>
        <v>1.2027722772277227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82">
        <v>4225</v>
      </c>
      <c r="W237" s="82">
        <v>4181</v>
      </c>
      <c r="X237" s="4">
        <f t="shared" si="65"/>
        <v>0.98958579881656805</v>
      </c>
      <c r="Y237" s="5">
        <v>5</v>
      </c>
      <c r="Z237" s="5">
        <v>56</v>
      </c>
      <c r="AA237" s="5">
        <v>48</v>
      </c>
      <c r="AB237" s="4">
        <f t="shared" si="66"/>
        <v>0.8571428571428571</v>
      </c>
      <c r="AC237" s="5">
        <v>20</v>
      </c>
      <c r="AD237" s="5" t="s">
        <v>360</v>
      </c>
      <c r="AE237" s="5" t="s">
        <v>360</v>
      </c>
      <c r="AF237" s="5" t="s">
        <v>360</v>
      </c>
      <c r="AG237" s="5" t="s">
        <v>360</v>
      </c>
      <c r="AH237" s="5" t="s">
        <v>360</v>
      </c>
      <c r="AI237" s="5" t="s">
        <v>360</v>
      </c>
      <c r="AJ237" s="5" t="s">
        <v>360</v>
      </c>
      <c r="AK237" s="5" t="s">
        <v>360</v>
      </c>
      <c r="AL237" s="5" t="s">
        <v>360</v>
      </c>
      <c r="AM237" s="5" t="s">
        <v>360</v>
      </c>
      <c r="AN237" s="5" t="s">
        <v>360</v>
      </c>
      <c r="AO237" s="5" t="s">
        <v>360</v>
      </c>
      <c r="AP237" s="43">
        <f t="shared" si="74"/>
        <v>1.025471815144321</v>
      </c>
      <c r="AQ237" s="44">
        <v>1063</v>
      </c>
      <c r="AR237" s="35">
        <f t="shared" si="67"/>
        <v>289.90909090909093</v>
      </c>
      <c r="AS237" s="35">
        <f t="shared" si="68"/>
        <v>297.3</v>
      </c>
      <c r="AT237" s="35">
        <f t="shared" si="69"/>
        <v>7.3909090909090764</v>
      </c>
      <c r="AU237" s="35">
        <v>105.4</v>
      </c>
      <c r="AV237" s="35">
        <v>116.6</v>
      </c>
      <c r="AW237" s="35"/>
      <c r="AX237" s="35">
        <f t="shared" si="70"/>
        <v>75.3</v>
      </c>
      <c r="AY237" s="35"/>
      <c r="AZ237" s="35">
        <f t="shared" si="71"/>
        <v>75.3</v>
      </c>
      <c r="BA237" s="35">
        <v>0</v>
      </c>
      <c r="BB237" s="35">
        <f t="shared" si="75"/>
        <v>75.3</v>
      </c>
      <c r="BC237" s="35"/>
      <c r="BD237" s="35">
        <f t="shared" si="72"/>
        <v>75.3</v>
      </c>
      <c r="BE237" s="35">
        <v>76.599999999999994</v>
      </c>
      <c r="BF237" s="35">
        <f t="shared" si="73"/>
        <v>-1.3</v>
      </c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10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10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10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10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10"/>
      <c r="HA237" s="9"/>
      <c r="HB237" s="9"/>
    </row>
    <row r="238" spans="1:210" s="2" customFormat="1" ht="17.149999999999999" customHeight="1">
      <c r="A238" s="14" t="s">
        <v>222</v>
      </c>
      <c r="B238" s="63">
        <v>184771</v>
      </c>
      <c r="C238" s="63">
        <v>117068.4</v>
      </c>
      <c r="D238" s="4">
        <f t="shared" si="63"/>
        <v>0.63358643943043003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1573.7</v>
      </c>
      <c r="O238" s="35">
        <v>1545.1</v>
      </c>
      <c r="P238" s="4">
        <f t="shared" si="64"/>
        <v>0.98182626930164574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82">
        <v>64321</v>
      </c>
      <c r="W238" s="82">
        <v>66577</v>
      </c>
      <c r="X238" s="4">
        <f t="shared" si="65"/>
        <v>1.0350740815596773</v>
      </c>
      <c r="Y238" s="5">
        <v>5</v>
      </c>
      <c r="Z238" s="5">
        <v>270</v>
      </c>
      <c r="AA238" s="5">
        <v>277</v>
      </c>
      <c r="AB238" s="4">
        <f t="shared" si="66"/>
        <v>1.0259259259259259</v>
      </c>
      <c r="AC238" s="5">
        <v>20</v>
      </c>
      <c r="AD238" s="5" t="s">
        <v>360</v>
      </c>
      <c r="AE238" s="5" t="s">
        <v>360</v>
      </c>
      <c r="AF238" s="5" t="s">
        <v>360</v>
      </c>
      <c r="AG238" s="5" t="s">
        <v>360</v>
      </c>
      <c r="AH238" s="5" t="s">
        <v>360</v>
      </c>
      <c r="AI238" s="5" t="s">
        <v>360</v>
      </c>
      <c r="AJ238" s="5" t="s">
        <v>360</v>
      </c>
      <c r="AK238" s="5" t="s">
        <v>360</v>
      </c>
      <c r="AL238" s="5" t="s">
        <v>360</v>
      </c>
      <c r="AM238" s="5" t="s">
        <v>360</v>
      </c>
      <c r="AN238" s="5" t="s">
        <v>360</v>
      </c>
      <c r="AO238" s="5" t="s">
        <v>360</v>
      </c>
      <c r="AP238" s="43">
        <f t="shared" si="74"/>
        <v>0.96996693019003943</v>
      </c>
      <c r="AQ238" s="44">
        <v>1832</v>
      </c>
      <c r="AR238" s="35">
        <f t="shared" si="67"/>
        <v>499.63636363636363</v>
      </c>
      <c r="AS238" s="35">
        <f t="shared" si="68"/>
        <v>484.6</v>
      </c>
      <c r="AT238" s="35">
        <f t="shared" si="69"/>
        <v>-15.036363636363603</v>
      </c>
      <c r="AU238" s="35">
        <v>205.1</v>
      </c>
      <c r="AV238" s="35">
        <v>143.4</v>
      </c>
      <c r="AW238" s="35">
        <v>9.8000000000000007</v>
      </c>
      <c r="AX238" s="35">
        <f t="shared" si="70"/>
        <v>126.3</v>
      </c>
      <c r="AY238" s="35"/>
      <c r="AZ238" s="35">
        <f t="shared" si="71"/>
        <v>126.3</v>
      </c>
      <c r="BA238" s="35">
        <v>0</v>
      </c>
      <c r="BB238" s="35">
        <f t="shared" si="75"/>
        <v>126.3</v>
      </c>
      <c r="BC238" s="35"/>
      <c r="BD238" s="35">
        <f t="shared" si="72"/>
        <v>126.3</v>
      </c>
      <c r="BE238" s="35">
        <v>122.7</v>
      </c>
      <c r="BF238" s="35">
        <f t="shared" si="73"/>
        <v>3.6</v>
      </c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10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10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10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10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10"/>
      <c r="HA238" s="9"/>
      <c r="HB238" s="9"/>
    </row>
    <row r="239" spans="1:210" s="2" customFormat="1" ht="17.149999999999999" customHeight="1">
      <c r="A239" s="18" t="s">
        <v>223</v>
      </c>
      <c r="B239" s="5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83"/>
      <c r="W239" s="83"/>
      <c r="X239" s="11"/>
      <c r="Y239" s="11"/>
      <c r="Z239" s="11"/>
      <c r="AA239" s="11"/>
      <c r="AB239" s="11"/>
      <c r="AC239" s="11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35"/>
      <c r="BB239" s="35"/>
      <c r="BC239" s="35"/>
      <c r="BD239" s="35"/>
      <c r="BE239" s="35"/>
      <c r="BF239" s="35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10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10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10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10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10"/>
      <c r="HA239" s="9"/>
      <c r="HB239" s="9"/>
    </row>
    <row r="240" spans="1:210" s="2" customFormat="1" ht="17.149999999999999" customHeight="1">
      <c r="A240" s="14" t="s">
        <v>224</v>
      </c>
      <c r="B240" s="63">
        <v>0</v>
      </c>
      <c r="C240" s="63">
        <v>0</v>
      </c>
      <c r="D240" s="4">
        <f t="shared" si="63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243.6</v>
      </c>
      <c r="O240" s="35">
        <v>297.10000000000002</v>
      </c>
      <c r="P240" s="4">
        <f t="shared" si="64"/>
        <v>1.2019622331691298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82">
        <v>14467</v>
      </c>
      <c r="W240" s="82">
        <v>2161</v>
      </c>
      <c r="X240" s="4">
        <f t="shared" si="65"/>
        <v>0.14937443837699593</v>
      </c>
      <c r="Y240" s="5">
        <v>5</v>
      </c>
      <c r="Z240" s="5">
        <v>126</v>
      </c>
      <c r="AA240" s="5">
        <v>130</v>
      </c>
      <c r="AB240" s="4">
        <f t="shared" si="66"/>
        <v>1.0317460317460319</v>
      </c>
      <c r="AC240" s="5">
        <v>20</v>
      </c>
      <c r="AD240" s="5" t="s">
        <v>360</v>
      </c>
      <c r="AE240" s="5" t="s">
        <v>360</v>
      </c>
      <c r="AF240" s="5" t="s">
        <v>360</v>
      </c>
      <c r="AG240" s="5" t="s">
        <v>360</v>
      </c>
      <c r="AH240" s="5" t="s">
        <v>360</v>
      </c>
      <c r="AI240" s="5" t="s">
        <v>360</v>
      </c>
      <c r="AJ240" s="5" t="s">
        <v>360</v>
      </c>
      <c r="AK240" s="5" t="s">
        <v>360</v>
      </c>
      <c r="AL240" s="5" t="s">
        <v>360</v>
      </c>
      <c r="AM240" s="5" t="s">
        <v>360</v>
      </c>
      <c r="AN240" s="5" t="s">
        <v>360</v>
      </c>
      <c r="AO240" s="5" t="s">
        <v>360</v>
      </c>
      <c r="AP240" s="43">
        <f t="shared" si="74"/>
        <v>1.0093563886708492</v>
      </c>
      <c r="AQ240" s="44">
        <v>1960</v>
      </c>
      <c r="AR240" s="35">
        <f t="shared" si="67"/>
        <v>534.5454545454545</v>
      </c>
      <c r="AS240" s="35">
        <f t="shared" si="68"/>
        <v>539.5</v>
      </c>
      <c r="AT240" s="35">
        <f t="shared" si="69"/>
        <v>4.9545454545454959</v>
      </c>
      <c r="AU240" s="35">
        <v>166.7</v>
      </c>
      <c r="AV240" s="35">
        <v>130.19999999999999</v>
      </c>
      <c r="AW240" s="35"/>
      <c r="AX240" s="35">
        <f t="shared" si="70"/>
        <v>242.6</v>
      </c>
      <c r="AY240" s="35"/>
      <c r="AZ240" s="35">
        <f t="shared" si="71"/>
        <v>242.6</v>
      </c>
      <c r="BA240" s="35">
        <v>0</v>
      </c>
      <c r="BB240" s="35">
        <f t="shared" si="75"/>
        <v>242.6</v>
      </c>
      <c r="BC240" s="35"/>
      <c r="BD240" s="35">
        <f t="shared" si="72"/>
        <v>242.6</v>
      </c>
      <c r="BE240" s="35">
        <v>300.10000000000002</v>
      </c>
      <c r="BF240" s="35">
        <f t="shared" si="73"/>
        <v>-57.5</v>
      </c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10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10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10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10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10"/>
      <c r="HA240" s="9"/>
      <c r="HB240" s="9"/>
    </row>
    <row r="241" spans="1:210" s="2" customFormat="1" ht="17.149999999999999" customHeight="1">
      <c r="A241" s="14" t="s">
        <v>225</v>
      </c>
      <c r="B241" s="63">
        <v>0</v>
      </c>
      <c r="C241" s="63">
        <v>0</v>
      </c>
      <c r="D241" s="4">
        <f t="shared" si="63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333.2</v>
      </c>
      <c r="O241" s="35">
        <v>573.4</v>
      </c>
      <c r="P241" s="4">
        <f t="shared" si="64"/>
        <v>1.2520888355342137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82">
        <v>11051</v>
      </c>
      <c r="W241" s="82">
        <v>1877</v>
      </c>
      <c r="X241" s="4">
        <f t="shared" si="65"/>
        <v>0.16984888245407656</v>
      </c>
      <c r="Y241" s="5">
        <v>5</v>
      </c>
      <c r="Z241" s="5">
        <v>382</v>
      </c>
      <c r="AA241" s="5">
        <v>378</v>
      </c>
      <c r="AB241" s="4">
        <f t="shared" si="66"/>
        <v>0.98952879581151831</v>
      </c>
      <c r="AC241" s="5">
        <v>20</v>
      </c>
      <c r="AD241" s="5" t="s">
        <v>360</v>
      </c>
      <c r="AE241" s="5" t="s">
        <v>360</v>
      </c>
      <c r="AF241" s="5" t="s">
        <v>360</v>
      </c>
      <c r="AG241" s="5" t="s">
        <v>360</v>
      </c>
      <c r="AH241" s="5" t="s">
        <v>360</v>
      </c>
      <c r="AI241" s="5" t="s">
        <v>360</v>
      </c>
      <c r="AJ241" s="5" t="s">
        <v>360</v>
      </c>
      <c r="AK241" s="5" t="s">
        <v>360</v>
      </c>
      <c r="AL241" s="5" t="s">
        <v>360</v>
      </c>
      <c r="AM241" s="5" t="s">
        <v>360</v>
      </c>
      <c r="AN241" s="5" t="s">
        <v>360</v>
      </c>
      <c r="AO241" s="5" t="s">
        <v>360</v>
      </c>
      <c r="AP241" s="43">
        <f t="shared" si="74"/>
        <v>1.0151466008707783</v>
      </c>
      <c r="AQ241" s="44">
        <v>1708</v>
      </c>
      <c r="AR241" s="35">
        <f t="shared" si="67"/>
        <v>465.81818181818187</v>
      </c>
      <c r="AS241" s="35">
        <f t="shared" si="68"/>
        <v>472.9</v>
      </c>
      <c r="AT241" s="35">
        <f t="shared" si="69"/>
        <v>7.0818181818181074</v>
      </c>
      <c r="AU241" s="35">
        <v>110.6</v>
      </c>
      <c r="AV241" s="35">
        <v>77.5</v>
      </c>
      <c r="AW241" s="35"/>
      <c r="AX241" s="35">
        <f t="shared" si="70"/>
        <v>284.8</v>
      </c>
      <c r="AY241" s="35"/>
      <c r="AZ241" s="35">
        <f t="shared" si="71"/>
        <v>284.8</v>
      </c>
      <c r="BA241" s="35">
        <v>0</v>
      </c>
      <c r="BB241" s="35">
        <f t="shared" si="75"/>
        <v>284.8</v>
      </c>
      <c r="BC241" s="35"/>
      <c r="BD241" s="35">
        <f t="shared" si="72"/>
        <v>284.8</v>
      </c>
      <c r="BE241" s="35">
        <v>334</v>
      </c>
      <c r="BF241" s="35">
        <f t="shared" si="73"/>
        <v>-49.2</v>
      </c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10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10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10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10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10"/>
      <c r="HA241" s="9"/>
      <c r="HB241" s="9"/>
    </row>
    <row r="242" spans="1:210" s="2" customFormat="1" ht="17.149999999999999" customHeight="1">
      <c r="A242" s="14" t="s">
        <v>226</v>
      </c>
      <c r="B242" s="63">
        <v>0</v>
      </c>
      <c r="C242" s="63">
        <v>0</v>
      </c>
      <c r="D242" s="4">
        <f t="shared" si="63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712.7</v>
      </c>
      <c r="O242" s="35">
        <v>877.5</v>
      </c>
      <c r="P242" s="4">
        <f t="shared" si="64"/>
        <v>1.2031233338010383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82">
        <v>24797</v>
      </c>
      <c r="W242" s="82">
        <v>2663</v>
      </c>
      <c r="X242" s="4">
        <f t="shared" si="65"/>
        <v>0.10739202322861637</v>
      </c>
      <c r="Y242" s="5">
        <v>5</v>
      </c>
      <c r="Z242" s="5">
        <v>463</v>
      </c>
      <c r="AA242" s="5">
        <v>474</v>
      </c>
      <c r="AB242" s="4">
        <f t="shared" si="66"/>
        <v>1.0237580993520519</v>
      </c>
      <c r="AC242" s="5">
        <v>20</v>
      </c>
      <c r="AD242" s="5" t="s">
        <v>360</v>
      </c>
      <c r="AE242" s="5" t="s">
        <v>360</v>
      </c>
      <c r="AF242" s="5" t="s">
        <v>360</v>
      </c>
      <c r="AG242" s="5" t="s">
        <v>360</v>
      </c>
      <c r="AH242" s="5" t="s">
        <v>360</v>
      </c>
      <c r="AI242" s="5" t="s">
        <v>360</v>
      </c>
      <c r="AJ242" s="5" t="s">
        <v>360</v>
      </c>
      <c r="AK242" s="5" t="s">
        <v>360</v>
      </c>
      <c r="AL242" s="5" t="s">
        <v>360</v>
      </c>
      <c r="AM242" s="5" t="s">
        <v>360</v>
      </c>
      <c r="AN242" s="5" t="s">
        <v>360</v>
      </c>
      <c r="AO242" s="5" t="s">
        <v>360</v>
      </c>
      <c r="AP242" s="43">
        <f t="shared" si="74"/>
        <v>1.0016575284267752</v>
      </c>
      <c r="AQ242" s="44">
        <v>2801</v>
      </c>
      <c r="AR242" s="35">
        <f t="shared" si="67"/>
        <v>763.90909090909088</v>
      </c>
      <c r="AS242" s="35">
        <f t="shared" si="68"/>
        <v>765.2</v>
      </c>
      <c r="AT242" s="35">
        <f t="shared" si="69"/>
        <v>1.2909090909091674</v>
      </c>
      <c r="AU242" s="35">
        <v>290.7</v>
      </c>
      <c r="AV242" s="35">
        <v>217.6</v>
      </c>
      <c r="AW242" s="35"/>
      <c r="AX242" s="35">
        <f t="shared" si="70"/>
        <v>256.89999999999998</v>
      </c>
      <c r="AY242" s="35"/>
      <c r="AZ242" s="35">
        <f t="shared" si="71"/>
        <v>256.89999999999998</v>
      </c>
      <c r="BA242" s="35">
        <v>0</v>
      </c>
      <c r="BB242" s="35">
        <f t="shared" si="75"/>
        <v>256.89999999999998</v>
      </c>
      <c r="BC242" s="35"/>
      <c r="BD242" s="35">
        <f t="shared" si="72"/>
        <v>256.89999999999998</v>
      </c>
      <c r="BE242" s="35">
        <v>342.3</v>
      </c>
      <c r="BF242" s="35">
        <f t="shared" si="73"/>
        <v>-85.4</v>
      </c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10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10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10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10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10"/>
      <c r="HA242" s="9"/>
      <c r="HB242" s="9"/>
    </row>
    <row r="243" spans="1:210" s="2" customFormat="1" ht="17.149999999999999" customHeight="1">
      <c r="A243" s="14" t="s">
        <v>227</v>
      </c>
      <c r="B243" s="63">
        <v>308</v>
      </c>
      <c r="C243" s="63">
        <v>1230</v>
      </c>
      <c r="D243" s="4">
        <f t="shared" si="63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921.1</v>
      </c>
      <c r="O243" s="35">
        <v>584.70000000000005</v>
      </c>
      <c r="P243" s="4">
        <f t="shared" si="64"/>
        <v>0.63478449679730764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82">
        <v>21927</v>
      </c>
      <c r="W243" s="82">
        <v>19111</v>
      </c>
      <c r="X243" s="4">
        <f t="shared" si="65"/>
        <v>0.87157385871300219</v>
      </c>
      <c r="Y243" s="5">
        <v>5</v>
      </c>
      <c r="Z243" s="5">
        <v>168</v>
      </c>
      <c r="AA243" s="5">
        <v>174</v>
      </c>
      <c r="AB243" s="4">
        <f t="shared" si="66"/>
        <v>1.0357142857142858</v>
      </c>
      <c r="AC243" s="5">
        <v>20</v>
      </c>
      <c r="AD243" s="5" t="s">
        <v>360</v>
      </c>
      <c r="AE243" s="5" t="s">
        <v>360</v>
      </c>
      <c r="AF243" s="5" t="s">
        <v>360</v>
      </c>
      <c r="AG243" s="5" t="s">
        <v>360</v>
      </c>
      <c r="AH243" s="5" t="s">
        <v>360</v>
      </c>
      <c r="AI243" s="5" t="s">
        <v>360</v>
      </c>
      <c r="AJ243" s="5" t="s">
        <v>360</v>
      </c>
      <c r="AK243" s="5" t="s">
        <v>360</v>
      </c>
      <c r="AL243" s="5" t="s">
        <v>360</v>
      </c>
      <c r="AM243" s="5" t="s">
        <v>360</v>
      </c>
      <c r="AN243" s="5" t="s">
        <v>360</v>
      </c>
      <c r="AO243" s="5" t="s">
        <v>360</v>
      </c>
      <c r="AP243" s="43">
        <f t="shared" si="74"/>
        <v>0.8853568988759376</v>
      </c>
      <c r="AQ243" s="44">
        <v>2253</v>
      </c>
      <c r="AR243" s="35">
        <f t="shared" si="67"/>
        <v>614.4545454545455</v>
      </c>
      <c r="AS243" s="35">
        <f t="shared" si="68"/>
        <v>544</v>
      </c>
      <c r="AT243" s="35">
        <f t="shared" si="69"/>
        <v>-70.454545454545496</v>
      </c>
      <c r="AU243" s="35">
        <v>196.4</v>
      </c>
      <c r="AV243" s="35">
        <v>108.5</v>
      </c>
      <c r="AW243" s="35"/>
      <c r="AX243" s="35">
        <f t="shared" si="70"/>
        <v>239.1</v>
      </c>
      <c r="AY243" s="35"/>
      <c r="AZ243" s="35">
        <f t="shared" si="71"/>
        <v>239.1</v>
      </c>
      <c r="BA243" s="35">
        <v>0</v>
      </c>
      <c r="BB243" s="35">
        <f t="shared" si="75"/>
        <v>239.1</v>
      </c>
      <c r="BC243" s="35"/>
      <c r="BD243" s="35">
        <f t="shared" si="72"/>
        <v>239.1</v>
      </c>
      <c r="BE243" s="35">
        <v>240.1</v>
      </c>
      <c r="BF243" s="35">
        <f t="shared" si="73"/>
        <v>-1</v>
      </c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10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10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10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10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10"/>
      <c r="HA243" s="9"/>
      <c r="HB243" s="9"/>
    </row>
    <row r="244" spans="1:210" s="2" customFormat="1" ht="17.149999999999999" customHeight="1">
      <c r="A244" s="14" t="s">
        <v>228</v>
      </c>
      <c r="B244" s="63">
        <v>0</v>
      </c>
      <c r="C244" s="63">
        <v>0</v>
      </c>
      <c r="D244" s="4">
        <f t="shared" si="63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113.7</v>
      </c>
      <c r="O244" s="35">
        <v>273.8</v>
      </c>
      <c r="P244" s="4">
        <f t="shared" si="64"/>
        <v>1.3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82">
        <v>8517</v>
      </c>
      <c r="W244" s="82">
        <v>915</v>
      </c>
      <c r="X244" s="4">
        <f t="shared" si="65"/>
        <v>0.10743219443466009</v>
      </c>
      <c r="Y244" s="5">
        <v>5</v>
      </c>
      <c r="Z244" s="5">
        <v>295</v>
      </c>
      <c r="AA244" s="5">
        <v>295</v>
      </c>
      <c r="AB244" s="4">
        <f t="shared" si="66"/>
        <v>1</v>
      </c>
      <c r="AC244" s="5">
        <v>20</v>
      </c>
      <c r="AD244" s="5" t="s">
        <v>360</v>
      </c>
      <c r="AE244" s="5" t="s">
        <v>360</v>
      </c>
      <c r="AF244" s="5" t="s">
        <v>360</v>
      </c>
      <c r="AG244" s="5" t="s">
        <v>360</v>
      </c>
      <c r="AH244" s="5" t="s">
        <v>360</v>
      </c>
      <c r="AI244" s="5" t="s">
        <v>360</v>
      </c>
      <c r="AJ244" s="5" t="s">
        <v>360</v>
      </c>
      <c r="AK244" s="5" t="s">
        <v>360</v>
      </c>
      <c r="AL244" s="5" t="s">
        <v>360</v>
      </c>
      <c r="AM244" s="5" t="s">
        <v>360</v>
      </c>
      <c r="AN244" s="5" t="s">
        <v>360</v>
      </c>
      <c r="AO244" s="5" t="s">
        <v>360</v>
      </c>
      <c r="AP244" s="43">
        <f t="shared" si="74"/>
        <v>1.0341591327149622</v>
      </c>
      <c r="AQ244" s="44">
        <v>936</v>
      </c>
      <c r="AR244" s="35">
        <f t="shared" si="67"/>
        <v>255.27272727272728</v>
      </c>
      <c r="AS244" s="35">
        <f t="shared" si="68"/>
        <v>264</v>
      </c>
      <c r="AT244" s="35">
        <f t="shared" si="69"/>
        <v>8.7272727272727195</v>
      </c>
      <c r="AU244" s="35">
        <v>110.6</v>
      </c>
      <c r="AV244" s="35">
        <v>94.2</v>
      </c>
      <c r="AW244" s="35"/>
      <c r="AX244" s="35">
        <f t="shared" si="70"/>
        <v>59.2</v>
      </c>
      <c r="AY244" s="35"/>
      <c r="AZ244" s="35">
        <f t="shared" si="71"/>
        <v>59.2</v>
      </c>
      <c r="BA244" s="35">
        <v>0</v>
      </c>
      <c r="BB244" s="35">
        <f t="shared" si="75"/>
        <v>59.2</v>
      </c>
      <c r="BC244" s="35"/>
      <c r="BD244" s="35">
        <f t="shared" si="72"/>
        <v>59.2</v>
      </c>
      <c r="BE244" s="35">
        <v>88.8</v>
      </c>
      <c r="BF244" s="35">
        <f t="shared" si="73"/>
        <v>-29.6</v>
      </c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10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10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10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10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10"/>
      <c r="HA244" s="9"/>
      <c r="HB244" s="9"/>
    </row>
    <row r="245" spans="1:210" s="2" customFormat="1" ht="17.149999999999999" customHeight="1">
      <c r="A245" s="14" t="s">
        <v>229</v>
      </c>
      <c r="B245" s="63">
        <v>0</v>
      </c>
      <c r="C245" s="63">
        <v>0</v>
      </c>
      <c r="D245" s="4">
        <f t="shared" si="63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274.8</v>
      </c>
      <c r="O245" s="35">
        <v>679.1</v>
      </c>
      <c r="P245" s="4">
        <f t="shared" si="64"/>
        <v>1.3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82">
        <v>21541</v>
      </c>
      <c r="W245" s="82">
        <v>3350</v>
      </c>
      <c r="X245" s="4">
        <f t="shared" si="65"/>
        <v>0.15551738545100041</v>
      </c>
      <c r="Y245" s="5">
        <v>5</v>
      </c>
      <c r="Z245" s="5">
        <v>205</v>
      </c>
      <c r="AA245" s="5">
        <v>199</v>
      </c>
      <c r="AB245" s="4">
        <f t="shared" si="66"/>
        <v>0.97073170731707314</v>
      </c>
      <c r="AC245" s="5">
        <v>20</v>
      </c>
      <c r="AD245" s="5" t="s">
        <v>360</v>
      </c>
      <c r="AE245" s="5" t="s">
        <v>360</v>
      </c>
      <c r="AF245" s="5" t="s">
        <v>360</v>
      </c>
      <c r="AG245" s="5" t="s">
        <v>360</v>
      </c>
      <c r="AH245" s="5" t="s">
        <v>360</v>
      </c>
      <c r="AI245" s="5" t="s">
        <v>360</v>
      </c>
      <c r="AJ245" s="5" t="s">
        <v>360</v>
      </c>
      <c r="AK245" s="5" t="s">
        <v>360</v>
      </c>
      <c r="AL245" s="5" t="s">
        <v>360</v>
      </c>
      <c r="AM245" s="5" t="s">
        <v>360</v>
      </c>
      <c r="AN245" s="5" t="s">
        <v>360</v>
      </c>
      <c r="AO245" s="5" t="s">
        <v>360</v>
      </c>
      <c r="AP245" s="43">
        <f t="shared" si="74"/>
        <v>1.026493801635477</v>
      </c>
      <c r="AQ245" s="44">
        <v>2240</v>
      </c>
      <c r="AR245" s="35">
        <f t="shared" si="67"/>
        <v>610.90909090909088</v>
      </c>
      <c r="AS245" s="35">
        <f t="shared" si="68"/>
        <v>627.1</v>
      </c>
      <c r="AT245" s="35">
        <f t="shared" si="69"/>
        <v>16.190909090909145</v>
      </c>
      <c r="AU245" s="35">
        <v>156.69999999999999</v>
      </c>
      <c r="AV245" s="35">
        <v>51.3</v>
      </c>
      <c r="AW245" s="35">
        <v>79.7</v>
      </c>
      <c r="AX245" s="35">
        <f t="shared" si="70"/>
        <v>339.4</v>
      </c>
      <c r="AY245" s="35"/>
      <c r="AZ245" s="35">
        <f t="shared" si="71"/>
        <v>339.4</v>
      </c>
      <c r="BA245" s="35">
        <v>0</v>
      </c>
      <c r="BB245" s="35">
        <f t="shared" si="75"/>
        <v>339.4</v>
      </c>
      <c r="BC245" s="35"/>
      <c r="BD245" s="35">
        <f t="shared" si="72"/>
        <v>339.4</v>
      </c>
      <c r="BE245" s="35">
        <v>405.9</v>
      </c>
      <c r="BF245" s="35">
        <f t="shared" si="73"/>
        <v>-66.5</v>
      </c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10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10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10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10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10"/>
      <c r="HA245" s="9"/>
      <c r="HB245" s="9"/>
    </row>
    <row r="246" spans="1:210" s="2" customFormat="1" ht="17.149999999999999" customHeight="1">
      <c r="A246" s="14" t="s">
        <v>230</v>
      </c>
      <c r="B246" s="63">
        <v>10496</v>
      </c>
      <c r="C246" s="63">
        <v>8351</v>
      </c>
      <c r="D246" s="4">
        <f t="shared" si="63"/>
        <v>0.79563643292682928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372.9</v>
      </c>
      <c r="O246" s="35">
        <v>363.7</v>
      </c>
      <c r="P246" s="4">
        <f t="shared" si="64"/>
        <v>0.97532850630195767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82">
        <v>16130</v>
      </c>
      <c r="W246" s="82">
        <v>4746</v>
      </c>
      <c r="X246" s="4">
        <f t="shared" si="65"/>
        <v>0.29423434593924364</v>
      </c>
      <c r="Y246" s="5">
        <v>5</v>
      </c>
      <c r="Z246" s="5">
        <v>200</v>
      </c>
      <c r="AA246" s="5">
        <v>200</v>
      </c>
      <c r="AB246" s="4">
        <f t="shared" si="66"/>
        <v>1</v>
      </c>
      <c r="AC246" s="5">
        <v>20</v>
      </c>
      <c r="AD246" s="5" t="s">
        <v>360</v>
      </c>
      <c r="AE246" s="5" t="s">
        <v>360</v>
      </c>
      <c r="AF246" s="5" t="s">
        <v>360</v>
      </c>
      <c r="AG246" s="5" t="s">
        <v>360</v>
      </c>
      <c r="AH246" s="5" t="s">
        <v>360</v>
      </c>
      <c r="AI246" s="5" t="s">
        <v>360</v>
      </c>
      <c r="AJ246" s="5" t="s">
        <v>360</v>
      </c>
      <c r="AK246" s="5" t="s">
        <v>360</v>
      </c>
      <c r="AL246" s="5" t="s">
        <v>360</v>
      </c>
      <c r="AM246" s="5" t="s">
        <v>360</v>
      </c>
      <c r="AN246" s="5" t="s">
        <v>360</v>
      </c>
      <c r="AO246" s="5" t="s">
        <v>360</v>
      </c>
      <c r="AP246" s="43">
        <f t="shared" si="74"/>
        <v>0.89911848040739029</v>
      </c>
      <c r="AQ246" s="44">
        <v>5006</v>
      </c>
      <c r="AR246" s="35">
        <f t="shared" si="67"/>
        <v>1365.2727272727273</v>
      </c>
      <c r="AS246" s="35">
        <f t="shared" si="68"/>
        <v>1227.5</v>
      </c>
      <c r="AT246" s="35">
        <f t="shared" si="69"/>
        <v>-137.77272727272725</v>
      </c>
      <c r="AU246" s="35">
        <v>568.70000000000005</v>
      </c>
      <c r="AV246" s="35">
        <v>14.9</v>
      </c>
      <c r="AW246" s="35">
        <v>97.8</v>
      </c>
      <c r="AX246" s="35">
        <f t="shared" si="70"/>
        <v>546.1</v>
      </c>
      <c r="AY246" s="35"/>
      <c r="AZ246" s="35">
        <f t="shared" si="71"/>
        <v>546.1</v>
      </c>
      <c r="BA246" s="35">
        <v>0</v>
      </c>
      <c r="BB246" s="35">
        <f t="shared" si="75"/>
        <v>546.1</v>
      </c>
      <c r="BC246" s="35"/>
      <c r="BD246" s="35">
        <f t="shared" si="72"/>
        <v>546.1</v>
      </c>
      <c r="BE246" s="35">
        <v>637.9</v>
      </c>
      <c r="BF246" s="35">
        <f t="shared" si="73"/>
        <v>-91.8</v>
      </c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10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10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10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10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10"/>
      <c r="HA246" s="9"/>
      <c r="HB246" s="9"/>
    </row>
    <row r="247" spans="1:210" s="2" customFormat="1" ht="17.149999999999999" customHeight="1">
      <c r="A247" s="14" t="s">
        <v>231</v>
      </c>
      <c r="B247" s="63">
        <v>584619</v>
      </c>
      <c r="C247" s="63">
        <v>344508.4</v>
      </c>
      <c r="D247" s="4">
        <f t="shared" si="63"/>
        <v>0.58928703993541098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3713.3</v>
      </c>
      <c r="O247" s="35">
        <v>4664.6000000000004</v>
      </c>
      <c r="P247" s="4">
        <f t="shared" si="64"/>
        <v>1.2056187218915788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82">
        <v>86570</v>
      </c>
      <c r="W247" s="82">
        <v>156357</v>
      </c>
      <c r="X247" s="4">
        <f t="shared" si="65"/>
        <v>1.2606133764583574</v>
      </c>
      <c r="Y247" s="5">
        <v>5</v>
      </c>
      <c r="Z247" s="5">
        <v>175</v>
      </c>
      <c r="AA247" s="5">
        <v>175</v>
      </c>
      <c r="AB247" s="4">
        <f t="shared" si="66"/>
        <v>1</v>
      </c>
      <c r="AC247" s="5">
        <v>20</v>
      </c>
      <c r="AD247" s="5" t="s">
        <v>360</v>
      </c>
      <c r="AE247" s="5" t="s">
        <v>360</v>
      </c>
      <c r="AF247" s="5" t="s">
        <v>360</v>
      </c>
      <c r="AG247" s="5" t="s">
        <v>360</v>
      </c>
      <c r="AH247" s="5" t="s">
        <v>360</v>
      </c>
      <c r="AI247" s="5" t="s">
        <v>360</v>
      </c>
      <c r="AJ247" s="5" t="s">
        <v>360</v>
      </c>
      <c r="AK247" s="5" t="s">
        <v>360</v>
      </c>
      <c r="AL247" s="5" t="s">
        <v>360</v>
      </c>
      <c r="AM247" s="5" t="s">
        <v>360</v>
      </c>
      <c r="AN247" s="5" t="s">
        <v>360</v>
      </c>
      <c r="AO247" s="5" t="s">
        <v>360</v>
      </c>
      <c r="AP247" s="43">
        <f t="shared" si="74"/>
        <v>1.0672375303960084</v>
      </c>
      <c r="AQ247" s="44">
        <v>2150</v>
      </c>
      <c r="AR247" s="35">
        <f t="shared" si="67"/>
        <v>586.36363636363637</v>
      </c>
      <c r="AS247" s="35">
        <f t="shared" si="68"/>
        <v>625.79999999999995</v>
      </c>
      <c r="AT247" s="35">
        <f t="shared" si="69"/>
        <v>39.436363636363581</v>
      </c>
      <c r="AU247" s="35">
        <v>216.7</v>
      </c>
      <c r="AV247" s="35">
        <v>23.4</v>
      </c>
      <c r="AW247" s="35">
        <v>97.7</v>
      </c>
      <c r="AX247" s="35">
        <f t="shared" si="70"/>
        <v>288</v>
      </c>
      <c r="AY247" s="35"/>
      <c r="AZ247" s="35">
        <f t="shared" si="71"/>
        <v>288</v>
      </c>
      <c r="BA247" s="35">
        <v>0</v>
      </c>
      <c r="BB247" s="35">
        <f t="shared" si="75"/>
        <v>288</v>
      </c>
      <c r="BC247" s="35">
        <f>MIN(BB247,8.9)</f>
        <v>8.9</v>
      </c>
      <c r="BD247" s="35">
        <f t="shared" si="72"/>
        <v>279.10000000000002</v>
      </c>
      <c r="BE247" s="35">
        <v>266.5</v>
      </c>
      <c r="BF247" s="35">
        <f t="shared" si="73"/>
        <v>12.6</v>
      </c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10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10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10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10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10"/>
      <c r="HA247" s="9"/>
      <c r="HB247" s="9"/>
    </row>
    <row r="248" spans="1:210" s="2" customFormat="1" ht="17.149999999999999" customHeight="1">
      <c r="A248" s="18" t="s">
        <v>232</v>
      </c>
      <c r="B248" s="59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83"/>
      <c r="W248" s="83"/>
      <c r="X248" s="11"/>
      <c r="Y248" s="11"/>
      <c r="Z248" s="11"/>
      <c r="AA248" s="11"/>
      <c r="AB248" s="11"/>
      <c r="AC248" s="11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35"/>
      <c r="BB248" s="35"/>
      <c r="BC248" s="35"/>
      <c r="BD248" s="35"/>
      <c r="BE248" s="35"/>
      <c r="BF248" s="35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10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10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10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10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10"/>
      <c r="HA248" s="9"/>
      <c r="HB248" s="9"/>
    </row>
    <row r="249" spans="1:210" s="2" customFormat="1" ht="17.149999999999999" customHeight="1">
      <c r="A249" s="14" t="s">
        <v>233</v>
      </c>
      <c r="B249" s="63">
        <v>5572</v>
      </c>
      <c r="C249" s="63">
        <v>5865</v>
      </c>
      <c r="D249" s="4">
        <f t="shared" ref="D249:D312" si="76">IF(E249=0,0,IF(B249=0,1,IF(C249&lt;0,0,IF(C249/B249&gt;1.2,IF((C249/B249-1.2)*0.1+1.2&gt;1.3,1.3,(C249/B249-1.2)*0.1+1.2),C249/B249))))</f>
        <v>1.0525843503230439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163.1</v>
      </c>
      <c r="O249" s="35">
        <v>340.3</v>
      </c>
      <c r="P249" s="4">
        <f t="shared" ref="P249:P312" si="77">IF(Q249=0,0,IF(N249=0,1,IF(O249&lt;0,0,IF(O249/N249&gt;1.2,IF((O249/N249-1.2)*0.1+1.2&gt;1.3,1.3,(O249/N249-1.2)*0.1+1.2),O249/N249))))</f>
        <v>1.2886450030656038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82">
        <v>3213</v>
      </c>
      <c r="W249" s="82">
        <v>3901</v>
      </c>
      <c r="X249" s="4">
        <f t="shared" ref="X249:X312" si="78">IF(Y249=0,0,IF(V249=0,1,IF(W249&lt;0,0,IF(W249/V249&gt;1.2,IF((W249/V249-1.2)*0.1+1.2&gt;1.3,1.3,(W249/V249-1.2)*0.1+1.2),W249/V249))))</f>
        <v>1.2014130096483038</v>
      </c>
      <c r="Y249" s="5">
        <v>5</v>
      </c>
      <c r="Z249" s="5">
        <v>735</v>
      </c>
      <c r="AA249" s="5">
        <v>782</v>
      </c>
      <c r="AB249" s="4">
        <f t="shared" ref="AB249:AB312" si="79">IF(AC249=0,0,IF(Z249=0,1,IF(AA249&lt;0,0,IF(AA249/Z249&gt;1.2,IF((AA249/Z249-1.2)*0.1+1.2&gt;1.3,1.3,(AA249/Z249-1.2)*0.1+1.2),AA249/Z249))))</f>
        <v>1.0639455782312925</v>
      </c>
      <c r="AC249" s="5">
        <v>20</v>
      </c>
      <c r="AD249" s="5" t="s">
        <v>360</v>
      </c>
      <c r="AE249" s="5" t="s">
        <v>360</v>
      </c>
      <c r="AF249" s="5" t="s">
        <v>360</v>
      </c>
      <c r="AG249" s="5" t="s">
        <v>360</v>
      </c>
      <c r="AH249" s="5" t="s">
        <v>360</v>
      </c>
      <c r="AI249" s="5" t="s">
        <v>360</v>
      </c>
      <c r="AJ249" s="5" t="s">
        <v>360</v>
      </c>
      <c r="AK249" s="5" t="s">
        <v>360</v>
      </c>
      <c r="AL249" s="5" t="s">
        <v>360</v>
      </c>
      <c r="AM249" s="5" t="s">
        <v>360</v>
      </c>
      <c r="AN249" s="5" t="s">
        <v>360</v>
      </c>
      <c r="AO249" s="5" t="s">
        <v>360</v>
      </c>
      <c r="AP249" s="43">
        <f t="shared" si="74"/>
        <v>1.1664359685158934</v>
      </c>
      <c r="AQ249" s="44">
        <v>1233</v>
      </c>
      <c r="AR249" s="35">
        <f t="shared" ref="AR249:AR312" si="80">AQ249/11*3</f>
        <v>336.27272727272725</v>
      </c>
      <c r="AS249" s="35">
        <f t="shared" ref="AS249:AS312" si="81">ROUND(AP249*AR249,1)</f>
        <v>392.2</v>
      </c>
      <c r="AT249" s="35">
        <f t="shared" ref="AT249:AT312" si="82">AS249-AR249</f>
        <v>55.927272727272737</v>
      </c>
      <c r="AU249" s="35">
        <v>128.9</v>
      </c>
      <c r="AV249" s="35">
        <v>137.9</v>
      </c>
      <c r="AW249" s="35"/>
      <c r="AX249" s="35">
        <f t="shared" ref="AX249:AX312" si="83">ROUND(AS249-SUM(AU249:AW249),1)</f>
        <v>125.4</v>
      </c>
      <c r="AY249" s="35"/>
      <c r="AZ249" s="35">
        <f t="shared" ref="AZ249:AZ312" si="84">IF(OR(AX249&lt;0,AY249="+"),0,AX249)</f>
        <v>125.4</v>
      </c>
      <c r="BA249" s="35">
        <v>0</v>
      </c>
      <c r="BB249" s="35">
        <f t="shared" si="75"/>
        <v>125.4</v>
      </c>
      <c r="BC249" s="35"/>
      <c r="BD249" s="35">
        <f t="shared" ref="BD249:BD312" si="85">IF((BB249-BC249)&gt;0,ROUND(BB249-BC249,1),0)</f>
        <v>125.4</v>
      </c>
      <c r="BE249" s="35">
        <v>124.1</v>
      </c>
      <c r="BF249" s="35">
        <f t="shared" ref="BF249:BF312" si="86">ROUND(BD249-BE249,1)</f>
        <v>1.3</v>
      </c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10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10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10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10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10"/>
      <c r="HA249" s="9"/>
      <c r="HB249" s="9"/>
    </row>
    <row r="250" spans="1:210" s="2" customFormat="1" ht="17.149999999999999" customHeight="1">
      <c r="A250" s="14" t="s">
        <v>234</v>
      </c>
      <c r="B250" s="63">
        <v>0</v>
      </c>
      <c r="C250" s="63">
        <v>0</v>
      </c>
      <c r="D250" s="4">
        <f t="shared" si="76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432.7</v>
      </c>
      <c r="O250" s="35">
        <v>341.5</v>
      </c>
      <c r="P250" s="4">
        <f t="shared" si="77"/>
        <v>0.78923041368153457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82">
        <v>4518</v>
      </c>
      <c r="W250" s="82">
        <v>3296</v>
      </c>
      <c r="X250" s="4">
        <f t="shared" si="78"/>
        <v>0.72952633908809206</v>
      </c>
      <c r="Y250" s="5">
        <v>5</v>
      </c>
      <c r="Z250" s="5">
        <v>80</v>
      </c>
      <c r="AA250" s="5">
        <v>80</v>
      </c>
      <c r="AB250" s="4">
        <f t="shared" si="79"/>
        <v>1</v>
      </c>
      <c r="AC250" s="5">
        <v>20</v>
      </c>
      <c r="AD250" s="5" t="s">
        <v>360</v>
      </c>
      <c r="AE250" s="5" t="s">
        <v>360</v>
      </c>
      <c r="AF250" s="5" t="s">
        <v>360</v>
      </c>
      <c r="AG250" s="5" t="s">
        <v>360</v>
      </c>
      <c r="AH250" s="5" t="s">
        <v>360</v>
      </c>
      <c r="AI250" s="5" t="s">
        <v>360</v>
      </c>
      <c r="AJ250" s="5" t="s">
        <v>360</v>
      </c>
      <c r="AK250" s="5" t="s">
        <v>360</v>
      </c>
      <c r="AL250" s="5" t="s">
        <v>360</v>
      </c>
      <c r="AM250" s="5" t="s">
        <v>360</v>
      </c>
      <c r="AN250" s="5" t="s">
        <v>360</v>
      </c>
      <c r="AO250" s="5" t="s">
        <v>360</v>
      </c>
      <c r="AP250" s="43">
        <f t="shared" ref="AP250:AP313" si="87">(D250*E250+P250*Q250+X250*Y250+AB250*AC250)/(E250+Q250+Y250+AC250)</f>
        <v>0.87627199931269217</v>
      </c>
      <c r="AQ250" s="44">
        <v>1631</v>
      </c>
      <c r="AR250" s="35">
        <f t="shared" si="80"/>
        <v>444.81818181818187</v>
      </c>
      <c r="AS250" s="35">
        <f t="shared" si="81"/>
        <v>389.8</v>
      </c>
      <c r="AT250" s="35">
        <f t="shared" si="82"/>
        <v>-55.018181818181858</v>
      </c>
      <c r="AU250" s="35">
        <v>162.69999999999999</v>
      </c>
      <c r="AV250" s="35">
        <v>70.099999999999994</v>
      </c>
      <c r="AW250" s="35"/>
      <c r="AX250" s="35">
        <f t="shared" si="83"/>
        <v>157</v>
      </c>
      <c r="AY250" s="35"/>
      <c r="AZ250" s="35">
        <f t="shared" si="84"/>
        <v>157</v>
      </c>
      <c r="BA250" s="35">
        <v>0</v>
      </c>
      <c r="BB250" s="35">
        <f t="shared" ref="BB250:BB313" si="88">ROUND(AZ250+BA250,1)</f>
        <v>157</v>
      </c>
      <c r="BC250" s="35"/>
      <c r="BD250" s="35">
        <f t="shared" si="85"/>
        <v>157</v>
      </c>
      <c r="BE250" s="35">
        <v>165.1</v>
      </c>
      <c r="BF250" s="35">
        <f t="shared" si="86"/>
        <v>-8.1</v>
      </c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10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10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10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10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10"/>
      <c r="HA250" s="9"/>
      <c r="HB250" s="9"/>
    </row>
    <row r="251" spans="1:210" s="2" customFormat="1" ht="17.149999999999999" customHeight="1">
      <c r="A251" s="14" t="s">
        <v>235</v>
      </c>
      <c r="B251" s="63">
        <v>1832</v>
      </c>
      <c r="C251" s="63">
        <v>2658.6</v>
      </c>
      <c r="D251" s="4">
        <f t="shared" si="76"/>
        <v>1.2251200873362444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362.3</v>
      </c>
      <c r="O251" s="35">
        <v>293.89999999999998</v>
      </c>
      <c r="P251" s="4">
        <f t="shared" si="77"/>
        <v>0.81120618272150147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82">
        <v>3469</v>
      </c>
      <c r="W251" s="82">
        <v>2947</v>
      </c>
      <c r="X251" s="4">
        <f t="shared" si="78"/>
        <v>0.84952435860478526</v>
      </c>
      <c r="Y251" s="5">
        <v>5</v>
      </c>
      <c r="Z251" s="5">
        <v>237</v>
      </c>
      <c r="AA251" s="5">
        <v>237</v>
      </c>
      <c r="AB251" s="4">
        <f t="shared" si="79"/>
        <v>1</v>
      </c>
      <c r="AC251" s="5">
        <v>20</v>
      </c>
      <c r="AD251" s="5" t="s">
        <v>360</v>
      </c>
      <c r="AE251" s="5" t="s">
        <v>360</v>
      </c>
      <c r="AF251" s="5" t="s">
        <v>360</v>
      </c>
      <c r="AG251" s="5" t="s">
        <v>360</v>
      </c>
      <c r="AH251" s="5" t="s">
        <v>360</v>
      </c>
      <c r="AI251" s="5" t="s">
        <v>360</v>
      </c>
      <c r="AJ251" s="5" t="s">
        <v>360</v>
      </c>
      <c r="AK251" s="5" t="s">
        <v>360</v>
      </c>
      <c r="AL251" s="5" t="s">
        <v>360</v>
      </c>
      <c r="AM251" s="5" t="s">
        <v>360</v>
      </c>
      <c r="AN251" s="5" t="s">
        <v>360</v>
      </c>
      <c r="AO251" s="5" t="s">
        <v>360</v>
      </c>
      <c r="AP251" s="43">
        <f t="shared" si="87"/>
        <v>0.93194691768270355</v>
      </c>
      <c r="AQ251" s="44">
        <v>1243</v>
      </c>
      <c r="AR251" s="35">
        <f t="shared" si="80"/>
        <v>339</v>
      </c>
      <c r="AS251" s="35">
        <f t="shared" si="81"/>
        <v>315.89999999999998</v>
      </c>
      <c r="AT251" s="35">
        <f t="shared" si="82"/>
        <v>-23.100000000000023</v>
      </c>
      <c r="AU251" s="35">
        <v>80.599999999999994</v>
      </c>
      <c r="AV251" s="35">
        <v>120.3</v>
      </c>
      <c r="AW251" s="35"/>
      <c r="AX251" s="35">
        <f t="shared" si="83"/>
        <v>115</v>
      </c>
      <c r="AY251" s="35"/>
      <c r="AZ251" s="35">
        <f t="shared" si="84"/>
        <v>115</v>
      </c>
      <c r="BA251" s="35">
        <v>0</v>
      </c>
      <c r="BB251" s="35">
        <f t="shared" si="88"/>
        <v>115</v>
      </c>
      <c r="BC251" s="35"/>
      <c r="BD251" s="35">
        <f t="shared" si="85"/>
        <v>115</v>
      </c>
      <c r="BE251" s="35">
        <v>118.1</v>
      </c>
      <c r="BF251" s="35">
        <f t="shared" si="86"/>
        <v>-3.1</v>
      </c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10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10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10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10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10"/>
      <c r="HA251" s="9"/>
      <c r="HB251" s="9"/>
    </row>
    <row r="252" spans="1:210" s="2" customFormat="1" ht="17.149999999999999" customHeight="1">
      <c r="A252" s="14" t="s">
        <v>236</v>
      </c>
      <c r="B252" s="63">
        <v>0</v>
      </c>
      <c r="C252" s="63">
        <v>0</v>
      </c>
      <c r="D252" s="4">
        <f t="shared" si="76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308</v>
      </c>
      <c r="O252" s="35">
        <v>367.4</v>
      </c>
      <c r="P252" s="4">
        <f t="shared" si="77"/>
        <v>1.1928571428571428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82">
        <v>1849</v>
      </c>
      <c r="W252" s="82">
        <v>1704</v>
      </c>
      <c r="X252" s="4">
        <f t="shared" si="78"/>
        <v>0.92157923201730663</v>
      </c>
      <c r="Y252" s="5">
        <v>5</v>
      </c>
      <c r="Z252" s="5">
        <v>331</v>
      </c>
      <c r="AA252" s="5">
        <v>339</v>
      </c>
      <c r="AB252" s="4">
        <f t="shared" si="79"/>
        <v>1.0241691842900302</v>
      </c>
      <c r="AC252" s="5">
        <v>20</v>
      </c>
      <c r="AD252" s="5" t="s">
        <v>360</v>
      </c>
      <c r="AE252" s="5" t="s">
        <v>360</v>
      </c>
      <c r="AF252" s="5" t="s">
        <v>360</v>
      </c>
      <c r="AG252" s="5" t="s">
        <v>360</v>
      </c>
      <c r="AH252" s="5" t="s">
        <v>360</v>
      </c>
      <c r="AI252" s="5" t="s">
        <v>360</v>
      </c>
      <c r="AJ252" s="5" t="s">
        <v>360</v>
      </c>
      <c r="AK252" s="5" t="s">
        <v>360</v>
      </c>
      <c r="AL252" s="5" t="s">
        <v>360</v>
      </c>
      <c r="AM252" s="5" t="s">
        <v>360</v>
      </c>
      <c r="AN252" s="5" t="s">
        <v>360</v>
      </c>
      <c r="AO252" s="5" t="s">
        <v>360</v>
      </c>
      <c r="AP252" s="43">
        <f t="shared" si="87"/>
        <v>1.0877427267339999</v>
      </c>
      <c r="AQ252" s="44">
        <v>1464</v>
      </c>
      <c r="AR252" s="35">
        <f t="shared" si="80"/>
        <v>399.27272727272725</v>
      </c>
      <c r="AS252" s="35">
        <f t="shared" si="81"/>
        <v>434.3</v>
      </c>
      <c r="AT252" s="35">
        <f t="shared" si="82"/>
        <v>35.027272727272759</v>
      </c>
      <c r="AU252" s="35">
        <v>107.4</v>
      </c>
      <c r="AV252" s="35">
        <v>114.2</v>
      </c>
      <c r="AW252" s="35"/>
      <c r="AX252" s="35">
        <f t="shared" si="83"/>
        <v>212.7</v>
      </c>
      <c r="AY252" s="35"/>
      <c r="AZ252" s="35">
        <f t="shared" si="84"/>
        <v>212.7</v>
      </c>
      <c r="BA252" s="35">
        <v>0</v>
      </c>
      <c r="BB252" s="35">
        <f t="shared" si="88"/>
        <v>212.7</v>
      </c>
      <c r="BC252" s="35"/>
      <c r="BD252" s="35">
        <f t="shared" si="85"/>
        <v>212.7</v>
      </c>
      <c r="BE252" s="35">
        <v>221</v>
      </c>
      <c r="BF252" s="35">
        <f t="shared" si="86"/>
        <v>-8.3000000000000007</v>
      </c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10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10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10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10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10"/>
      <c r="HA252" s="9"/>
      <c r="HB252" s="9"/>
    </row>
    <row r="253" spans="1:210" s="2" customFormat="1" ht="17.149999999999999" customHeight="1">
      <c r="A253" s="14" t="s">
        <v>237</v>
      </c>
      <c r="B253" s="63">
        <v>0</v>
      </c>
      <c r="C253" s="63">
        <v>0</v>
      </c>
      <c r="D253" s="4">
        <f t="shared" si="76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255</v>
      </c>
      <c r="O253" s="35">
        <v>286.89999999999998</v>
      </c>
      <c r="P253" s="4">
        <f t="shared" si="77"/>
        <v>1.1250980392156862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82">
        <v>1336</v>
      </c>
      <c r="W253" s="82">
        <v>1113</v>
      </c>
      <c r="X253" s="4">
        <f t="shared" si="78"/>
        <v>0.83308383233532934</v>
      </c>
      <c r="Y253" s="5">
        <v>5</v>
      </c>
      <c r="Z253" s="5">
        <v>102</v>
      </c>
      <c r="AA253" s="5">
        <v>102</v>
      </c>
      <c r="AB253" s="4">
        <f t="shared" si="79"/>
        <v>1</v>
      </c>
      <c r="AC253" s="5">
        <v>20</v>
      </c>
      <c r="AD253" s="5" t="s">
        <v>360</v>
      </c>
      <c r="AE253" s="5" t="s">
        <v>360</v>
      </c>
      <c r="AF253" s="5" t="s">
        <v>360</v>
      </c>
      <c r="AG253" s="5" t="s">
        <v>360</v>
      </c>
      <c r="AH253" s="5" t="s">
        <v>360</v>
      </c>
      <c r="AI253" s="5" t="s">
        <v>360</v>
      </c>
      <c r="AJ253" s="5" t="s">
        <v>360</v>
      </c>
      <c r="AK253" s="5" t="s">
        <v>360</v>
      </c>
      <c r="AL253" s="5" t="s">
        <v>360</v>
      </c>
      <c r="AM253" s="5" t="s">
        <v>360</v>
      </c>
      <c r="AN253" s="5" t="s">
        <v>360</v>
      </c>
      <c r="AO253" s="5" t="s">
        <v>360</v>
      </c>
      <c r="AP253" s="43">
        <f t="shared" si="87"/>
        <v>1.0370528876886749</v>
      </c>
      <c r="AQ253" s="44">
        <v>1312</v>
      </c>
      <c r="AR253" s="35">
        <f t="shared" si="80"/>
        <v>357.81818181818181</v>
      </c>
      <c r="AS253" s="35">
        <f t="shared" si="81"/>
        <v>371.1</v>
      </c>
      <c r="AT253" s="35">
        <f t="shared" si="82"/>
        <v>13.28181818181821</v>
      </c>
      <c r="AU253" s="35">
        <v>56.9</v>
      </c>
      <c r="AV253" s="35">
        <v>152.9</v>
      </c>
      <c r="AW253" s="35"/>
      <c r="AX253" s="35">
        <f t="shared" si="83"/>
        <v>161.30000000000001</v>
      </c>
      <c r="AY253" s="35"/>
      <c r="AZ253" s="35">
        <f t="shared" si="84"/>
        <v>161.30000000000001</v>
      </c>
      <c r="BA253" s="35">
        <v>0</v>
      </c>
      <c r="BB253" s="35">
        <f t="shared" si="88"/>
        <v>161.30000000000001</v>
      </c>
      <c r="BC253" s="35"/>
      <c r="BD253" s="35">
        <f t="shared" si="85"/>
        <v>161.30000000000001</v>
      </c>
      <c r="BE253" s="35">
        <v>170.4</v>
      </c>
      <c r="BF253" s="35">
        <f t="shared" si="86"/>
        <v>-9.1</v>
      </c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10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10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10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10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10"/>
      <c r="HA253" s="9"/>
      <c r="HB253" s="9"/>
    </row>
    <row r="254" spans="1:210" s="2" customFormat="1" ht="17.149999999999999" customHeight="1">
      <c r="A254" s="14" t="s">
        <v>238</v>
      </c>
      <c r="B254" s="63">
        <v>0</v>
      </c>
      <c r="C254" s="63">
        <v>0</v>
      </c>
      <c r="D254" s="4">
        <f t="shared" si="76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349.4</v>
      </c>
      <c r="O254" s="35">
        <v>303.89999999999998</v>
      </c>
      <c r="P254" s="4">
        <f t="shared" si="77"/>
        <v>0.86977676016027472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82">
        <v>478</v>
      </c>
      <c r="W254" s="82">
        <v>461</v>
      </c>
      <c r="X254" s="4">
        <f t="shared" si="78"/>
        <v>0.96443514644351469</v>
      </c>
      <c r="Y254" s="5">
        <v>5</v>
      </c>
      <c r="Z254" s="5">
        <v>206</v>
      </c>
      <c r="AA254" s="5">
        <v>186</v>
      </c>
      <c r="AB254" s="4">
        <f t="shared" si="79"/>
        <v>0.90291262135922334</v>
      </c>
      <c r="AC254" s="5">
        <v>20</v>
      </c>
      <c r="AD254" s="5" t="s">
        <v>360</v>
      </c>
      <c r="AE254" s="5" t="s">
        <v>360</v>
      </c>
      <c r="AF254" s="5" t="s">
        <v>360</v>
      </c>
      <c r="AG254" s="5" t="s">
        <v>360</v>
      </c>
      <c r="AH254" s="5" t="s">
        <v>360</v>
      </c>
      <c r="AI254" s="5" t="s">
        <v>360</v>
      </c>
      <c r="AJ254" s="5" t="s">
        <v>360</v>
      </c>
      <c r="AK254" s="5" t="s">
        <v>360</v>
      </c>
      <c r="AL254" s="5" t="s">
        <v>360</v>
      </c>
      <c r="AM254" s="5" t="s">
        <v>360</v>
      </c>
      <c r="AN254" s="5" t="s">
        <v>360</v>
      </c>
      <c r="AO254" s="5" t="s">
        <v>360</v>
      </c>
      <c r="AP254" s="43">
        <f t="shared" si="87"/>
        <v>0.89502140805794517</v>
      </c>
      <c r="AQ254" s="44">
        <v>1204</v>
      </c>
      <c r="AR254" s="35">
        <f t="shared" si="80"/>
        <v>328.36363636363637</v>
      </c>
      <c r="AS254" s="35">
        <f t="shared" si="81"/>
        <v>293.89999999999998</v>
      </c>
      <c r="AT254" s="35">
        <f t="shared" si="82"/>
        <v>-34.463636363636397</v>
      </c>
      <c r="AU254" s="35">
        <v>76.900000000000006</v>
      </c>
      <c r="AV254" s="35">
        <v>71.2</v>
      </c>
      <c r="AW254" s="35"/>
      <c r="AX254" s="35">
        <f t="shared" si="83"/>
        <v>145.80000000000001</v>
      </c>
      <c r="AY254" s="35"/>
      <c r="AZ254" s="35">
        <f t="shared" si="84"/>
        <v>145.80000000000001</v>
      </c>
      <c r="BA254" s="35">
        <v>0</v>
      </c>
      <c r="BB254" s="35">
        <f t="shared" si="88"/>
        <v>145.80000000000001</v>
      </c>
      <c r="BC254" s="35"/>
      <c r="BD254" s="35">
        <f t="shared" si="85"/>
        <v>145.80000000000001</v>
      </c>
      <c r="BE254" s="35">
        <v>142.9</v>
      </c>
      <c r="BF254" s="35">
        <f t="shared" si="86"/>
        <v>2.9</v>
      </c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10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10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10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10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10"/>
      <c r="HA254" s="9"/>
      <c r="HB254" s="9"/>
    </row>
    <row r="255" spans="1:210" s="2" customFormat="1" ht="17.149999999999999" customHeight="1">
      <c r="A255" s="14" t="s">
        <v>239</v>
      </c>
      <c r="B255" s="63">
        <v>0</v>
      </c>
      <c r="C255" s="63">
        <v>0</v>
      </c>
      <c r="D255" s="4">
        <f t="shared" si="76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237.8</v>
      </c>
      <c r="O255" s="35">
        <v>315.39999999999998</v>
      </c>
      <c r="P255" s="4">
        <f t="shared" si="77"/>
        <v>1.2126324642556769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82">
        <v>3415</v>
      </c>
      <c r="W255" s="82">
        <v>5151</v>
      </c>
      <c r="X255" s="4">
        <f t="shared" si="78"/>
        <v>1.2308345534407028</v>
      </c>
      <c r="Y255" s="5">
        <v>5</v>
      </c>
      <c r="Z255" s="5">
        <v>234</v>
      </c>
      <c r="AA255" s="5">
        <v>267</v>
      </c>
      <c r="AB255" s="4">
        <f t="shared" si="79"/>
        <v>1.141025641025641</v>
      </c>
      <c r="AC255" s="5">
        <v>20</v>
      </c>
      <c r="AD255" s="5" t="s">
        <v>360</v>
      </c>
      <c r="AE255" s="5" t="s">
        <v>360</v>
      </c>
      <c r="AF255" s="5" t="s">
        <v>360</v>
      </c>
      <c r="AG255" s="5" t="s">
        <v>360</v>
      </c>
      <c r="AH255" s="5" t="s">
        <v>360</v>
      </c>
      <c r="AI255" s="5" t="s">
        <v>360</v>
      </c>
      <c r="AJ255" s="5" t="s">
        <v>360</v>
      </c>
      <c r="AK255" s="5" t="s">
        <v>360</v>
      </c>
      <c r="AL255" s="5" t="s">
        <v>360</v>
      </c>
      <c r="AM255" s="5" t="s">
        <v>360</v>
      </c>
      <c r="AN255" s="5" t="s">
        <v>360</v>
      </c>
      <c r="AO255" s="5" t="s">
        <v>360</v>
      </c>
      <c r="AP255" s="43">
        <f t="shared" si="87"/>
        <v>1.1828296638406639</v>
      </c>
      <c r="AQ255" s="44">
        <v>1407</v>
      </c>
      <c r="AR255" s="35">
        <f t="shared" si="80"/>
        <v>383.72727272727275</v>
      </c>
      <c r="AS255" s="35">
        <f t="shared" si="81"/>
        <v>453.9</v>
      </c>
      <c r="AT255" s="35">
        <f t="shared" si="82"/>
        <v>70.172727272727229</v>
      </c>
      <c r="AU255" s="35">
        <v>162.5</v>
      </c>
      <c r="AV255" s="35">
        <v>117.7</v>
      </c>
      <c r="AW255" s="35">
        <v>34.5</v>
      </c>
      <c r="AX255" s="35">
        <f t="shared" si="83"/>
        <v>139.19999999999999</v>
      </c>
      <c r="AY255" s="35"/>
      <c r="AZ255" s="35">
        <f t="shared" si="84"/>
        <v>139.19999999999999</v>
      </c>
      <c r="BA255" s="35">
        <v>0</v>
      </c>
      <c r="BB255" s="35">
        <f t="shared" si="88"/>
        <v>139.19999999999999</v>
      </c>
      <c r="BC255" s="35"/>
      <c r="BD255" s="35">
        <f t="shared" si="85"/>
        <v>139.19999999999999</v>
      </c>
      <c r="BE255" s="35">
        <v>136.9</v>
      </c>
      <c r="BF255" s="35">
        <f t="shared" si="86"/>
        <v>2.2999999999999998</v>
      </c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10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10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10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10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10"/>
      <c r="HA255" s="9"/>
      <c r="HB255" s="9"/>
    </row>
    <row r="256" spans="1:210" s="2" customFormat="1" ht="17.149999999999999" customHeight="1">
      <c r="A256" s="14" t="s">
        <v>240</v>
      </c>
      <c r="B256" s="63">
        <v>0</v>
      </c>
      <c r="C256" s="63">
        <v>0</v>
      </c>
      <c r="D256" s="4">
        <f t="shared" si="76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545.5</v>
      </c>
      <c r="O256" s="35">
        <v>514.29999999999995</v>
      </c>
      <c r="P256" s="4">
        <f t="shared" si="77"/>
        <v>0.94280476626947751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82">
        <v>4592</v>
      </c>
      <c r="W256" s="82">
        <v>4386</v>
      </c>
      <c r="X256" s="4">
        <f t="shared" si="78"/>
        <v>0.95513937282229966</v>
      </c>
      <c r="Y256" s="5">
        <v>5</v>
      </c>
      <c r="Z256" s="5">
        <v>751</v>
      </c>
      <c r="AA256" s="5">
        <v>792</v>
      </c>
      <c r="AB256" s="4">
        <f t="shared" si="79"/>
        <v>1.0545938748335553</v>
      </c>
      <c r="AC256" s="5">
        <v>20</v>
      </c>
      <c r="AD256" s="5" t="s">
        <v>360</v>
      </c>
      <c r="AE256" s="5" t="s">
        <v>360</v>
      </c>
      <c r="AF256" s="5" t="s">
        <v>360</v>
      </c>
      <c r="AG256" s="5" t="s">
        <v>360</v>
      </c>
      <c r="AH256" s="5" t="s">
        <v>360</v>
      </c>
      <c r="AI256" s="5" t="s">
        <v>360</v>
      </c>
      <c r="AJ256" s="5" t="s">
        <v>360</v>
      </c>
      <c r="AK256" s="5" t="s">
        <v>360</v>
      </c>
      <c r="AL256" s="5" t="s">
        <v>360</v>
      </c>
      <c r="AM256" s="5" t="s">
        <v>360</v>
      </c>
      <c r="AN256" s="5" t="s">
        <v>360</v>
      </c>
      <c r="AO256" s="5" t="s">
        <v>360</v>
      </c>
      <c r="AP256" s="43">
        <f t="shared" si="87"/>
        <v>0.99385932635938135</v>
      </c>
      <c r="AQ256" s="44">
        <v>1236</v>
      </c>
      <c r="AR256" s="35">
        <f t="shared" si="80"/>
        <v>337.09090909090907</v>
      </c>
      <c r="AS256" s="35">
        <f t="shared" si="81"/>
        <v>335</v>
      </c>
      <c r="AT256" s="35">
        <f t="shared" si="82"/>
        <v>-2.0909090909090651</v>
      </c>
      <c r="AU256" s="35">
        <v>139.4</v>
      </c>
      <c r="AV256" s="35">
        <v>45</v>
      </c>
      <c r="AW256" s="35">
        <v>23.1</v>
      </c>
      <c r="AX256" s="35">
        <f t="shared" si="83"/>
        <v>127.5</v>
      </c>
      <c r="AY256" s="35"/>
      <c r="AZ256" s="35">
        <f t="shared" si="84"/>
        <v>127.5</v>
      </c>
      <c r="BA256" s="35">
        <v>0</v>
      </c>
      <c r="BB256" s="35">
        <f t="shared" si="88"/>
        <v>127.5</v>
      </c>
      <c r="BC256" s="35"/>
      <c r="BD256" s="35">
        <f t="shared" si="85"/>
        <v>127.5</v>
      </c>
      <c r="BE256" s="35">
        <v>129.19999999999999</v>
      </c>
      <c r="BF256" s="35">
        <f t="shared" si="86"/>
        <v>-1.7</v>
      </c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10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10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10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10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10"/>
      <c r="HA256" s="9"/>
      <c r="HB256" s="9"/>
    </row>
    <row r="257" spans="1:210" s="2" customFormat="1" ht="17.149999999999999" customHeight="1">
      <c r="A257" s="14" t="s">
        <v>241</v>
      </c>
      <c r="B257" s="63">
        <v>27508</v>
      </c>
      <c r="C257" s="63">
        <v>31194.5</v>
      </c>
      <c r="D257" s="4">
        <f t="shared" si="76"/>
        <v>1.1340155591100771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679.8</v>
      </c>
      <c r="O257" s="35">
        <v>762.4</v>
      </c>
      <c r="P257" s="4">
        <f t="shared" si="77"/>
        <v>1.1215063253898205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82">
        <v>31038</v>
      </c>
      <c r="W257" s="82">
        <v>32146</v>
      </c>
      <c r="X257" s="4">
        <f t="shared" si="78"/>
        <v>1.0356981764288937</v>
      </c>
      <c r="Y257" s="5">
        <v>5</v>
      </c>
      <c r="Z257" s="5">
        <v>59</v>
      </c>
      <c r="AA257" s="5">
        <v>64</v>
      </c>
      <c r="AB257" s="4">
        <f t="shared" si="79"/>
        <v>1.0847457627118644</v>
      </c>
      <c r="AC257" s="5">
        <v>20</v>
      </c>
      <c r="AD257" s="5" t="s">
        <v>360</v>
      </c>
      <c r="AE257" s="5" t="s">
        <v>360</v>
      </c>
      <c r="AF257" s="5" t="s">
        <v>360</v>
      </c>
      <c r="AG257" s="5" t="s">
        <v>360</v>
      </c>
      <c r="AH257" s="5" t="s">
        <v>360</v>
      </c>
      <c r="AI257" s="5" t="s">
        <v>360</v>
      </c>
      <c r="AJ257" s="5" t="s">
        <v>360</v>
      </c>
      <c r="AK257" s="5" t="s">
        <v>360</v>
      </c>
      <c r="AL257" s="5" t="s">
        <v>360</v>
      </c>
      <c r="AM257" s="5" t="s">
        <v>360</v>
      </c>
      <c r="AN257" s="5" t="s">
        <v>360</v>
      </c>
      <c r="AO257" s="5" t="s">
        <v>360</v>
      </c>
      <c r="AP257" s="43">
        <f t="shared" si="87"/>
        <v>1.099472208794571</v>
      </c>
      <c r="AQ257" s="44">
        <v>1441</v>
      </c>
      <c r="AR257" s="35">
        <f t="shared" si="80"/>
        <v>393</v>
      </c>
      <c r="AS257" s="35">
        <f t="shared" si="81"/>
        <v>432.1</v>
      </c>
      <c r="AT257" s="35">
        <f t="shared" si="82"/>
        <v>39.100000000000023</v>
      </c>
      <c r="AU257" s="35">
        <v>103.1</v>
      </c>
      <c r="AV257" s="35">
        <v>157.9</v>
      </c>
      <c r="AW257" s="35"/>
      <c r="AX257" s="35">
        <f t="shared" si="83"/>
        <v>171.1</v>
      </c>
      <c r="AY257" s="35"/>
      <c r="AZ257" s="35">
        <f t="shared" si="84"/>
        <v>171.1</v>
      </c>
      <c r="BA257" s="35">
        <v>0</v>
      </c>
      <c r="BB257" s="35">
        <f t="shared" si="88"/>
        <v>171.1</v>
      </c>
      <c r="BC257" s="35"/>
      <c r="BD257" s="35">
        <f t="shared" si="85"/>
        <v>171.1</v>
      </c>
      <c r="BE257" s="35">
        <v>173.9</v>
      </c>
      <c r="BF257" s="35">
        <f t="shared" si="86"/>
        <v>-2.8</v>
      </c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10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10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10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10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10"/>
      <c r="HA257" s="9"/>
      <c r="HB257" s="9"/>
    </row>
    <row r="258" spans="1:210" s="2" customFormat="1" ht="17.149999999999999" customHeight="1">
      <c r="A258" s="14" t="s">
        <v>242</v>
      </c>
      <c r="B258" s="63">
        <v>0</v>
      </c>
      <c r="C258" s="63">
        <v>0</v>
      </c>
      <c r="D258" s="4">
        <f t="shared" si="76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204.5</v>
      </c>
      <c r="O258" s="35">
        <v>272</v>
      </c>
      <c r="P258" s="4">
        <f t="shared" si="77"/>
        <v>1.2130073349633252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82">
        <v>5739</v>
      </c>
      <c r="W258" s="82">
        <v>5446</v>
      </c>
      <c r="X258" s="4">
        <f t="shared" si="78"/>
        <v>0.9489458093744555</v>
      </c>
      <c r="Y258" s="5">
        <v>5</v>
      </c>
      <c r="Z258" s="5">
        <v>133</v>
      </c>
      <c r="AA258" s="5">
        <v>97</v>
      </c>
      <c r="AB258" s="4">
        <f t="shared" si="79"/>
        <v>0.72932330827067671</v>
      </c>
      <c r="AC258" s="5">
        <v>20</v>
      </c>
      <c r="AD258" s="5" t="s">
        <v>360</v>
      </c>
      <c r="AE258" s="5" t="s">
        <v>360</v>
      </c>
      <c r="AF258" s="5" t="s">
        <v>360</v>
      </c>
      <c r="AG258" s="5" t="s">
        <v>360</v>
      </c>
      <c r="AH258" s="5" t="s">
        <v>360</v>
      </c>
      <c r="AI258" s="5" t="s">
        <v>360</v>
      </c>
      <c r="AJ258" s="5" t="s">
        <v>360</v>
      </c>
      <c r="AK258" s="5" t="s">
        <v>360</v>
      </c>
      <c r="AL258" s="5" t="s">
        <v>360</v>
      </c>
      <c r="AM258" s="5" t="s">
        <v>360</v>
      </c>
      <c r="AN258" s="5" t="s">
        <v>360</v>
      </c>
      <c r="AO258" s="5" t="s">
        <v>360</v>
      </c>
      <c r="AP258" s="43">
        <f t="shared" si="87"/>
        <v>0.96869648692338484</v>
      </c>
      <c r="AQ258" s="44">
        <v>1130</v>
      </c>
      <c r="AR258" s="35">
        <f t="shared" si="80"/>
        <v>308.18181818181819</v>
      </c>
      <c r="AS258" s="35">
        <f t="shared" si="81"/>
        <v>298.5</v>
      </c>
      <c r="AT258" s="35">
        <f t="shared" si="82"/>
        <v>-9.681818181818187</v>
      </c>
      <c r="AU258" s="35">
        <v>127.1</v>
      </c>
      <c r="AV258" s="35">
        <v>112.3</v>
      </c>
      <c r="AW258" s="35">
        <v>11.8</v>
      </c>
      <c r="AX258" s="35">
        <f t="shared" si="83"/>
        <v>47.3</v>
      </c>
      <c r="AY258" s="35"/>
      <c r="AZ258" s="35">
        <f t="shared" si="84"/>
        <v>47.3</v>
      </c>
      <c r="BA258" s="35">
        <v>0</v>
      </c>
      <c r="BB258" s="35">
        <f t="shared" si="88"/>
        <v>47.3</v>
      </c>
      <c r="BC258" s="35"/>
      <c r="BD258" s="35">
        <f t="shared" si="85"/>
        <v>47.3</v>
      </c>
      <c r="BE258" s="35">
        <v>48.1</v>
      </c>
      <c r="BF258" s="35">
        <f t="shared" si="86"/>
        <v>-0.8</v>
      </c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10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10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10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10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10"/>
      <c r="HA258" s="9"/>
      <c r="HB258" s="9"/>
    </row>
    <row r="259" spans="1:210" s="2" customFormat="1" ht="17.149999999999999" customHeight="1">
      <c r="A259" s="14" t="s">
        <v>243</v>
      </c>
      <c r="B259" s="63">
        <v>4560</v>
      </c>
      <c r="C259" s="63">
        <v>3362</v>
      </c>
      <c r="D259" s="4">
        <f t="shared" si="76"/>
        <v>0.73728070175438598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1538.1</v>
      </c>
      <c r="O259" s="35">
        <v>1517.2</v>
      </c>
      <c r="P259" s="4">
        <f t="shared" si="77"/>
        <v>0.98641180677459217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82">
        <v>13103</v>
      </c>
      <c r="W259" s="82">
        <v>18739</v>
      </c>
      <c r="X259" s="4">
        <f t="shared" si="78"/>
        <v>1.2230130504464627</v>
      </c>
      <c r="Y259" s="5">
        <v>5</v>
      </c>
      <c r="Z259" s="5">
        <v>1051</v>
      </c>
      <c r="AA259" s="5">
        <v>1051</v>
      </c>
      <c r="AB259" s="4">
        <f t="shared" si="79"/>
        <v>1</v>
      </c>
      <c r="AC259" s="5">
        <v>20</v>
      </c>
      <c r="AD259" s="5" t="s">
        <v>360</v>
      </c>
      <c r="AE259" s="5" t="s">
        <v>360</v>
      </c>
      <c r="AF259" s="5" t="s">
        <v>360</v>
      </c>
      <c r="AG259" s="5" t="s">
        <v>360</v>
      </c>
      <c r="AH259" s="5" t="s">
        <v>360</v>
      </c>
      <c r="AI259" s="5" t="s">
        <v>360</v>
      </c>
      <c r="AJ259" s="5" t="s">
        <v>360</v>
      </c>
      <c r="AK259" s="5" t="s">
        <v>360</v>
      </c>
      <c r="AL259" s="5" t="s">
        <v>360</v>
      </c>
      <c r="AM259" s="5" t="s">
        <v>360</v>
      </c>
      <c r="AN259" s="5" t="s">
        <v>360</v>
      </c>
      <c r="AO259" s="5" t="s">
        <v>360</v>
      </c>
      <c r="AP259" s="43">
        <f t="shared" si="87"/>
        <v>0.9905940979299217</v>
      </c>
      <c r="AQ259" s="44">
        <v>1587</v>
      </c>
      <c r="AR259" s="35">
        <f t="shared" si="80"/>
        <v>432.81818181818187</v>
      </c>
      <c r="AS259" s="35">
        <f t="shared" si="81"/>
        <v>428.7</v>
      </c>
      <c r="AT259" s="35">
        <f t="shared" si="82"/>
        <v>-4.1181818181818812</v>
      </c>
      <c r="AU259" s="35">
        <v>182.8</v>
      </c>
      <c r="AV259" s="35">
        <v>70.2</v>
      </c>
      <c r="AW259" s="35">
        <v>4.4000000000000004</v>
      </c>
      <c r="AX259" s="35">
        <f t="shared" si="83"/>
        <v>171.3</v>
      </c>
      <c r="AY259" s="35"/>
      <c r="AZ259" s="35">
        <f t="shared" si="84"/>
        <v>171.3</v>
      </c>
      <c r="BA259" s="35">
        <v>0</v>
      </c>
      <c r="BB259" s="35">
        <f t="shared" si="88"/>
        <v>171.3</v>
      </c>
      <c r="BC259" s="35"/>
      <c r="BD259" s="35">
        <f t="shared" si="85"/>
        <v>171.3</v>
      </c>
      <c r="BE259" s="35">
        <v>160.19999999999999</v>
      </c>
      <c r="BF259" s="35">
        <f t="shared" si="86"/>
        <v>11.1</v>
      </c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10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10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10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10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10"/>
      <c r="HA259" s="9"/>
      <c r="HB259" s="9"/>
    </row>
    <row r="260" spans="1:210" s="2" customFormat="1" ht="17.149999999999999" customHeight="1">
      <c r="A260" s="14" t="s">
        <v>244</v>
      </c>
      <c r="B260" s="63">
        <v>0</v>
      </c>
      <c r="C260" s="63">
        <v>0</v>
      </c>
      <c r="D260" s="4">
        <f t="shared" si="76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472.6</v>
      </c>
      <c r="O260" s="35">
        <v>692.4</v>
      </c>
      <c r="P260" s="4">
        <f t="shared" si="77"/>
        <v>1.2265086754126111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82">
        <v>13794</v>
      </c>
      <c r="W260" s="82">
        <v>12072</v>
      </c>
      <c r="X260" s="4">
        <f t="shared" si="78"/>
        <v>0.87516311439756411</v>
      </c>
      <c r="Y260" s="5">
        <v>5</v>
      </c>
      <c r="Z260" s="5">
        <v>567</v>
      </c>
      <c r="AA260" s="5">
        <v>480</v>
      </c>
      <c r="AB260" s="4">
        <f t="shared" si="79"/>
        <v>0.84656084656084651</v>
      </c>
      <c r="AC260" s="5">
        <v>20</v>
      </c>
      <c r="AD260" s="5" t="s">
        <v>360</v>
      </c>
      <c r="AE260" s="5" t="s">
        <v>360</v>
      </c>
      <c r="AF260" s="5" t="s">
        <v>360</v>
      </c>
      <c r="AG260" s="5" t="s">
        <v>360</v>
      </c>
      <c r="AH260" s="5" t="s">
        <v>360</v>
      </c>
      <c r="AI260" s="5" t="s">
        <v>360</v>
      </c>
      <c r="AJ260" s="5" t="s">
        <v>360</v>
      </c>
      <c r="AK260" s="5" t="s">
        <v>360</v>
      </c>
      <c r="AL260" s="5" t="s">
        <v>360</v>
      </c>
      <c r="AM260" s="5" t="s">
        <v>360</v>
      </c>
      <c r="AN260" s="5" t="s">
        <v>360</v>
      </c>
      <c r="AO260" s="5" t="s">
        <v>360</v>
      </c>
      <c r="AP260" s="43">
        <f t="shared" si="87"/>
        <v>1.0186045780323771</v>
      </c>
      <c r="AQ260" s="44">
        <v>1800</v>
      </c>
      <c r="AR260" s="35">
        <f t="shared" si="80"/>
        <v>490.90909090909088</v>
      </c>
      <c r="AS260" s="35">
        <f t="shared" si="81"/>
        <v>500</v>
      </c>
      <c r="AT260" s="35">
        <f t="shared" si="82"/>
        <v>9.0909090909091219</v>
      </c>
      <c r="AU260" s="35">
        <v>177.8</v>
      </c>
      <c r="AV260" s="35">
        <v>169.7</v>
      </c>
      <c r="AW260" s="35"/>
      <c r="AX260" s="35">
        <f t="shared" si="83"/>
        <v>152.5</v>
      </c>
      <c r="AY260" s="35"/>
      <c r="AZ260" s="35">
        <f t="shared" si="84"/>
        <v>152.5</v>
      </c>
      <c r="BA260" s="35">
        <v>0</v>
      </c>
      <c r="BB260" s="35">
        <f t="shared" si="88"/>
        <v>152.5</v>
      </c>
      <c r="BC260" s="35"/>
      <c r="BD260" s="35">
        <f t="shared" si="85"/>
        <v>152.5</v>
      </c>
      <c r="BE260" s="35">
        <v>161.30000000000001</v>
      </c>
      <c r="BF260" s="35">
        <f t="shared" si="86"/>
        <v>-8.8000000000000007</v>
      </c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10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10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10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10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10"/>
      <c r="HA260" s="9"/>
      <c r="HB260" s="9"/>
    </row>
    <row r="261" spans="1:210" s="2" customFormat="1" ht="17.149999999999999" customHeight="1">
      <c r="A261" s="14" t="s">
        <v>245</v>
      </c>
      <c r="B261" s="63">
        <v>0</v>
      </c>
      <c r="C261" s="63">
        <v>0</v>
      </c>
      <c r="D261" s="4">
        <f t="shared" si="76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268.3</v>
      </c>
      <c r="O261" s="35">
        <v>329</v>
      </c>
      <c r="P261" s="4">
        <f t="shared" si="77"/>
        <v>1.2026239284383153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82">
        <v>1300</v>
      </c>
      <c r="W261" s="82">
        <v>1432</v>
      </c>
      <c r="X261" s="4">
        <f t="shared" si="78"/>
        <v>1.1015384615384616</v>
      </c>
      <c r="Y261" s="5">
        <v>5</v>
      </c>
      <c r="Z261" s="5">
        <v>257</v>
      </c>
      <c r="AA261" s="5">
        <v>320</v>
      </c>
      <c r="AB261" s="4">
        <f t="shared" si="79"/>
        <v>1.2045136186770429</v>
      </c>
      <c r="AC261" s="5">
        <v>20</v>
      </c>
      <c r="AD261" s="5" t="s">
        <v>360</v>
      </c>
      <c r="AE261" s="5" t="s">
        <v>360</v>
      </c>
      <c r="AF261" s="5" t="s">
        <v>360</v>
      </c>
      <c r="AG261" s="5" t="s">
        <v>360</v>
      </c>
      <c r="AH261" s="5" t="s">
        <v>360</v>
      </c>
      <c r="AI261" s="5" t="s">
        <v>360</v>
      </c>
      <c r="AJ261" s="5" t="s">
        <v>360</v>
      </c>
      <c r="AK261" s="5" t="s">
        <v>360</v>
      </c>
      <c r="AL261" s="5" t="s">
        <v>360</v>
      </c>
      <c r="AM261" s="5" t="s">
        <v>360</v>
      </c>
      <c r="AN261" s="5" t="s">
        <v>360</v>
      </c>
      <c r="AO261" s="5" t="s">
        <v>360</v>
      </c>
      <c r="AP261" s="43">
        <f t="shared" si="87"/>
        <v>1.1922320722222104</v>
      </c>
      <c r="AQ261" s="44">
        <v>1008</v>
      </c>
      <c r="AR261" s="35">
        <f t="shared" si="80"/>
        <v>274.90909090909093</v>
      </c>
      <c r="AS261" s="35">
        <f t="shared" si="81"/>
        <v>327.8</v>
      </c>
      <c r="AT261" s="35">
        <f t="shared" si="82"/>
        <v>52.890909090909076</v>
      </c>
      <c r="AU261" s="35">
        <v>113.1</v>
      </c>
      <c r="AV261" s="35">
        <v>83.2</v>
      </c>
      <c r="AW261" s="35">
        <v>10.3</v>
      </c>
      <c r="AX261" s="35">
        <f t="shared" si="83"/>
        <v>121.2</v>
      </c>
      <c r="AY261" s="35"/>
      <c r="AZ261" s="35">
        <f t="shared" si="84"/>
        <v>121.2</v>
      </c>
      <c r="BA261" s="35">
        <v>0</v>
      </c>
      <c r="BB261" s="35">
        <f t="shared" si="88"/>
        <v>121.2</v>
      </c>
      <c r="BC261" s="35"/>
      <c r="BD261" s="35">
        <f t="shared" si="85"/>
        <v>121.2</v>
      </c>
      <c r="BE261" s="35">
        <v>124.3</v>
      </c>
      <c r="BF261" s="35">
        <f t="shared" si="86"/>
        <v>-3.1</v>
      </c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10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10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10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10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10"/>
      <c r="HA261" s="9"/>
      <c r="HB261" s="9"/>
    </row>
    <row r="262" spans="1:210" s="2" customFormat="1" ht="17.149999999999999" customHeight="1">
      <c r="A262" s="14" t="s">
        <v>246</v>
      </c>
      <c r="B262" s="63">
        <v>0</v>
      </c>
      <c r="C262" s="63">
        <v>0</v>
      </c>
      <c r="D262" s="4">
        <f t="shared" si="76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433</v>
      </c>
      <c r="O262" s="35">
        <v>359.2</v>
      </c>
      <c r="P262" s="4">
        <f t="shared" si="77"/>
        <v>0.82956120092378749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82">
        <v>3742</v>
      </c>
      <c r="W262" s="82">
        <v>2718</v>
      </c>
      <c r="X262" s="4">
        <f t="shared" si="78"/>
        <v>0.726349545697488</v>
      </c>
      <c r="Y262" s="5">
        <v>5</v>
      </c>
      <c r="Z262" s="5">
        <v>35</v>
      </c>
      <c r="AA262" s="5">
        <v>35</v>
      </c>
      <c r="AB262" s="4">
        <f t="shared" si="79"/>
        <v>1</v>
      </c>
      <c r="AC262" s="5">
        <v>20</v>
      </c>
      <c r="AD262" s="5" t="s">
        <v>360</v>
      </c>
      <c r="AE262" s="5" t="s">
        <v>360</v>
      </c>
      <c r="AF262" s="5" t="s">
        <v>360</v>
      </c>
      <c r="AG262" s="5" t="s">
        <v>360</v>
      </c>
      <c r="AH262" s="5" t="s">
        <v>360</v>
      </c>
      <c r="AI262" s="5" t="s">
        <v>360</v>
      </c>
      <c r="AJ262" s="5" t="s">
        <v>360</v>
      </c>
      <c r="AK262" s="5" t="s">
        <v>360</v>
      </c>
      <c r="AL262" s="5" t="s">
        <v>360</v>
      </c>
      <c r="AM262" s="5" t="s">
        <v>360</v>
      </c>
      <c r="AN262" s="5" t="s">
        <v>360</v>
      </c>
      <c r="AO262" s="5" t="s">
        <v>360</v>
      </c>
      <c r="AP262" s="43">
        <f t="shared" si="87"/>
        <v>0.893843816599182</v>
      </c>
      <c r="AQ262" s="44">
        <v>907</v>
      </c>
      <c r="AR262" s="35">
        <f t="shared" si="80"/>
        <v>247.36363636363637</v>
      </c>
      <c r="AS262" s="35">
        <f t="shared" si="81"/>
        <v>221.1</v>
      </c>
      <c r="AT262" s="35">
        <f t="shared" si="82"/>
        <v>-26.26363636363638</v>
      </c>
      <c r="AU262" s="35">
        <v>87.1</v>
      </c>
      <c r="AV262" s="35">
        <v>44.3</v>
      </c>
      <c r="AW262" s="35"/>
      <c r="AX262" s="35">
        <f t="shared" si="83"/>
        <v>89.7</v>
      </c>
      <c r="AY262" s="35"/>
      <c r="AZ262" s="35">
        <f t="shared" si="84"/>
        <v>89.7</v>
      </c>
      <c r="BA262" s="35">
        <v>0</v>
      </c>
      <c r="BB262" s="35">
        <f t="shared" si="88"/>
        <v>89.7</v>
      </c>
      <c r="BC262" s="35"/>
      <c r="BD262" s="35">
        <f t="shared" si="85"/>
        <v>89.7</v>
      </c>
      <c r="BE262" s="35">
        <v>94.9</v>
      </c>
      <c r="BF262" s="35">
        <f t="shared" si="86"/>
        <v>-5.2</v>
      </c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10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10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10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10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10"/>
      <c r="HA262" s="9"/>
      <c r="HB262" s="9"/>
    </row>
    <row r="263" spans="1:210" s="2" customFormat="1" ht="17.149999999999999" customHeight="1">
      <c r="A263" s="14" t="s">
        <v>247</v>
      </c>
      <c r="B263" s="63">
        <v>7268</v>
      </c>
      <c r="C263" s="63">
        <v>7599</v>
      </c>
      <c r="D263" s="4">
        <f t="shared" si="76"/>
        <v>1.0455421023665383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510.7</v>
      </c>
      <c r="O263" s="35">
        <v>484.9</v>
      </c>
      <c r="P263" s="4">
        <f t="shared" si="77"/>
        <v>0.94948110436655564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82">
        <v>3348</v>
      </c>
      <c r="W263" s="82">
        <v>4208</v>
      </c>
      <c r="X263" s="4">
        <f t="shared" si="78"/>
        <v>1.2056869772998804</v>
      </c>
      <c r="Y263" s="5">
        <v>5</v>
      </c>
      <c r="Z263" s="5">
        <v>222</v>
      </c>
      <c r="AA263" s="5">
        <v>228</v>
      </c>
      <c r="AB263" s="4">
        <f t="shared" si="79"/>
        <v>1.027027027027027</v>
      </c>
      <c r="AC263" s="5">
        <v>20</v>
      </c>
      <c r="AD263" s="5" t="s">
        <v>360</v>
      </c>
      <c r="AE263" s="5" t="s">
        <v>360</v>
      </c>
      <c r="AF263" s="5" t="s">
        <v>360</v>
      </c>
      <c r="AG263" s="5" t="s">
        <v>360</v>
      </c>
      <c r="AH263" s="5" t="s">
        <v>360</v>
      </c>
      <c r="AI263" s="5" t="s">
        <v>360</v>
      </c>
      <c r="AJ263" s="5" t="s">
        <v>360</v>
      </c>
      <c r="AK263" s="5" t="s">
        <v>360</v>
      </c>
      <c r="AL263" s="5" t="s">
        <v>360</v>
      </c>
      <c r="AM263" s="5" t="s">
        <v>360</v>
      </c>
      <c r="AN263" s="5" t="s">
        <v>360</v>
      </c>
      <c r="AO263" s="5" t="s">
        <v>360</v>
      </c>
      <c r="AP263" s="43">
        <f t="shared" si="87"/>
        <v>1.0157261605240748</v>
      </c>
      <c r="AQ263" s="44">
        <v>1189</v>
      </c>
      <c r="AR263" s="35">
        <f t="shared" si="80"/>
        <v>324.27272727272725</v>
      </c>
      <c r="AS263" s="35">
        <f t="shared" si="81"/>
        <v>329.4</v>
      </c>
      <c r="AT263" s="35">
        <f t="shared" si="82"/>
        <v>5.1272727272727252</v>
      </c>
      <c r="AU263" s="35">
        <v>134.30000000000001</v>
      </c>
      <c r="AV263" s="35">
        <v>50.3</v>
      </c>
      <c r="AW263" s="35"/>
      <c r="AX263" s="35">
        <f t="shared" si="83"/>
        <v>144.80000000000001</v>
      </c>
      <c r="AY263" s="35"/>
      <c r="AZ263" s="35">
        <f t="shared" si="84"/>
        <v>144.80000000000001</v>
      </c>
      <c r="BA263" s="35">
        <v>0</v>
      </c>
      <c r="BB263" s="35">
        <f t="shared" si="88"/>
        <v>144.80000000000001</v>
      </c>
      <c r="BC263" s="35"/>
      <c r="BD263" s="35">
        <f t="shared" si="85"/>
        <v>144.80000000000001</v>
      </c>
      <c r="BE263" s="35">
        <v>137.9</v>
      </c>
      <c r="BF263" s="35">
        <f t="shared" si="86"/>
        <v>6.9</v>
      </c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10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10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10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10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10"/>
      <c r="HA263" s="9"/>
      <c r="HB263" s="9"/>
    </row>
    <row r="264" spans="1:210" s="2" customFormat="1" ht="17.149999999999999" customHeight="1">
      <c r="A264" s="18" t="s">
        <v>248</v>
      </c>
      <c r="B264" s="59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83"/>
      <c r="W264" s="83"/>
      <c r="X264" s="11"/>
      <c r="Y264" s="11"/>
      <c r="Z264" s="11"/>
      <c r="AA264" s="11"/>
      <c r="AB264" s="11"/>
      <c r="AC264" s="11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35"/>
      <c r="BB264" s="35"/>
      <c r="BC264" s="35"/>
      <c r="BD264" s="35"/>
      <c r="BE264" s="35"/>
      <c r="BF264" s="35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10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10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10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10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10"/>
      <c r="HA264" s="9"/>
      <c r="HB264" s="9"/>
    </row>
    <row r="265" spans="1:210" s="2" customFormat="1" ht="16.7" customHeight="1">
      <c r="A265" s="14" t="s">
        <v>249</v>
      </c>
      <c r="B265" s="63">
        <v>0</v>
      </c>
      <c r="C265" s="63">
        <v>0</v>
      </c>
      <c r="D265" s="4">
        <f t="shared" si="76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465.8</v>
      </c>
      <c r="O265" s="35">
        <v>498.3</v>
      </c>
      <c r="P265" s="4">
        <f t="shared" si="77"/>
        <v>1.0697724345212538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82">
        <v>2317</v>
      </c>
      <c r="W265" s="82">
        <v>2326</v>
      </c>
      <c r="X265" s="4">
        <f t="shared" si="78"/>
        <v>1.0038843331894691</v>
      </c>
      <c r="Y265" s="5">
        <v>5</v>
      </c>
      <c r="Z265" s="5">
        <v>394</v>
      </c>
      <c r="AA265" s="5">
        <v>402</v>
      </c>
      <c r="AB265" s="4">
        <f t="shared" si="79"/>
        <v>1.0203045685279188</v>
      </c>
      <c r="AC265" s="5">
        <v>20</v>
      </c>
      <c r="AD265" s="5" t="s">
        <v>360</v>
      </c>
      <c r="AE265" s="5" t="s">
        <v>360</v>
      </c>
      <c r="AF265" s="5" t="s">
        <v>360</v>
      </c>
      <c r="AG265" s="5" t="s">
        <v>360</v>
      </c>
      <c r="AH265" s="5" t="s">
        <v>360</v>
      </c>
      <c r="AI265" s="5" t="s">
        <v>360</v>
      </c>
      <c r="AJ265" s="5" t="s">
        <v>360</v>
      </c>
      <c r="AK265" s="5" t="s">
        <v>360</v>
      </c>
      <c r="AL265" s="5" t="s">
        <v>360</v>
      </c>
      <c r="AM265" s="5" t="s">
        <v>360</v>
      </c>
      <c r="AN265" s="5" t="s">
        <v>360</v>
      </c>
      <c r="AO265" s="5" t="s">
        <v>360</v>
      </c>
      <c r="AP265" s="43">
        <f t="shared" si="87"/>
        <v>1.0404658161540179</v>
      </c>
      <c r="AQ265" s="44">
        <v>1514</v>
      </c>
      <c r="AR265" s="35">
        <f t="shared" si="80"/>
        <v>412.90909090909088</v>
      </c>
      <c r="AS265" s="35">
        <f t="shared" si="81"/>
        <v>429.6</v>
      </c>
      <c r="AT265" s="35">
        <f t="shared" si="82"/>
        <v>16.690909090909145</v>
      </c>
      <c r="AU265" s="35">
        <v>81.2</v>
      </c>
      <c r="AV265" s="35">
        <v>130.9</v>
      </c>
      <c r="AW265" s="35"/>
      <c r="AX265" s="35">
        <f t="shared" si="83"/>
        <v>217.5</v>
      </c>
      <c r="AY265" s="35"/>
      <c r="AZ265" s="35">
        <f t="shared" si="84"/>
        <v>217.5</v>
      </c>
      <c r="BA265" s="35">
        <v>0</v>
      </c>
      <c r="BB265" s="35">
        <f t="shared" si="88"/>
        <v>217.5</v>
      </c>
      <c r="BC265" s="35"/>
      <c r="BD265" s="35">
        <f t="shared" si="85"/>
        <v>217.5</v>
      </c>
      <c r="BE265" s="35">
        <v>219.4</v>
      </c>
      <c r="BF265" s="35">
        <f t="shared" si="86"/>
        <v>-1.9</v>
      </c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10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10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10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10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10"/>
      <c r="HA265" s="9"/>
      <c r="HB265" s="9"/>
    </row>
    <row r="266" spans="1:210" s="2" customFormat="1" ht="17.149999999999999" customHeight="1">
      <c r="A266" s="14" t="s">
        <v>250</v>
      </c>
      <c r="B266" s="63">
        <v>0</v>
      </c>
      <c r="C266" s="63">
        <v>0</v>
      </c>
      <c r="D266" s="4">
        <f t="shared" si="76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116.4</v>
      </c>
      <c r="O266" s="35">
        <v>165.3</v>
      </c>
      <c r="P266" s="4">
        <f t="shared" si="77"/>
        <v>1.2220103092783505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82">
        <v>8276</v>
      </c>
      <c r="W266" s="82">
        <v>7610</v>
      </c>
      <c r="X266" s="4">
        <f t="shared" si="78"/>
        <v>0.9195263412276462</v>
      </c>
      <c r="Y266" s="5">
        <v>5</v>
      </c>
      <c r="Z266" s="5">
        <v>58</v>
      </c>
      <c r="AA266" s="5">
        <v>60</v>
      </c>
      <c r="AB266" s="4">
        <f t="shared" si="79"/>
        <v>1.0344827586206897</v>
      </c>
      <c r="AC266" s="5">
        <v>20</v>
      </c>
      <c r="AD266" s="5" t="s">
        <v>360</v>
      </c>
      <c r="AE266" s="5" t="s">
        <v>360</v>
      </c>
      <c r="AF266" s="5" t="s">
        <v>360</v>
      </c>
      <c r="AG266" s="5" t="s">
        <v>360</v>
      </c>
      <c r="AH266" s="5" t="s">
        <v>360</v>
      </c>
      <c r="AI266" s="5" t="s">
        <v>360</v>
      </c>
      <c r="AJ266" s="5" t="s">
        <v>360</v>
      </c>
      <c r="AK266" s="5" t="s">
        <v>360</v>
      </c>
      <c r="AL266" s="5" t="s">
        <v>360</v>
      </c>
      <c r="AM266" s="5" t="s">
        <v>360</v>
      </c>
      <c r="AN266" s="5" t="s">
        <v>360</v>
      </c>
      <c r="AO266" s="5" t="s">
        <v>360</v>
      </c>
      <c r="AP266" s="43">
        <f t="shared" si="87"/>
        <v>1.1050554014248672</v>
      </c>
      <c r="AQ266" s="44">
        <v>752</v>
      </c>
      <c r="AR266" s="35">
        <f t="shared" si="80"/>
        <v>205.09090909090907</v>
      </c>
      <c r="AS266" s="35">
        <f t="shared" si="81"/>
        <v>226.6</v>
      </c>
      <c r="AT266" s="35">
        <f t="shared" si="82"/>
        <v>21.509090909090929</v>
      </c>
      <c r="AU266" s="35">
        <v>88.9</v>
      </c>
      <c r="AV266" s="35">
        <v>12.6</v>
      </c>
      <c r="AW266" s="35">
        <v>20.7</v>
      </c>
      <c r="AX266" s="35">
        <f t="shared" si="83"/>
        <v>104.4</v>
      </c>
      <c r="AY266" s="35"/>
      <c r="AZ266" s="35">
        <f t="shared" si="84"/>
        <v>104.4</v>
      </c>
      <c r="BA266" s="35">
        <v>0</v>
      </c>
      <c r="BB266" s="35">
        <f t="shared" si="88"/>
        <v>104.4</v>
      </c>
      <c r="BC266" s="35"/>
      <c r="BD266" s="35">
        <f t="shared" si="85"/>
        <v>104.4</v>
      </c>
      <c r="BE266" s="35">
        <v>109.2</v>
      </c>
      <c r="BF266" s="35">
        <f t="shared" si="86"/>
        <v>-4.8</v>
      </c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10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10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10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10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10"/>
      <c r="HA266" s="9"/>
      <c r="HB266" s="9"/>
    </row>
    <row r="267" spans="1:210" s="2" customFormat="1" ht="17.149999999999999" customHeight="1">
      <c r="A267" s="14" t="s">
        <v>251</v>
      </c>
      <c r="B267" s="63">
        <v>0</v>
      </c>
      <c r="C267" s="63">
        <v>0</v>
      </c>
      <c r="D267" s="4">
        <f t="shared" si="76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703.8</v>
      </c>
      <c r="O267" s="35">
        <v>868.3</v>
      </c>
      <c r="P267" s="4">
        <f t="shared" si="77"/>
        <v>1.2033731173628872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82">
        <v>3972</v>
      </c>
      <c r="W267" s="82">
        <v>3606</v>
      </c>
      <c r="X267" s="4">
        <f t="shared" si="78"/>
        <v>0.90785498489425986</v>
      </c>
      <c r="Y267" s="5">
        <v>5</v>
      </c>
      <c r="Z267" s="5">
        <v>454</v>
      </c>
      <c r="AA267" s="5">
        <v>460</v>
      </c>
      <c r="AB267" s="4">
        <f t="shared" si="79"/>
        <v>1.0132158590308371</v>
      </c>
      <c r="AC267" s="5">
        <v>20</v>
      </c>
      <c r="AD267" s="5" t="s">
        <v>360</v>
      </c>
      <c r="AE267" s="5" t="s">
        <v>360</v>
      </c>
      <c r="AF267" s="5" t="s">
        <v>360</v>
      </c>
      <c r="AG267" s="5" t="s">
        <v>360</v>
      </c>
      <c r="AH267" s="5" t="s">
        <v>360</v>
      </c>
      <c r="AI267" s="5" t="s">
        <v>360</v>
      </c>
      <c r="AJ267" s="5" t="s">
        <v>360</v>
      </c>
      <c r="AK267" s="5" t="s">
        <v>360</v>
      </c>
      <c r="AL267" s="5" t="s">
        <v>360</v>
      </c>
      <c r="AM267" s="5" t="s">
        <v>360</v>
      </c>
      <c r="AN267" s="5" t="s">
        <v>360</v>
      </c>
      <c r="AO267" s="5" t="s">
        <v>360</v>
      </c>
      <c r="AP267" s="43">
        <f t="shared" si="87"/>
        <v>1.0860234322743509</v>
      </c>
      <c r="AQ267" s="44">
        <v>1377</v>
      </c>
      <c r="AR267" s="35">
        <f t="shared" si="80"/>
        <v>375.54545454545456</v>
      </c>
      <c r="AS267" s="35">
        <f t="shared" si="81"/>
        <v>407.9</v>
      </c>
      <c r="AT267" s="35">
        <f t="shared" si="82"/>
        <v>32.354545454545416</v>
      </c>
      <c r="AU267" s="35">
        <v>28.1</v>
      </c>
      <c r="AV267" s="35">
        <v>157.6</v>
      </c>
      <c r="AW267" s="35"/>
      <c r="AX267" s="35">
        <f t="shared" si="83"/>
        <v>222.2</v>
      </c>
      <c r="AY267" s="35"/>
      <c r="AZ267" s="35">
        <f t="shared" si="84"/>
        <v>222.2</v>
      </c>
      <c r="BA267" s="35">
        <v>0</v>
      </c>
      <c r="BB267" s="35">
        <f t="shared" si="88"/>
        <v>222.2</v>
      </c>
      <c r="BC267" s="35"/>
      <c r="BD267" s="35">
        <f t="shared" si="85"/>
        <v>222.2</v>
      </c>
      <c r="BE267" s="35">
        <v>230.5</v>
      </c>
      <c r="BF267" s="35">
        <f t="shared" si="86"/>
        <v>-8.3000000000000007</v>
      </c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10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10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10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10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10"/>
      <c r="HA267" s="9"/>
      <c r="HB267" s="9"/>
    </row>
    <row r="268" spans="1:210" s="2" customFormat="1" ht="17.149999999999999" customHeight="1">
      <c r="A268" s="14" t="s">
        <v>252</v>
      </c>
      <c r="B268" s="63">
        <v>0</v>
      </c>
      <c r="C268" s="63">
        <v>0</v>
      </c>
      <c r="D268" s="4">
        <f t="shared" si="76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745.3</v>
      </c>
      <c r="O268" s="35">
        <v>5319.7</v>
      </c>
      <c r="P268" s="4">
        <f t="shared" si="77"/>
        <v>1.3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82">
        <v>22177</v>
      </c>
      <c r="W268" s="82">
        <v>20057</v>
      </c>
      <c r="X268" s="4">
        <f t="shared" si="78"/>
        <v>0.90440546512152231</v>
      </c>
      <c r="Y268" s="5">
        <v>5</v>
      </c>
      <c r="Z268" s="5">
        <v>483</v>
      </c>
      <c r="AA268" s="5">
        <v>613</v>
      </c>
      <c r="AB268" s="4">
        <f t="shared" si="79"/>
        <v>1.2069151138716356</v>
      </c>
      <c r="AC268" s="5">
        <v>20</v>
      </c>
      <c r="AD268" s="5" t="s">
        <v>360</v>
      </c>
      <c r="AE268" s="5" t="s">
        <v>360</v>
      </c>
      <c r="AF268" s="5" t="s">
        <v>360</v>
      </c>
      <c r="AG268" s="5" t="s">
        <v>360</v>
      </c>
      <c r="AH268" s="5" t="s">
        <v>360</v>
      </c>
      <c r="AI268" s="5" t="s">
        <v>360</v>
      </c>
      <c r="AJ268" s="5" t="s">
        <v>360</v>
      </c>
      <c r="AK268" s="5" t="s">
        <v>360</v>
      </c>
      <c r="AL268" s="5" t="s">
        <v>360</v>
      </c>
      <c r="AM268" s="5" t="s">
        <v>360</v>
      </c>
      <c r="AN268" s="5" t="s">
        <v>360</v>
      </c>
      <c r="AO268" s="5" t="s">
        <v>360</v>
      </c>
      <c r="AP268" s="43">
        <f t="shared" si="87"/>
        <v>1.1932065920608066</v>
      </c>
      <c r="AQ268" s="44">
        <v>985</v>
      </c>
      <c r="AR268" s="35">
        <f t="shared" si="80"/>
        <v>268.63636363636363</v>
      </c>
      <c r="AS268" s="35">
        <f t="shared" si="81"/>
        <v>320.5</v>
      </c>
      <c r="AT268" s="35">
        <f t="shared" si="82"/>
        <v>51.863636363636374</v>
      </c>
      <c r="AU268" s="35">
        <v>73.5</v>
      </c>
      <c r="AV268" s="35">
        <v>82.4</v>
      </c>
      <c r="AW268" s="35">
        <v>28.3</v>
      </c>
      <c r="AX268" s="35">
        <f t="shared" si="83"/>
        <v>136.30000000000001</v>
      </c>
      <c r="AY268" s="35"/>
      <c r="AZ268" s="35">
        <f t="shared" si="84"/>
        <v>136.30000000000001</v>
      </c>
      <c r="BA268" s="35">
        <v>0</v>
      </c>
      <c r="BB268" s="35">
        <f t="shared" si="88"/>
        <v>136.30000000000001</v>
      </c>
      <c r="BC268" s="35"/>
      <c r="BD268" s="35">
        <f t="shared" si="85"/>
        <v>136.30000000000001</v>
      </c>
      <c r="BE268" s="35">
        <v>145</v>
      </c>
      <c r="BF268" s="35">
        <f t="shared" si="86"/>
        <v>-8.6999999999999993</v>
      </c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10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10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10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10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10"/>
      <c r="HA268" s="9"/>
      <c r="HB268" s="9"/>
    </row>
    <row r="269" spans="1:210" s="2" customFormat="1" ht="17.149999999999999" customHeight="1">
      <c r="A269" s="14" t="s">
        <v>253</v>
      </c>
      <c r="B269" s="63">
        <v>2526</v>
      </c>
      <c r="C269" s="63">
        <v>3043.2</v>
      </c>
      <c r="D269" s="4">
        <f t="shared" si="76"/>
        <v>1.2004750593824227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594</v>
      </c>
      <c r="O269" s="35">
        <v>866.9</v>
      </c>
      <c r="P269" s="4">
        <f t="shared" si="77"/>
        <v>1.2259427609427609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82">
        <v>62891</v>
      </c>
      <c r="W269" s="82">
        <v>71430</v>
      </c>
      <c r="X269" s="4">
        <f t="shared" si="78"/>
        <v>1.135774594139066</v>
      </c>
      <c r="Y269" s="5">
        <v>5</v>
      </c>
      <c r="Z269" s="5">
        <v>1117</v>
      </c>
      <c r="AA269" s="5">
        <v>1198</v>
      </c>
      <c r="AB269" s="4">
        <f t="shared" si="79"/>
        <v>1.072515666965085</v>
      </c>
      <c r="AC269" s="5">
        <v>20</v>
      </c>
      <c r="AD269" s="5" t="s">
        <v>360</v>
      </c>
      <c r="AE269" s="5" t="s">
        <v>360</v>
      </c>
      <c r="AF269" s="5" t="s">
        <v>360</v>
      </c>
      <c r="AG269" s="5" t="s">
        <v>360</v>
      </c>
      <c r="AH269" s="5" t="s">
        <v>360</v>
      </c>
      <c r="AI269" s="5" t="s">
        <v>360</v>
      </c>
      <c r="AJ269" s="5" t="s">
        <v>360</v>
      </c>
      <c r="AK269" s="5" t="s">
        <v>360</v>
      </c>
      <c r="AL269" s="5" t="s">
        <v>360</v>
      </c>
      <c r="AM269" s="5" t="s">
        <v>360</v>
      </c>
      <c r="AN269" s="5" t="s">
        <v>360</v>
      </c>
      <c r="AO269" s="5" t="s">
        <v>360</v>
      </c>
      <c r="AP269" s="43">
        <f t="shared" si="87"/>
        <v>1.1530083365152874</v>
      </c>
      <c r="AQ269" s="44">
        <v>2172</v>
      </c>
      <c r="AR269" s="35">
        <f t="shared" si="80"/>
        <v>592.36363636363637</v>
      </c>
      <c r="AS269" s="35">
        <f t="shared" si="81"/>
        <v>683</v>
      </c>
      <c r="AT269" s="35">
        <f t="shared" si="82"/>
        <v>90.636363636363626</v>
      </c>
      <c r="AU269" s="35">
        <v>251</v>
      </c>
      <c r="AV269" s="35">
        <v>134</v>
      </c>
      <c r="AW269" s="35">
        <v>74</v>
      </c>
      <c r="AX269" s="35">
        <f t="shared" si="83"/>
        <v>224</v>
      </c>
      <c r="AY269" s="35"/>
      <c r="AZ269" s="35">
        <f t="shared" si="84"/>
        <v>224</v>
      </c>
      <c r="BA269" s="35">
        <v>0</v>
      </c>
      <c r="BB269" s="35">
        <f t="shared" si="88"/>
        <v>224</v>
      </c>
      <c r="BC269" s="35"/>
      <c r="BD269" s="35">
        <f t="shared" si="85"/>
        <v>224</v>
      </c>
      <c r="BE269" s="35">
        <v>225.1</v>
      </c>
      <c r="BF269" s="35">
        <f t="shared" si="86"/>
        <v>-1.1000000000000001</v>
      </c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10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10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10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10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10"/>
      <c r="HA269" s="9"/>
      <c r="HB269" s="9"/>
    </row>
    <row r="270" spans="1:210" s="2" customFormat="1" ht="17.149999999999999" customHeight="1">
      <c r="A270" s="14" t="s">
        <v>254</v>
      </c>
      <c r="B270" s="63">
        <v>35697</v>
      </c>
      <c r="C270" s="63">
        <v>35717.9</v>
      </c>
      <c r="D270" s="4">
        <f t="shared" si="76"/>
        <v>1.0005854833739531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3923.9</v>
      </c>
      <c r="O270" s="35">
        <v>2428.4</v>
      </c>
      <c r="P270" s="4">
        <f t="shared" si="77"/>
        <v>0.61887407935982064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82">
        <v>203902</v>
      </c>
      <c r="W270" s="82">
        <v>227957</v>
      </c>
      <c r="X270" s="4">
        <f t="shared" si="78"/>
        <v>1.117973340133986</v>
      </c>
      <c r="Y270" s="5">
        <v>5</v>
      </c>
      <c r="Z270" s="5">
        <v>583</v>
      </c>
      <c r="AA270" s="5">
        <v>586</v>
      </c>
      <c r="AB270" s="4">
        <f t="shared" si="79"/>
        <v>1.0051457975986278</v>
      </c>
      <c r="AC270" s="5">
        <v>20</v>
      </c>
      <c r="AD270" s="5" t="s">
        <v>360</v>
      </c>
      <c r="AE270" s="5" t="s">
        <v>360</v>
      </c>
      <c r="AF270" s="5" t="s">
        <v>360</v>
      </c>
      <c r="AG270" s="5" t="s">
        <v>360</v>
      </c>
      <c r="AH270" s="5" t="s">
        <v>360</v>
      </c>
      <c r="AI270" s="5" t="s">
        <v>360</v>
      </c>
      <c r="AJ270" s="5" t="s">
        <v>360</v>
      </c>
      <c r="AK270" s="5" t="s">
        <v>360</v>
      </c>
      <c r="AL270" s="5" t="s">
        <v>360</v>
      </c>
      <c r="AM270" s="5" t="s">
        <v>360</v>
      </c>
      <c r="AN270" s="5" t="s">
        <v>360</v>
      </c>
      <c r="AO270" s="5" t="s">
        <v>360</v>
      </c>
      <c r="AP270" s="43">
        <f t="shared" si="87"/>
        <v>0.8614638331341733</v>
      </c>
      <c r="AQ270" s="44">
        <v>2238</v>
      </c>
      <c r="AR270" s="35">
        <f t="shared" si="80"/>
        <v>610.36363636363637</v>
      </c>
      <c r="AS270" s="35">
        <f t="shared" si="81"/>
        <v>525.79999999999995</v>
      </c>
      <c r="AT270" s="35">
        <f t="shared" si="82"/>
        <v>-84.563636363636419</v>
      </c>
      <c r="AU270" s="35">
        <v>115.7</v>
      </c>
      <c r="AV270" s="35">
        <v>151.9</v>
      </c>
      <c r="AW270" s="35">
        <v>5.0999999999999996</v>
      </c>
      <c r="AX270" s="35">
        <f t="shared" si="83"/>
        <v>253.1</v>
      </c>
      <c r="AY270" s="35"/>
      <c r="AZ270" s="35">
        <f t="shared" si="84"/>
        <v>253.1</v>
      </c>
      <c r="BA270" s="35">
        <v>0</v>
      </c>
      <c r="BB270" s="35">
        <f t="shared" si="88"/>
        <v>253.1</v>
      </c>
      <c r="BC270" s="35"/>
      <c r="BD270" s="35">
        <f t="shared" si="85"/>
        <v>253.1</v>
      </c>
      <c r="BE270" s="35">
        <v>235.7</v>
      </c>
      <c r="BF270" s="35">
        <f t="shared" si="86"/>
        <v>17.399999999999999</v>
      </c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10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10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10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10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10"/>
      <c r="HA270" s="9"/>
      <c r="HB270" s="9"/>
    </row>
    <row r="271" spans="1:210" s="2" customFormat="1" ht="17.149999999999999" customHeight="1">
      <c r="A271" s="14" t="s">
        <v>255</v>
      </c>
      <c r="B271" s="63">
        <v>8506</v>
      </c>
      <c r="C271" s="63">
        <v>6740</v>
      </c>
      <c r="D271" s="4">
        <f t="shared" si="76"/>
        <v>0.79238184810721846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1170.7</v>
      </c>
      <c r="O271" s="35">
        <v>1368.6</v>
      </c>
      <c r="P271" s="4">
        <f t="shared" si="77"/>
        <v>1.1690441616127103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82">
        <v>27473</v>
      </c>
      <c r="W271" s="82">
        <v>26940</v>
      </c>
      <c r="X271" s="4">
        <f t="shared" si="78"/>
        <v>0.98059913369490048</v>
      </c>
      <c r="Y271" s="5">
        <v>5</v>
      </c>
      <c r="Z271" s="5">
        <v>145</v>
      </c>
      <c r="AA271" s="5">
        <v>147</v>
      </c>
      <c r="AB271" s="4">
        <f t="shared" si="79"/>
        <v>1.0137931034482759</v>
      </c>
      <c r="AC271" s="5">
        <v>20</v>
      </c>
      <c r="AD271" s="5" t="s">
        <v>360</v>
      </c>
      <c r="AE271" s="5" t="s">
        <v>360</v>
      </c>
      <c r="AF271" s="5" t="s">
        <v>360</v>
      </c>
      <c r="AG271" s="5" t="s">
        <v>360</v>
      </c>
      <c r="AH271" s="5" t="s">
        <v>360</v>
      </c>
      <c r="AI271" s="5" t="s">
        <v>360</v>
      </c>
      <c r="AJ271" s="5" t="s">
        <v>360</v>
      </c>
      <c r="AK271" s="5" t="s">
        <v>360</v>
      </c>
      <c r="AL271" s="5" t="s">
        <v>360</v>
      </c>
      <c r="AM271" s="5" t="s">
        <v>360</v>
      </c>
      <c r="AN271" s="5" t="s">
        <v>360</v>
      </c>
      <c r="AO271" s="5" t="s">
        <v>360</v>
      </c>
      <c r="AP271" s="43">
        <f t="shared" si="87"/>
        <v>1.0504330042046062</v>
      </c>
      <c r="AQ271" s="44">
        <v>276</v>
      </c>
      <c r="AR271" s="35">
        <f t="shared" si="80"/>
        <v>75.272727272727266</v>
      </c>
      <c r="AS271" s="35">
        <f t="shared" si="81"/>
        <v>79.099999999999994</v>
      </c>
      <c r="AT271" s="35">
        <f t="shared" si="82"/>
        <v>3.827272727272728</v>
      </c>
      <c r="AU271" s="35">
        <v>26.8</v>
      </c>
      <c r="AV271" s="35">
        <v>27.8</v>
      </c>
      <c r="AW271" s="35"/>
      <c r="AX271" s="35">
        <f t="shared" si="83"/>
        <v>24.5</v>
      </c>
      <c r="AY271" s="35"/>
      <c r="AZ271" s="35">
        <f t="shared" si="84"/>
        <v>24.5</v>
      </c>
      <c r="BA271" s="35">
        <v>0</v>
      </c>
      <c r="BB271" s="35">
        <f t="shared" si="88"/>
        <v>24.5</v>
      </c>
      <c r="BC271" s="35"/>
      <c r="BD271" s="35">
        <f t="shared" si="85"/>
        <v>24.5</v>
      </c>
      <c r="BE271" s="35">
        <v>25.1</v>
      </c>
      <c r="BF271" s="35">
        <f t="shared" si="86"/>
        <v>-0.6</v>
      </c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10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10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10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10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10"/>
      <c r="HA271" s="9"/>
      <c r="HB271" s="9"/>
    </row>
    <row r="272" spans="1:210" s="2" customFormat="1" ht="17.149999999999999" customHeight="1">
      <c r="A272" s="18" t="s">
        <v>256</v>
      </c>
      <c r="B272" s="59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83"/>
      <c r="W272" s="83"/>
      <c r="X272" s="11"/>
      <c r="Y272" s="11"/>
      <c r="Z272" s="11"/>
      <c r="AA272" s="11"/>
      <c r="AB272" s="11"/>
      <c r="AC272" s="11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35"/>
      <c r="BB272" s="35"/>
      <c r="BC272" s="35"/>
      <c r="BD272" s="35"/>
      <c r="BE272" s="35"/>
      <c r="BF272" s="35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10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10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10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10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10"/>
      <c r="HA272" s="9"/>
      <c r="HB272" s="9"/>
    </row>
    <row r="273" spans="1:210" s="2" customFormat="1" ht="16.600000000000001" customHeight="1">
      <c r="A273" s="14" t="s">
        <v>257</v>
      </c>
      <c r="B273" s="63">
        <v>783</v>
      </c>
      <c r="C273" s="63">
        <v>3386.2</v>
      </c>
      <c r="D273" s="4">
        <f t="shared" si="76"/>
        <v>1.3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656.8</v>
      </c>
      <c r="O273" s="35">
        <v>1472.6</v>
      </c>
      <c r="P273" s="4">
        <f t="shared" si="77"/>
        <v>1.3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82">
        <v>1654</v>
      </c>
      <c r="W273" s="82">
        <v>1368</v>
      </c>
      <c r="X273" s="4">
        <f t="shared" si="78"/>
        <v>0.82708585247883915</v>
      </c>
      <c r="Y273" s="5">
        <v>5</v>
      </c>
      <c r="Z273" s="5">
        <v>5</v>
      </c>
      <c r="AA273" s="5">
        <v>8</v>
      </c>
      <c r="AB273" s="4">
        <f t="shared" si="79"/>
        <v>1.24</v>
      </c>
      <c r="AC273" s="5">
        <v>20</v>
      </c>
      <c r="AD273" s="5" t="s">
        <v>360</v>
      </c>
      <c r="AE273" s="5" t="s">
        <v>360</v>
      </c>
      <c r="AF273" s="5" t="s">
        <v>360</v>
      </c>
      <c r="AG273" s="5" t="s">
        <v>360</v>
      </c>
      <c r="AH273" s="5" t="s">
        <v>360</v>
      </c>
      <c r="AI273" s="5" t="s">
        <v>360</v>
      </c>
      <c r="AJ273" s="5" t="s">
        <v>360</v>
      </c>
      <c r="AK273" s="5" t="s">
        <v>360</v>
      </c>
      <c r="AL273" s="5" t="s">
        <v>360</v>
      </c>
      <c r="AM273" s="5" t="s">
        <v>360</v>
      </c>
      <c r="AN273" s="5" t="s">
        <v>360</v>
      </c>
      <c r="AO273" s="5" t="s">
        <v>360</v>
      </c>
      <c r="AP273" s="43">
        <f t="shared" si="87"/>
        <v>1.2287085852478838</v>
      </c>
      <c r="AQ273" s="44">
        <v>94</v>
      </c>
      <c r="AR273" s="35">
        <f t="shared" si="80"/>
        <v>25.636363636363633</v>
      </c>
      <c r="AS273" s="35">
        <f t="shared" si="81"/>
        <v>31.5</v>
      </c>
      <c r="AT273" s="35">
        <f t="shared" si="82"/>
        <v>5.8636363636363669</v>
      </c>
      <c r="AU273" s="35">
        <v>5.8</v>
      </c>
      <c r="AV273" s="35">
        <v>10.9</v>
      </c>
      <c r="AW273" s="35"/>
      <c r="AX273" s="35">
        <f t="shared" si="83"/>
        <v>14.8</v>
      </c>
      <c r="AY273" s="35"/>
      <c r="AZ273" s="35">
        <f t="shared" si="84"/>
        <v>14.8</v>
      </c>
      <c r="BA273" s="35">
        <v>0</v>
      </c>
      <c r="BB273" s="35">
        <f t="shared" si="88"/>
        <v>14.8</v>
      </c>
      <c r="BC273" s="35"/>
      <c r="BD273" s="35">
        <f t="shared" si="85"/>
        <v>14.8</v>
      </c>
      <c r="BE273" s="35">
        <v>15.9</v>
      </c>
      <c r="BF273" s="35">
        <f t="shared" si="86"/>
        <v>-1.1000000000000001</v>
      </c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10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10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10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10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10"/>
      <c r="HA273" s="9"/>
      <c r="HB273" s="9"/>
    </row>
    <row r="274" spans="1:210" s="2" customFormat="1" ht="17.149999999999999" customHeight="1">
      <c r="A274" s="14" t="s">
        <v>258</v>
      </c>
      <c r="B274" s="63">
        <v>0</v>
      </c>
      <c r="C274" s="63">
        <v>0</v>
      </c>
      <c r="D274" s="4">
        <f t="shared" si="76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356.5</v>
      </c>
      <c r="O274" s="35">
        <v>334.7</v>
      </c>
      <c r="P274" s="4">
        <f t="shared" si="77"/>
        <v>0.9388499298737728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82">
        <v>3365</v>
      </c>
      <c r="W274" s="82">
        <v>3342</v>
      </c>
      <c r="X274" s="4">
        <f t="shared" si="78"/>
        <v>0.99316493313521548</v>
      </c>
      <c r="Y274" s="5">
        <v>5</v>
      </c>
      <c r="Z274" s="5">
        <v>63</v>
      </c>
      <c r="AA274" s="5">
        <v>70</v>
      </c>
      <c r="AB274" s="4">
        <f t="shared" si="79"/>
        <v>1.1111111111111112</v>
      </c>
      <c r="AC274" s="5">
        <v>20</v>
      </c>
      <c r="AD274" s="5" t="s">
        <v>360</v>
      </c>
      <c r="AE274" s="5" t="s">
        <v>360</v>
      </c>
      <c r="AF274" s="5" t="s">
        <v>360</v>
      </c>
      <c r="AG274" s="5" t="s">
        <v>360</v>
      </c>
      <c r="AH274" s="5" t="s">
        <v>360</v>
      </c>
      <c r="AI274" s="5" t="s">
        <v>360</v>
      </c>
      <c r="AJ274" s="5" t="s">
        <v>360</v>
      </c>
      <c r="AK274" s="5" t="s">
        <v>360</v>
      </c>
      <c r="AL274" s="5" t="s">
        <v>360</v>
      </c>
      <c r="AM274" s="5" t="s">
        <v>360</v>
      </c>
      <c r="AN274" s="5" t="s">
        <v>360</v>
      </c>
      <c r="AO274" s="5" t="s">
        <v>360</v>
      </c>
      <c r="AP274" s="43">
        <f t="shared" si="87"/>
        <v>1.0214454552305279</v>
      </c>
      <c r="AQ274" s="44">
        <v>531</v>
      </c>
      <c r="AR274" s="35">
        <f t="shared" si="80"/>
        <v>144.81818181818181</v>
      </c>
      <c r="AS274" s="35">
        <f t="shared" si="81"/>
        <v>147.9</v>
      </c>
      <c r="AT274" s="35">
        <f t="shared" si="82"/>
        <v>3.0818181818181927</v>
      </c>
      <c r="AU274" s="35">
        <v>42.9</v>
      </c>
      <c r="AV274" s="35">
        <v>50</v>
      </c>
      <c r="AW274" s="35"/>
      <c r="AX274" s="35">
        <f t="shared" si="83"/>
        <v>55</v>
      </c>
      <c r="AY274" s="35"/>
      <c r="AZ274" s="35">
        <f t="shared" si="84"/>
        <v>55</v>
      </c>
      <c r="BA274" s="35">
        <v>0</v>
      </c>
      <c r="BB274" s="35">
        <f t="shared" si="88"/>
        <v>55</v>
      </c>
      <c r="BC274" s="35"/>
      <c r="BD274" s="35">
        <f t="shared" si="85"/>
        <v>55</v>
      </c>
      <c r="BE274" s="35">
        <v>55.5</v>
      </c>
      <c r="BF274" s="35">
        <f t="shared" si="86"/>
        <v>-0.5</v>
      </c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10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10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10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10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10"/>
      <c r="HA274" s="9"/>
      <c r="HB274" s="9"/>
    </row>
    <row r="275" spans="1:210" s="2" customFormat="1" ht="17.149999999999999" customHeight="1">
      <c r="A275" s="14" t="s">
        <v>259</v>
      </c>
      <c r="B275" s="63">
        <v>0</v>
      </c>
      <c r="C275" s="63">
        <v>0</v>
      </c>
      <c r="D275" s="4">
        <f t="shared" si="76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1141.5</v>
      </c>
      <c r="O275" s="35">
        <v>1080.4000000000001</v>
      </c>
      <c r="P275" s="4">
        <f t="shared" si="77"/>
        <v>0.94647393780113898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82">
        <v>4504</v>
      </c>
      <c r="W275" s="82">
        <v>6003</v>
      </c>
      <c r="X275" s="4">
        <f t="shared" si="78"/>
        <v>1.2132815275310835</v>
      </c>
      <c r="Y275" s="5">
        <v>5</v>
      </c>
      <c r="Z275" s="5">
        <v>206</v>
      </c>
      <c r="AA275" s="5">
        <v>226</v>
      </c>
      <c r="AB275" s="4">
        <f t="shared" si="79"/>
        <v>1.0970873786407767</v>
      </c>
      <c r="AC275" s="5">
        <v>20</v>
      </c>
      <c r="AD275" s="5" t="s">
        <v>360</v>
      </c>
      <c r="AE275" s="5" t="s">
        <v>360</v>
      </c>
      <c r="AF275" s="5" t="s">
        <v>360</v>
      </c>
      <c r="AG275" s="5" t="s">
        <v>360</v>
      </c>
      <c r="AH275" s="5" t="s">
        <v>360</v>
      </c>
      <c r="AI275" s="5" t="s">
        <v>360</v>
      </c>
      <c r="AJ275" s="5" t="s">
        <v>360</v>
      </c>
      <c r="AK275" s="5" t="s">
        <v>360</v>
      </c>
      <c r="AL275" s="5" t="s">
        <v>360</v>
      </c>
      <c r="AM275" s="5" t="s">
        <v>360</v>
      </c>
      <c r="AN275" s="5" t="s">
        <v>360</v>
      </c>
      <c r="AO275" s="5" t="s">
        <v>360</v>
      </c>
      <c r="AP275" s="43">
        <f t="shared" si="87"/>
        <v>1.0430585325887496</v>
      </c>
      <c r="AQ275" s="44">
        <v>515</v>
      </c>
      <c r="AR275" s="35">
        <f t="shared" si="80"/>
        <v>140.45454545454547</v>
      </c>
      <c r="AS275" s="35">
        <f t="shared" si="81"/>
        <v>146.5</v>
      </c>
      <c r="AT275" s="35">
        <f t="shared" si="82"/>
        <v>6.0454545454545325</v>
      </c>
      <c r="AU275" s="35">
        <v>60.9</v>
      </c>
      <c r="AV275" s="35">
        <v>44.5</v>
      </c>
      <c r="AW275" s="35"/>
      <c r="AX275" s="35">
        <f t="shared" si="83"/>
        <v>41.1</v>
      </c>
      <c r="AY275" s="35"/>
      <c r="AZ275" s="35">
        <f t="shared" si="84"/>
        <v>41.1</v>
      </c>
      <c r="BA275" s="35">
        <v>0</v>
      </c>
      <c r="BB275" s="35">
        <f t="shared" si="88"/>
        <v>41.1</v>
      </c>
      <c r="BC275" s="35"/>
      <c r="BD275" s="35">
        <f t="shared" si="85"/>
        <v>41.1</v>
      </c>
      <c r="BE275" s="35">
        <v>38.1</v>
      </c>
      <c r="BF275" s="35">
        <f t="shared" si="86"/>
        <v>3</v>
      </c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10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10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10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10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10"/>
      <c r="HA275" s="9"/>
      <c r="HB275" s="9"/>
    </row>
    <row r="276" spans="1:210" s="2" customFormat="1" ht="17.149999999999999" customHeight="1">
      <c r="A276" s="14" t="s">
        <v>260</v>
      </c>
      <c r="B276" s="63">
        <v>0</v>
      </c>
      <c r="C276" s="63">
        <v>0</v>
      </c>
      <c r="D276" s="4">
        <f t="shared" si="76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363.4</v>
      </c>
      <c r="O276" s="35">
        <v>227.3</v>
      </c>
      <c r="P276" s="4">
        <f t="shared" si="77"/>
        <v>0.62548156301596047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82">
        <v>6217</v>
      </c>
      <c r="W276" s="82">
        <v>6253</v>
      </c>
      <c r="X276" s="4">
        <f t="shared" si="78"/>
        <v>1.0057905742319446</v>
      </c>
      <c r="Y276" s="5">
        <v>5</v>
      </c>
      <c r="Z276" s="5">
        <v>182</v>
      </c>
      <c r="AA276" s="5">
        <v>199</v>
      </c>
      <c r="AB276" s="4">
        <f t="shared" si="79"/>
        <v>1.0934065934065933</v>
      </c>
      <c r="AC276" s="5">
        <v>20</v>
      </c>
      <c r="AD276" s="5" t="s">
        <v>360</v>
      </c>
      <c r="AE276" s="5" t="s">
        <v>360</v>
      </c>
      <c r="AF276" s="5" t="s">
        <v>360</v>
      </c>
      <c r="AG276" s="5" t="s">
        <v>360</v>
      </c>
      <c r="AH276" s="5" t="s">
        <v>360</v>
      </c>
      <c r="AI276" s="5" t="s">
        <v>360</v>
      </c>
      <c r="AJ276" s="5" t="s">
        <v>360</v>
      </c>
      <c r="AK276" s="5" t="s">
        <v>360</v>
      </c>
      <c r="AL276" s="5" t="s">
        <v>360</v>
      </c>
      <c r="AM276" s="5" t="s">
        <v>360</v>
      </c>
      <c r="AN276" s="5" t="s">
        <v>360</v>
      </c>
      <c r="AO276" s="5" t="s">
        <v>360</v>
      </c>
      <c r="AP276" s="43">
        <f t="shared" si="87"/>
        <v>0.87570479999135098</v>
      </c>
      <c r="AQ276" s="44">
        <v>1221</v>
      </c>
      <c r="AR276" s="35">
        <f t="shared" si="80"/>
        <v>333</v>
      </c>
      <c r="AS276" s="35">
        <f t="shared" si="81"/>
        <v>291.60000000000002</v>
      </c>
      <c r="AT276" s="35">
        <f t="shared" si="82"/>
        <v>-41.399999999999977</v>
      </c>
      <c r="AU276" s="35">
        <v>75.599999999999994</v>
      </c>
      <c r="AV276" s="35">
        <v>41.8</v>
      </c>
      <c r="AW276" s="35"/>
      <c r="AX276" s="35">
        <f t="shared" si="83"/>
        <v>174.2</v>
      </c>
      <c r="AY276" s="35"/>
      <c r="AZ276" s="35">
        <f t="shared" si="84"/>
        <v>174.2</v>
      </c>
      <c r="BA276" s="35">
        <v>0</v>
      </c>
      <c r="BB276" s="35">
        <f t="shared" si="88"/>
        <v>174.2</v>
      </c>
      <c r="BC276" s="35"/>
      <c r="BD276" s="35">
        <f t="shared" si="85"/>
        <v>174.2</v>
      </c>
      <c r="BE276" s="35">
        <v>168.8</v>
      </c>
      <c r="BF276" s="35">
        <f t="shared" si="86"/>
        <v>5.4</v>
      </c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10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10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10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10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10"/>
      <c r="HA276" s="9"/>
      <c r="HB276" s="9"/>
    </row>
    <row r="277" spans="1:210" s="2" customFormat="1" ht="17.149999999999999" customHeight="1">
      <c r="A277" s="14" t="s">
        <v>261</v>
      </c>
      <c r="B277" s="63">
        <v>535</v>
      </c>
      <c r="C277" s="63">
        <v>405</v>
      </c>
      <c r="D277" s="4">
        <f t="shared" si="76"/>
        <v>0.7570093457943925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484.7</v>
      </c>
      <c r="O277" s="35">
        <v>704.7</v>
      </c>
      <c r="P277" s="4">
        <f t="shared" si="77"/>
        <v>1.2253889003507323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82">
        <v>1597</v>
      </c>
      <c r="W277" s="82">
        <v>1003</v>
      </c>
      <c r="X277" s="4">
        <f t="shared" si="78"/>
        <v>0.62805259862241702</v>
      </c>
      <c r="Y277" s="5">
        <v>5</v>
      </c>
      <c r="Z277" s="5">
        <v>81</v>
      </c>
      <c r="AA277" s="5">
        <v>85</v>
      </c>
      <c r="AB277" s="4">
        <f t="shared" si="79"/>
        <v>1.0493827160493827</v>
      </c>
      <c r="AC277" s="5">
        <v>20</v>
      </c>
      <c r="AD277" s="5" t="s">
        <v>360</v>
      </c>
      <c r="AE277" s="5" t="s">
        <v>360</v>
      </c>
      <c r="AF277" s="5" t="s">
        <v>360</v>
      </c>
      <c r="AG277" s="5" t="s">
        <v>360</v>
      </c>
      <c r="AH277" s="5" t="s">
        <v>360</v>
      </c>
      <c r="AI277" s="5" t="s">
        <v>360</v>
      </c>
      <c r="AJ277" s="5" t="s">
        <v>360</v>
      </c>
      <c r="AK277" s="5" t="s">
        <v>360</v>
      </c>
      <c r="AL277" s="5" t="s">
        <v>360</v>
      </c>
      <c r="AM277" s="5" t="s">
        <v>360</v>
      </c>
      <c r="AN277" s="5" t="s">
        <v>360</v>
      </c>
      <c r="AO277" s="5" t="s">
        <v>360</v>
      </c>
      <c r="AP277" s="43">
        <f t="shared" si="87"/>
        <v>1.0484148410017269</v>
      </c>
      <c r="AQ277" s="44">
        <v>684</v>
      </c>
      <c r="AR277" s="35">
        <f t="shared" si="80"/>
        <v>186.54545454545453</v>
      </c>
      <c r="AS277" s="35">
        <f t="shared" si="81"/>
        <v>195.6</v>
      </c>
      <c r="AT277" s="35">
        <f t="shared" si="82"/>
        <v>9.0545454545454618</v>
      </c>
      <c r="AU277" s="35">
        <v>42.4</v>
      </c>
      <c r="AV277" s="35">
        <v>34.200000000000003</v>
      </c>
      <c r="AW277" s="35"/>
      <c r="AX277" s="35">
        <f t="shared" si="83"/>
        <v>119</v>
      </c>
      <c r="AY277" s="35"/>
      <c r="AZ277" s="35">
        <f t="shared" si="84"/>
        <v>119</v>
      </c>
      <c r="BA277" s="35">
        <v>0</v>
      </c>
      <c r="BB277" s="35">
        <f t="shared" si="88"/>
        <v>119</v>
      </c>
      <c r="BC277" s="35"/>
      <c r="BD277" s="35">
        <f t="shared" si="85"/>
        <v>119</v>
      </c>
      <c r="BE277" s="35">
        <v>127.7</v>
      </c>
      <c r="BF277" s="35">
        <f t="shared" si="86"/>
        <v>-8.6999999999999993</v>
      </c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10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10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10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10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10"/>
      <c r="HA277" s="9"/>
      <c r="HB277" s="9"/>
    </row>
    <row r="278" spans="1:210" s="2" customFormat="1" ht="17.149999999999999" customHeight="1">
      <c r="A278" s="14" t="s">
        <v>262</v>
      </c>
      <c r="B278" s="63">
        <v>0</v>
      </c>
      <c r="C278" s="63">
        <v>47047</v>
      </c>
      <c r="D278" s="4">
        <f t="shared" si="76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464.6</v>
      </c>
      <c r="O278" s="35">
        <v>250.1</v>
      </c>
      <c r="P278" s="4">
        <f t="shared" si="77"/>
        <v>0.53831252690486431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82">
        <v>3023</v>
      </c>
      <c r="W278" s="82">
        <v>3186</v>
      </c>
      <c r="X278" s="4">
        <f t="shared" si="78"/>
        <v>1.0539199470724445</v>
      </c>
      <c r="Y278" s="5">
        <v>5</v>
      </c>
      <c r="Z278" s="5">
        <v>112</v>
      </c>
      <c r="AA278" s="5">
        <v>117</v>
      </c>
      <c r="AB278" s="4">
        <f t="shared" si="79"/>
        <v>1.0446428571428572</v>
      </c>
      <c r="AC278" s="5">
        <v>20</v>
      </c>
      <c r="AD278" s="5" t="s">
        <v>360</v>
      </c>
      <c r="AE278" s="5" t="s">
        <v>360</v>
      </c>
      <c r="AF278" s="5" t="s">
        <v>360</v>
      </c>
      <c r="AG278" s="5" t="s">
        <v>360</v>
      </c>
      <c r="AH278" s="5" t="s">
        <v>360</v>
      </c>
      <c r="AI278" s="5" t="s">
        <v>360</v>
      </c>
      <c r="AJ278" s="5" t="s">
        <v>360</v>
      </c>
      <c r="AK278" s="5" t="s">
        <v>360</v>
      </c>
      <c r="AL278" s="5" t="s">
        <v>360</v>
      </c>
      <c r="AM278" s="5" t="s">
        <v>360</v>
      </c>
      <c r="AN278" s="5" t="s">
        <v>360</v>
      </c>
      <c r="AO278" s="5" t="s">
        <v>360</v>
      </c>
      <c r="AP278" s="43">
        <f t="shared" si="87"/>
        <v>0.82063794258481459</v>
      </c>
      <c r="AQ278" s="44">
        <v>766</v>
      </c>
      <c r="AR278" s="35">
        <f t="shared" si="80"/>
        <v>208.90909090909093</v>
      </c>
      <c r="AS278" s="35">
        <f t="shared" si="81"/>
        <v>171.4</v>
      </c>
      <c r="AT278" s="35">
        <f t="shared" si="82"/>
        <v>-37.509090909090929</v>
      </c>
      <c r="AU278" s="35">
        <v>18.3</v>
      </c>
      <c r="AV278" s="35">
        <v>85.3</v>
      </c>
      <c r="AW278" s="35"/>
      <c r="AX278" s="35">
        <f t="shared" si="83"/>
        <v>67.8</v>
      </c>
      <c r="AY278" s="35"/>
      <c r="AZ278" s="35">
        <f t="shared" si="84"/>
        <v>67.8</v>
      </c>
      <c r="BA278" s="35">
        <v>0</v>
      </c>
      <c r="BB278" s="35">
        <f t="shared" si="88"/>
        <v>67.8</v>
      </c>
      <c r="BC278" s="35"/>
      <c r="BD278" s="35">
        <f t="shared" si="85"/>
        <v>67.8</v>
      </c>
      <c r="BE278" s="35">
        <v>61.7</v>
      </c>
      <c r="BF278" s="35">
        <f t="shared" si="86"/>
        <v>6.1</v>
      </c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10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10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10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10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10"/>
      <c r="HA278" s="9"/>
      <c r="HB278" s="9"/>
    </row>
    <row r="279" spans="1:210" s="2" customFormat="1" ht="17.149999999999999" customHeight="1">
      <c r="A279" s="14" t="s">
        <v>263</v>
      </c>
      <c r="B279" s="63">
        <v>0</v>
      </c>
      <c r="C279" s="63">
        <v>0</v>
      </c>
      <c r="D279" s="4">
        <f t="shared" si="76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409.1</v>
      </c>
      <c r="O279" s="35">
        <v>245.9</v>
      </c>
      <c r="P279" s="4">
        <f t="shared" si="77"/>
        <v>0.60107553165485206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82">
        <v>2794</v>
      </c>
      <c r="W279" s="82">
        <v>2938</v>
      </c>
      <c r="X279" s="4">
        <f t="shared" si="78"/>
        <v>1.0515390121689334</v>
      </c>
      <c r="Y279" s="5">
        <v>5</v>
      </c>
      <c r="Z279" s="5">
        <v>159</v>
      </c>
      <c r="AA279" s="5">
        <v>171</v>
      </c>
      <c r="AB279" s="4">
        <f t="shared" si="79"/>
        <v>1.0754716981132075</v>
      </c>
      <c r="AC279" s="5">
        <v>20</v>
      </c>
      <c r="AD279" s="5" t="s">
        <v>360</v>
      </c>
      <c r="AE279" s="5" t="s">
        <v>360</v>
      </c>
      <c r="AF279" s="5" t="s">
        <v>360</v>
      </c>
      <c r="AG279" s="5" t="s">
        <v>360</v>
      </c>
      <c r="AH279" s="5" t="s">
        <v>360</v>
      </c>
      <c r="AI279" s="5" t="s">
        <v>360</v>
      </c>
      <c r="AJ279" s="5" t="s">
        <v>360</v>
      </c>
      <c r="AK279" s="5" t="s">
        <v>360</v>
      </c>
      <c r="AL279" s="5" t="s">
        <v>360</v>
      </c>
      <c r="AM279" s="5" t="s">
        <v>360</v>
      </c>
      <c r="AN279" s="5" t="s">
        <v>360</v>
      </c>
      <c r="AO279" s="5" t="s">
        <v>360</v>
      </c>
      <c r="AP279" s="43">
        <f t="shared" si="87"/>
        <v>0.86196977013790799</v>
      </c>
      <c r="AQ279" s="44">
        <v>926</v>
      </c>
      <c r="AR279" s="35">
        <f t="shared" si="80"/>
        <v>252.54545454545456</v>
      </c>
      <c r="AS279" s="35">
        <f t="shared" si="81"/>
        <v>217.7</v>
      </c>
      <c r="AT279" s="35">
        <f t="shared" si="82"/>
        <v>-34.845454545454572</v>
      </c>
      <c r="AU279" s="35">
        <v>62.9</v>
      </c>
      <c r="AV279" s="35">
        <v>17.100000000000001</v>
      </c>
      <c r="AW279" s="35"/>
      <c r="AX279" s="35">
        <f t="shared" si="83"/>
        <v>137.69999999999999</v>
      </c>
      <c r="AY279" s="35"/>
      <c r="AZ279" s="35">
        <f t="shared" si="84"/>
        <v>137.69999999999999</v>
      </c>
      <c r="BA279" s="35">
        <v>0</v>
      </c>
      <c r="BB279" s="35">
        <f t="shared" si="88"/>
        <v>137.69999999999999</v>
      </c>
      <c r="BC279" s="35"/>
      <c r="BD279" s="35">
        <f t="shared" si="85"/>
        <v>137.69999999999999</v>
      </c>
      <c r="BE279" s="35">
        <v>131.69999999999999</v>
      </c>
      <c r="BF279" s="35">
        <f t="shared" si="86"/>
        <v>6</v>
      </c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10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10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10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10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10"/>
      <c r="HA279" s="9"/>
      <c r="HB279" s="9"/>
    </row>
    <row r="280" spans="1:210" s="2" customFormat="1" ht="17.149999999999999" customHeight="1">
      <c r="A280" s="14" t="s">
        <v>264</v>
      </c>
      <c r="B280" s="63">
        <v>0</v>
      </c>
      <c r="C280" s="63">
        <v>0</v>
      </c>
      <c r="D280" s="4">
        <f t="shared" si="76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172.7</v>
      </c>
      <c r="O280" s="35">
        <v>173.1</v>
      </c>
      <c r="P280" s="4">
        <f t="shared" si="77"/>
        <v>1.0023161551823974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82">
        <v>4392</v>
      </c>
      <c r="W280" s="82">
        <v>4570</v>
      </c>
      <c r="X280" s="4">
        <f t="shared" si="78"/>
        <v>1.040528233151184</v>
      </c>
      <c r="Y280" s="5">
        <v>5</v>
      </c>
      <c r="Z280" s="5">
        <v>250</v>
      </c>
      <c r="AA280" s="5">
        <v>260</v>
      </c>
      <c r="AB280" s="4">
        <f t="shared" si="79"/>
        <v>1.04</v>
      </c>
      <c r="AC280" s="5">
        <v>20</v>
      </c>
      <c r="AD280" s="5" t="s">
        <v>360</v>
      </c>
      <c r="AE280" s="5" t="s">
        <v>360</v>
      </c>
      <c r="AF280" s="5" t="s">
        <v>360</v>
      </c>
      <c r="AG280" s="5" t="s">
        <v>360</v>
      </c>
      <c r="AH280" s="5" t="s">
        <v>360</v>
      </c>
      <c r="AI280" s="5" t="s">
        <v>360</v>
      </c>
      <c r="AJ280" s="5" t="s">
        <v>360</v>
      </c>
      <c r="AK280" s="5" t="s">
        <v>360</v>
      </c>
      <c r="AL280" s="5" t="s">
        <v>360</v>
      </c>
      <c r="AM280" s="5" t="s">
        <v>360</v>
      </c>
      <c r="AN280" s="5" t="s">
        <v>360</v>
      </c>
      <c r="AO280" s="5" t="s">
        <v>360</v>
      </c>
      <c r="AP280" s="43">
        <f t="shared" si="87"/>
        <v>1.0233103170978637</v>
      </c>
      <c r="AQ280" s="44">
        <v>968</v>
      </c>
      <c r="AR280" s="35">
        <f t="shared" si="80"/>
        <v>264</v>
      </c>
      <c r="AS280" s="35">
        <f t="shared" si="81"/>
        <v>270.2</v>
      </c>
      <c r="AT280" s="35">
        <f t="shared" si="82"/>
        <v>6.1999999999999886</v>
      </c>
      <c r="AU280" s="35">
        <v>38.200000000000003</v>
      </c>
      <c r="AV280" s="35">
        <v>63.8</v>
      </c>
      <c r="AW280" s="35"/>
      <c r="AX280" s="35">
        <f t="shared" si="83"/>
        <v>168.2</v>
      </c>
      <c r="AY280" s="35"/>
      <c r="AZ280" s="35">
        <f t="shared" si="84"/>
        <v>168.2</v>
      </c>
      <c r="BA280" s="35">
        <v>0</v>
      </c>
      <c r="BB280" s="35">
        <f t="shared" si="88"/>
        <v>168.2</v>
      </c>
      <c r="BC280" s="35"/>
      <c r="BD280" s="35">
        <f t="shared" si="85"/>
        <v>168.2</v>
      </c>
      <c r="BE280" s="35">
        <v>167.6</v>
      </c>
      <c r="BF280" s="35">
        <f t="shared" si="86"/>
        <v>0.6</v>
      </c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10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10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10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10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10"/>
      <c r="HA280" s="9"/>
      <c r="HB280" s="9"/>
    </row>
    <row r="281" spans="1:210" s="2" customFormat="1" ht="17.149999999999999" customHeight="1">
      <c r="A281" s="14" t="s">
        <v>265</v>
      </c>
      <c r="B281" s="63">
        <v>0</v>
      </c>
      <c r="C281" s="63">
        <v>0</v>
      </c>
      <c r="D281" s="4">
        <f t="shared" si="76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219.8</v>
      </c>
      <c r="O281" s="35">
        <v>271.89999999999998</v>
      </c>
      <c r="P281" s="4">
        <f t="shared" si="77"/>
        <v>1.2037033666969972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82">
        <v>2624</v>
      </c>
      <c r="W281" s="82">
        <v>2099</v>
      </c>
      <c r="X281" s="4">
        <f t="shared" si="78"/>
        <v>0.79992378048780488</v>
      </c>
      <c r="Y281" s="5">
        <v>5</v>
      </c>
      <c r="Z281" s="5">
        <v>94</v>
      </c>
      <c r="AA281" s="5">
        <v>102</v>
      </c>
      <c r="AB281" s="4">
        <f t="shared" si="79"/>
        <v>1.0851063829787233</v>
      </c>
      <c r="AC281" s="5">
        <v>20</v>
      </c>
      <c r="AD281" s="5" t="s">
        <v>360</v>
      </c>
      <c r="AE281" s="5" t="s">
        <v>360</v>
      </c>
      <c r="AF281" s="5" t="s">
        <v>360</v>
      </c>
      <c r="AG281" s="5" t="s">
        <v>360</v>
      </c>
      <c r="AH281" s="5" t="s">
        <v>360</v>
      </c>
      <c r="AI281" s="5" t="s">
        <v>360</v>
      </c>
      <c r="AJ281" s="5" t="s">
        <v>360</v>
      </c>
      <c r="AK281" s="5" t="s">
        <v>360</v>
      </c>
      <c r="AL281" s="5" t="s">
        <v>360</v>
      </c>
      <c r="AM281" s="5" t="s">
        <v>360</v>
      </c>
      <c r="AN281" s="5" t="s">
        <v>360</v>
      </c>
      <c r="AO281" s="5" t="s">
        <v>360</v>
      </c>
      <c r="AP281" s="43">
        <f t="shared" si="87"/>
        <v>1.106129197687854</v>
      </c>
      <c r="AQ281" s="44">
        <v>675</v>
      </c>
      <c r="AR281" s="35">
        <f t="shared" si="80"/>
        <v>184.09090909090909</v>
      </c>
      <c r="AS281" s="35">
        <f t="shared" si="81"/>
        <v>203.6</v>
      </c>
      <c r="AT281" s="35">
        <f t="shared" si="82"/>
        <v>19.509090909090901</v>
      </c>
      <c r="AU281" s="35">
        <v>46.9</v>
      </c>
      <c r="AV281" s="35">
        <v>79.8</v>
      </c>
      <c r="AW281" s="35"/>
      <c r="AX281" s="35">
        <f t="shared" si="83"/>
        <v>76.900000000000006</v>
      </c>
      <c r="AY281" s="35"/>
      <c r="AZ281" s="35">
        <f t="shared" si="84"/>
        <v>76.900000000000006</v>
      </c>
      <c r="BA281" s="35">
        <v>0</v>
      </c>
      <c r="BB281" s="35">
        <f t="shared" si="88"/>
        <v>76.900000000000006</v>
      </c>
      <c r="BC281" s="35"/>
      <c r="BD281" s="35">
        <f t="shared" si="85"/>
        <v>76.900000000000006</v>
      </c>
      <c r="BE281" s="35">
        <v>84</v>
      </c>
      <c r="BF281" s="35">
        <f t="shared" si="86"/>
        <v>-7.1</v>
      </c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10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10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10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10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10"/>
      <c r="HA281" s="9"/>
      <c r="HB281" s="9"/>
    </row>
    <row r="282" spans="1:210" s="2" customFormat="1" ht="17.149999999999999" customHeight="1">
      <c r="A282" s="14" t="s">
        <v>266</v>
      </c>
      <c r="B282" s="63">
        <v>0</v>
      </c>
      <c r="C282" s="63">
        <v>0</v>
      </c>
      <c r="D282" s="4">
        <f t="shared" si="76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344.1</v>
      </c>
      <c r="O282" s="35">
        <v>351.5</v>
      </c>
      <c r="P282" s="4">
        <f t="shared" si="77"/>
        <v>1.021505376344086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82">
        <v>2225</v>
      </c>
      <c r="W282" s="82">
        <v>2871</v>
      </c>
      <c r="X282" s="4">
        <f t="shared" si="78"/>
        <v>1.2090337078651685</v>
      </c>
      <c r="Y282" s="5">
        <v>5</v>
      </c>
      <c r="Z282" s="5">
        <v>340</v>
      </c>
      <c r="AA282" s="5">
        <v>356</v>
      </c>
      <c r="AB282" s="4">
        <f t="shared" si="79"/>
        <v>1.0470588235294118</v>
      </c>
      <c r="AC282" s="5">
        <v>20</v>
      </c>
      <c r="AD282" s="5" t="s">
        <v>360</v>
      </c>
      <c r="AE282" s="5" t="s">
        <v>360</v>
      </c>
      <c r="AF282" s="5" t="s">
        <v>360</v>
      </c>
      <c r="AG282" s="5" t="s">
        <v>360</v>
      </c>
      <c r="AH282" s="5" t="s">
        <v>360</v>
      </c>
      <c r="AI282" s="5" t="s">
        <v>360</v>
      </c>
      <c r="AJ282" s="5" t="s">
        <v>360</v>
      </c>
      <c r="AK282" s="5" t="s">
        <v>360</v>
      </c>
      <c r="AL282" s="5" t="s">
        <v>360</v>
      </c>
      <c r="AM282" s="5" t="s">
        <v>360</v>
      </c>
      <c r="AN282" s="5" t="s">
        <v>360</v>
      </c>
      <c r="AO282" s="5" t="s">
        <v>360</v>
      </c>
      <c r="AP282" s="43">
        <f t="shared" si="87"/>
        <v>1.053698945262129</v>
      </c>
      <c r="AQ282" s="44">
        <v>776</v>
      </c>
      <c r="AR282" s="35">
        <f t="shared" si="80"/>
        <v>211.63636363636363</v>
      </c>
      <c r="AS282" s="35">
        <f t="shared" si="81"/>
        <v>223</v>
      </c>
      <c r="AT282" s="35">
        <f t="shared" si="82"/>
        <v>11.363636363636374</v>
      </c>
      <c r="AU282" s="35">
        <v>67.599999999999994</v>
      </c>
      <c r="AV282" s="35">
        <v>72.400000000000006</v>
      </c>
      <c r="AW282" s="35"/>
      <c r="AX282" s="35">
        <f t="shared" si="83"/>
        <v>83</v>
      </c>
      <c r="AY282" s="35"/>
      <c r="AZ282" s="35">
        <f t="shared" si="84"/>
        <v>83</v>
      </c>
      <c r="BA282" s="35">
        <v>0</v>
      </c>
      <c r="BB282" s="35">
        <f t="shared" si="88"/>
        <v>83</v>
      </c>
      <c r="BC282" s="35"/>
      <c r="BD282" s="35">
        <f t="shared" si="85"/>
        <v>83</v>
      </c>
      <c r="BE282" s="35">
        <v>78.900000000000006</v>
      </c>
      <c r="BF282" s="35">
        <f t="shared" si="86"/>
        <v>4.0999999999999996</v>
      </c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10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10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10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10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10"/>
      <c r="HA282" s="9"/>
      <c r="HB282" s="9"/>
    </row>
    <row r="283" spans="1:210" s="2" customFormat="1" ht="17.149999999999999" customHeight="1">
      <c r="A283" s="14" t="s">
        <v>267</v>
      </c>
      <c r="B283" s="63">
        <v>0</v>
      </c>
      <c r="C283" s="63">
        <v>0</v>
      </c>
      <c r="D283" s="4">
        <f t="shared" si="76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291</v>
      </c>
      <c r="O283" s="35">
        <v>167.6</v>
      </c>
      <c r="P283" s="4">
        <f t="shared" si="77"/>
        <v>0.57594501718213054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82">
        <v>1825</v>
      </c>
      <c r="W283" s="82">
        <v>2127</v>
      </c>
      <c r="X283" s="4">
        <f t="shared" si="78"/>
        <v>1.1654794520547944</v>
      </c>
      <c r="Y283" s="5">
        <v>5</v>
      </c>
      <c r="Z283" s="5">
        <v>246</v>
      </c>
      <c r="AA283" s="5">
        <v>267</v>
      </c>
      <c r="AB283" s="4">
        <f t="shared" si="79"/>
        <v>1.0853658536585367</v>
      </c>
      <c r="AC283" s="5">
        <v>20</v>
      </c>
      <c r="AD283" s="5" t="s">
        <v>360</v>
      </c>
      <c r="AE283" s="5" t="s">
        <v>360</v>
      </c>
      <c r="AF283" s="5" t="s">
        <v>360</v>
      </c>
      <c r="AG283" s="5" t="s">
        <v>360</v>
      </c>
      <c r="AH283" s="5" t="s">
        <v>360</v>
      </c>
      <c r="AI283" s="5" t="s">
        <v>360</v>
      </c>
      <c r="AJ283" s="5" t="s">
        <v>360</v>
      </c>
      <c r="AK283" s="5" t="s">
        <v>360</v>
      </c>
      <c r="AL283" s="5" t="s">
        <v>360</v>
      </c>
      <c r="AM283" s="5" t="s">
        <v>360</v>
      </c>
      <c r="AN283" s="5" t="s">
        <v>360</v>
      </c>
      <c r="AO283" s="5" t="s">
        <v>360</v>
      </c>
      <c r="AP283" s="43">
        <f t="shared" si="87"/>
        <v>0.86785810393527374</v>
      </c>
      <c r="AQ283" s="44">
        <v>763</v>
      </c>
      <c r="AR283" s="35">
        <f t="shared" si="80"/>
        <v>208.09090909090907</v>
      </c>
      <c r="AS283" s="35">
        <f t="shared" si="81"/>
        <v>180.6</v>
      </c>
      <c r="AT283" s="35">
        <f t="shared" si="82"/>
        <v>-27.490909090909071</v>
      </c>
      <c r="AU283" s="35">
        <v>31.5</v>
      </c>
      <c r="AV283" s="35">
        <v>27.4</v>
      </c>
      <c r="AW283" s="35"/>
      <c r="AX283" s="35">
        <f t="shared" si="83"/>
        <v>121.7</v>
      </c>
      <c r="AY283" s="35"/>
      <c r="AZ283" s="35">
        <f t="shared" si="84"/>
        <v>121.7</v>
      </c>
      <c r="BA283" s="35">
        <v>0</v>
      </c>
      <c r="BB283" s="35">
        <f t="shared" si="88"/>
        <v>121.7</v>
      </c>
      <c r="BC283" s="35"/>
      <c r="BD283" s="35">
        <f t="shared" si="85"/>
        <v>121.7</v>
      </c>
      <c r="BE283" s="35">
        <v>114</v>
      </c>
      <c r="BF283" s="35">
        <f t="shared" si="86"/>
        <v>7.7</v>
      </c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10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10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10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10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10"/>
      <c r="HA283" s="9"/>
      <c r="HB283" s="9"/>
    </row>
    <row r="284" spans="1:210" s="2" customFormat="1" ht="17.149999999999999" customHeight="1">
      <c r="A284" s="14" t="s">
        <v>268</v>
      </c>
      <c r="B284" s="63">
        <v>0</v>
      </c>
      <c r="C284" s="63">
        <v>0</v>
      </c>
      <c r="D284" s="4">
        <f t="shared" si="76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359.4</v>
      </c>
      <c r="O284" s="35">
        <v>383.8</v>
      </c>
      <c r="P284" s="4">
        <f t="shared" si="77"/>
        <v>1.0678909293266556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82">
        <v>4562</v>
      </c>
      <c r="W284" s="82">
        <v>4690</v>
      </c>
      <c r="X284" s="4">
        <f t="shared" si="78"/>
        <v>1.0280578693555458</v>
      </c>
      <c r="Y284" s="5">
        <v>5</v>
      </c>
      <c r="Z284" s="5">
        <v>112</v>
      </c>
      <c r="AA284" s="5">
        <v>118</v>
      </c>
      <c r="AB284" s="4">
        <f t="shared" si="79"/>
        <v>1.0535714285714286</v>
      </c>
      <c r="AC284" s="5">
        <v>20</v>
      </c>
      <c r="AD284" s="5" t="s">
        <v>360</v>
      </c>
      <c r="AE284" s="5" t="s">
        <v>360</v>
      </c>
      <c r="AF284" s="5" t="s">
        <v>360</v>
      </c>
      <c r="AG284" s="5" t="s">
        <v>360</v>
      </c>
      <c r="AH284" s="5" t="s">
        <v>360</v>
      </c>
      <c r="AI284" s="5" t="s">
        <v>360</v>
      </c>
      <c r="AJ284" s="5" t="s">
        <v>360</v>
      </c>
      <c r="AK284" s="5" t="s">
        <v>360</v>
      </c>
      <c r="AL284" s="5" t="s">
        <v>360</v>
      </c>
      <c r="AM284" s="5" t="s">
        <v>360</v>
      </c>
      <c r="AN284" s="5" t="s">
        <v>360</v>
      </c>
      <c r="AO284" s="5" t="s">
        <v>360</v>
      </c>
      <c r="AP284" s="43">
        <f t="shared" si="87"/>
        <v>1.0571008112164315</v>
      </c>
      <c r="AQ284" s="44">
        <v>904</v>
      </c>
      <c r="AR284" s="35">
        <f t="shared" si="80"/>
        <v>246.54545454545456</v>
      </c>
      <c r="AS284" s="35">
        <f t="shared" si="81"/>
        <v>260.60000000000002</v>
      </c>
      <c r="AT284" s="35">
        <f t="shared" si="82"/>
        <v>14.054545454545462</v>
      </c>
      <c r="AU284" s="35">
        <v>64</v>
      </c>
      <c r="AV284" s="35">
        <v>32.799999999999997</v>
      </c>
      <c r="AW284" s="35"/>
      <c r="AX284" s="35">
        <f t="shared" si="83"/>
        <v>163.80000000000001</v>
      </c>
      <c r="AY284" s="35"/>
      <c r="AZ284" s="35">
        <f t="shared" si="84"/>
        <v>163.80000000000001</v>
      </c>
      <c r="BA284" s="35">
        <v>0</v>
      </c>
      <c r="BB284" s="35">
        <f t="shared" si="88"/>
        <v>163.80000000000001</v>
      </c>
      <c r="BC284" s="35"/>
      <c r="BD284" s="35">
        <f t="shared" si="85"/>
        <v>163.80000000000001</v>
      </c>
      <c r="BE284" s="35">
        <v>164.7</v>
      </c>
      <c r="BF284" s="35">
        <f t="shared" si="86"/>
        <v>-0.9</v>
      </c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10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10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10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10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10"/>
      <c r="HA284" s="9"/>
      <c r="HB284" s="9"/>
    </row>
    <row r="285" spans="1:210" s="2" customFormat="1" ht="17.149999999999999" customHeight="1">
      <c r="A285" s="14" t="s">
        <v>269</v>
      </c>
      <c r="B285" s="63">
        <v>27948</v>
      </c>
      <c r="C285" s="63">
        <v>23540.6</v>
      </c>
      <c r="D285" s="4">
        <f t="shared" si="76"/>
        <v>0.8422999856877057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4190.7</v>
      </c>
      <c r="O285" s="35">
        <v>5051.2</v>
      </c>
      <c r="P285" s="4">
        <f t="shared" si="77"/>
        <v>1.2005335624120075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82">
        <v>115154</v>
      </c>
      <c r="W285" s="82">
        <v>136206</v>
      </c>
      <c r="X285" s="4">
        <f t="shared" si="78"/>
        <v>1.1828160550219706</v>
      </c>
      <c r="Y285" s="5">
        <v>5</v>
      </c>
      <c r="Z285" s="5">
        <v>134</v>
      </c>
      <c r="AA285" s="5">
        <v>133</v>
      </c>
      <c r="AB285" s="4">
        <f t="shared" si="79"/>
        <v>0.9925373134328358</v>
      </c>
      <c r="AC285" s="5">
        <v>20</v>
      </c>
      <c r="AD285" s="5" t="s">
        <v>360</v>
      </c>
      <c r="AE285" s="5" t="s">
        <v>360</v>
      </c>
      <c r="AF285" s="5" t="s">
        <v>360</v>
      </c>
      <c r="AG285" s="5" t="s">
        <v>360</v>
      </c>
      <c r="AH285" s="5" t="s">
        <v>360</v>
      </c>
      <c r="AI285" s="5" t="s">
        <v>360</v>
      </c>
      <c r="AJ285" s="5" t="s">
        <v>360</v>
      </c>
      <c r="AK285" s="5" t="s">
        <v>360</v>
      </c>
      <c r="AL285" s="5" t="s">
        <v>360</v>
      </c>
      <c r="AM285" s="5" t="s">
        <v>360</v>
      </c>
      <c r="AN285" s="5" t="s">
        <v>360</v>
      </c>
      <c r="AO285" s="5" t="s">
        <v>360</v>
      </c>
      <c r="AP285" s="43">
        <f t="shared" si="87"/>
        <v>1.0797399544089048</v>
      </c>
      <c r="AQ285" s="44">
        <v>133</v>
      </c>
      <c r="AR285" s="35">
        <f t="shared" si="80"/>
        <v>36.272727272727273</v>
      </c>
      <c r="AS285" s="35">
        <f t="shared" si="81"/>
        <v>39.200000000000003</v>
      </c>
      <c r="AT285" s="35">
        <f t="shared" si="82"/>
        <v>2.9272727272727295</v>
      </c>
      <c r="AU285" s="35">
        <v>13.9</v>
      </c>
      <c r="AV285" s="35">
        <v>13.6</v>
      </c>
      <c r="AW285" s="35"/>
      <c r="AX285" s="35">
        <f t="shared" si="83"/>
        <v>11.7</v>
      </c>
      <c r="AY285" s="35"/>
      <c r="AZ285" s="35">
        <f t="shared" si="84"/>
        <v>11.7</v>
      </c>
      <c r="BA285" s="35">
        <v>0</v>
      </c>
      <c r="BB285" s="35">
        <f t="shared" si="88"/>
        <v>11.7</v>
      </c>
      <c r="BC285" s="35"/>
      <c r="BD285" s="35">
        <f t="shared" si="85"/>
        <v>11.7</v>
      </c>
      <c r="BE285" s="35">
        <v>11.2</v>
      </c>
      <c r="BF285" s="35">
        <f t="shared" si="86"/>
        <v>0.5</v>
      </c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10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10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10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10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10"/>
      <c r="HA285" s="9"/>
      <c r="HB285" s="9"/>
    </row>
    <row r="286" spans="1:210" s="2" customFormat="1" ht="17.149999999999999" customHeight="1">
      <c r="A286" s="14" t="s">
        <v>270</v>
      </c>
      <c r="B286" s="63">
        <v>6923</v>
      </c>
      <c r="C286" s="63">
        <v>6638</v>
      </c>
      <c r="D286" s="4">
        <f t="shared" si="76"/>
        <v>0.95883287592084354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799.4</v>
      </c>
      <c r="O286" s="35">
        <v>723.3</v>
      </c>
      <c r="P286" s="4">
        <f t="shared" si="77"/>
        <v>0.90480360270202653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82">
        <v>19335</v>
      </c>
      <c r="W286" s="82">
        <v>22232</v>
      </c>
      <c r="X286" s="4">
        <f t="shared" si="78"/>
        <v>1.1498319110421515</v>
      </c>
      <c r="Y286" s="5">
        <v>5</v>
      </c>
      <c r="Z286" s="5">
        <v>45</v>
      </c>
      <c r="AA286" s="5">
        <v>48</v>
      </c>
      <c r="AB286" s="4">
        <f t="shared" si="79"/>
        <v>1.0666666666666667</v>
      </c>
      <c r="AC286" s="5">
        <v>20</v>
      </c>
      <c r="AD286" s="5" t="s">
        <v>360</v>
      </c>
      <c r="AE286" s="5" t="s">
        <v>360</v>
      </c>
      <c r="AF286" s="5" t="s">
        <v>360</v>
      </c>
      <c r="AG286" s="5" t="s">
        <v>360</v>
      </c>
      <c r="AH286" s="5" t="s">
        <v>360</v>
      </c>
      <c r="AI286" s="5" t="s">
        <v>360</v>
      </c>
      <c r="AJ286" s="5" t="s">
        <v>360</v>
      </c>
      <c r="AK286" s="5" t="s">
        <v>360</v>
      </c>
      <c r="AL286" s="5" t="s">
        <v>360</v>
      </c>
      <c r="AM286" s="5" t="s">
        <v>360</v>
      </c>
      <c r="AN286" s="5" t="s">
        <v>360</v>
      </c>
      <c r="AO286" s="5" t="s">
        <v>360</v>
      </c>
      <c r="AP286" s="43">
        <f t="shared" si="87"/>
        <v>0.99945458644377683</v>
      </c>
      <c r="AQ286" s="44">
        <v>979</v>
      </c>
      <c r="AR286" s="35">
        <f t="shared" si="80"/>
        <v>267</v>
      </c>
      <c r="AS286" s="35">
        <f t="shared" si="81"/>
        <v>266.89999999999998</v>
      </c>
      <c r="AT286" s="35">
        <f t="shared" si="82"/>
        <v>-0.10000000000002274</v>
      </c>
      <c r="AU286" s="35">
        <v>36.200000000000003</v>
      </c>
      <c r="AV286" s="35">
        <v>107.3</v>
      </c>
      <c r="AW286" s="35"/>
      <c r="AX286" s="35">
        <f t="shared" si="83"/>
        <v>123.4</v>
      </c>
      <c r="AY286" s="35"/>
      <c r="AZ286" s="35">
        <f t="shared" si="84"/>
        <v>123.4</v>
      </c>
      <c r="BA286" s="35">
        <v>0</v>
      </c>
      <c r="BB286" s="35">
        <f t="shared" si="88"/>
        <v>123.4</v>
      </c>
      <c r="BC286" s="35"/>
      <c r="BD286" s="35">
        <f t="shared" si="85"/>
        <v>123.4</v>
      </c>
      <c r="BE286" s="35">
        <v>118.9</v>
      </c>
      <c r="BF286" s="35">
        <f t="shared" si="86"/>
        <v>4.5</v>
      </c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10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10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10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10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10"/>
      <c r="HA286" s="9"/>
      <c r="HB286" s="9"/>
    </row>
    <row r="287" spans="1:210" s="2" customFormat="1" ht="17.149999999999999" customHeight="1">
      <c r="A287" s="14" t="s">
        <v>271</v>
      </c>
      <c r="B287" s="63">
        <v>139657</v>
      </c>
      <c r="C287" s="63">
        <v>103810</v>
      </c>
      <c r="D287" s="4">
        <f t="shared" si="76"/>
        <v>0.74332113678512357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1770.5</v>
      </c>
      <c r="O287" s="35">
        <v>1898.8</v>
      </c>
      <c r="P287" s="4">
        <f t="shared" si="77"/>
        <v>1.0724654052527534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82">
        <v>114982</v>
      </c>
      <c r="W287" s="82">
        <v>147706</v>
      </c>
      <c r="X287" s="4">
        <f t="shared" si="78"/>
        <v>1.208460106799325</v>
      </c>
      <c r="Y287" s="5">
        <v>5</v>
      </c>
      <c r="Z287" s="5">
        <v>308</v>
      </c>
      <c r="AA287" s="5">
        <v>291</v>
      </c>
      <c r="AB287" s="4">
        <f t="shared" si="79"/>
        <v>0.94480519480519476</v>
      </c>
      <c r="AC287" s="5">
        <v>20</v>
      </c>
      <c r="AD287" s="5" t="s">
        <v>360</v>
      </c>
      <c r="AE287" s="5" t="s">
        <v>360</v>
      </c>
      <c r="AF287" s="5" t="s">
        <v>360</v>
      </c>
      <c r="AG287" s="5" t="s">
        <v>360</v>
      </c>
      <c r="AH287" s="5" t="s">
        <v>360</v>
      </c>
      <c r="AI287" s="5" t="s">
        <v>360</v>
      </c>
      <c r="AJ287" s="5" t="s">
        <v>360</v>
      </c>
      <c r="AK287" s="5" t="s">
        <v>360</v>
      </c>
      <c r="AL287" s="5" t="s">
        <v>360</v>
      </c>
      <c r="AM287" s="5" t="s">
        <v>360</v>
      </c>
      <c r="AN287" s="5" t="s">
        <v>360</v>
      </c>
      <c r="AO287" s="5" t="s">
        <v>360</v>
      </c>
      <c r="AP287" s="43">
        <f t="shared" si="87"/>
        <v>1.0020863643816242</v>
      </c>
      <c r="AQ287" s="44">
        <v>1014</v>
      </c>
      <c r="AR287" s="35">
        <f t="shared" si="80"/>
        <v>276.54545454545456</v>
      </c>
      <c r="AS287" s="35">
        <f t="shared" si="81"/>
        <v>277.10000000000002</v>
      </c>
      <c r="AT287" s="35">
        <f t="shared" si="82"/>
        <v>0.55454545454546178</v>
      </c>
      <c r="AU287" s="35">
        <v>86.7</v>
      </c>
      <c r="AV287" s="35">
        <v>74.099999999999994</v>
      </c>
      <c r="AW287" s="35"/>
      <c r="AX287" s="35">
        <f t="shared" si="83"/>
        <v>116.3</v>
      </c>
      <c r="AY287" s="35"/>
      <c r="AZ287" s="35">
        <f t="shared" si="84"/>
        <v>116.3</v>
      </c>
      <c r="BA287" s="35">
        <v>0</v>
      </c>
      <c r="BB287" s="35">
        <f t="shared" si="88"/>
        <v>116.3</v>
      </c>
      <c r="BC287" s="35"/>
      <c r="BD287" s="35">
        <f t="shared" si="85"/>
        <v>116.3</v>
      </c>
      <c r="BE287" s="35">
        <v>110</v>
      </c>
      <c r="BF287" s="35">
        <f t="shared" si="86"/>
        <v>6.3</v>
      </c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10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10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10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10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10"/>
      <c r="HA287" s="9"/>
      <c r="HB287" s="9"/>
    </row>
    <row r="288" spans="1:210" s="2" customFormat="1" ht="17.149999999999999" customHeight="1">
      <c r="A288" s="14" t="s">
        <v>272</v>
      </c>
      <c r="B288" s="63">
        <v>186402</v>
      </c>
      <c r="C288" s="63">
        <v>172933.4</v>
      </c>
      <c r="D288" s="4">
        <f t="shared" si="76"/>
        <v>0.92774433750710827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10882.3</v>
      </c>
      <c r="O288" s="35">
        <v>12306.2</v>
      </c>
      <c r="P288" s="4">
        <f t="shared" si="77"/>
        <v>1.1308455014105476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82">
        <v>276450</v>
      </c>
      <c r="W288" s="82">
        <v>300723</v>
      </c>
      <c r="X288" s="4">
        <f t="shared" si="78"/>
        <v>1.0878024959305481</v>
      </c>
      <c r="Y288" s="5">
        <v>5</v>
      </c>
      <c r="Z288" s="5">
        <v>25</v>
      </c>
      <c r="AA288" s="5">
        <v>25</v>
      </c>
      <c r="AB288" s="4">
        <f t="shared" si="79"/>
        <v>1</v>
      </c>
      <c r="AC288" s="5">
        <v>20</v>
      </c>
      <c r="AD288" s="5" t="s">
        <v>360</v>
      </c>
      <c r="AE288" s="5" t="s">
        <v>360</v>
      </c>
      <c r="AF288" s="5" t="s">
        <v>360</v>
      </c>
      <c r="AG288" s="5" t="s">
        <v>360</v>
      </c>
      <c r="AH288" s="5" t="s">
        <v>360</v>
      </c>
      <c r="AI288" s="5" t="s">
        <v>360</v>
      </c>
      <c r="AJ288" s="5" t="s">
        <v>360</v>
      </c>
      <c r="AK288" s="5" t="s">
        <v>360</v>
      </c>
      <c r="AL288" s="5" t="s">
        <v>360</v>
      </c>
      <c r="AM288" s="5" t="s">
        <v>360</v>
      </c>
      <c r="AN288" s="5" t="s">
        <v>360</v>
      </c>
      <c r="AO288" s="5" t="s">
        <v>360</v>
      </c>
      <c r="AP288" s="43">
        <f t="shared" si="87"/>
        <v>1.0538928839079846</v>
      </c>
      <c r="AQ288" s="44">
        <v>0</v>
      </c>
      <c r="AR288" s="35">
        <f t="shared" si="80"/>
        <v>0</v>
      </c>
      <c r="AS288" s="35">
        <f t="shared" si="81"/>
        <v>0</v>
      </c>
      <c r="AT288" s="35">
        <f t="shared" si="82"/>
        <v>0</v>
      </c>
      <c r="AU288" s="35">
        <v>0</v>
      </c>
      <c r="AV288" s="35">
        <v>0</v>
      </c>
      <c r="AW288" s="35"/>
      <c r="AX288" s="35">
        <f t="shared" si="83"/>
        <v>0</v>
      </c>
      <c r="AY288" s="35"/>
      <c r="AZ288" s="35">
        <f t="shared" si="84"/>
        <v>0</v>
      </c>
      <c r="BA288" s="35">
        <v>0</v>
      </c>
      <c r="BB288" s="35">
        <f t="shared" si="88"/>
        <v>0</v>
      </c>
      <c r="BC288" s="35"/>
      <c r="BD288" s="35">
        <f t="shared" si="85"/>
        <v>0</v>
      </c>
      <c r="BE288" s="35">
        <v>0</v>
      </c>
      <c r="BF288" s="35">
        <f t="shared" si="86"/>
        <v>0</v>
      </c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10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10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10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10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10"/>
      <c r="HA288" s="9"/>
      <c r="HB288" s="9"/>
    </row>
    <row r="289" spans="1:210" s="2" customFormat="1" ht="17.149999999999999" customHeight="1">
      <c r="A289" s="14" t="s">
        <v>165</v>
      </c>
      <c r="B289" s="63">
        <v>0</v>
      </c>
      <c r="C289" s="63">
        <v>0</v>
      </c>
      <c r="D289" s="4">
        <f t="shared" si="76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678.5</v>
      </c>
      <c r="O289" s="35">
        <v>502</v>
      </c>
      <c r="P289" s="4">
        <f t="shared" si="77"/>
        <v>0.73986735445836405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82">
        <v>5646</v>
      </c>
      <c r="W289" s="82">
        <v>6014</v>
      </c>
      <c r="X289" s="4">
        <f t="shared" si="78"/>
        <v>1.0651788877081119</v>
      </c>
      <c r="Y289" s="5">
        <v>5</v>
      </c>
      <c r="Z289" s="5">
        <v>576</v>
      </c>
      <c r="AA289" s="5">
        <v>576</v>
      </c>
      <c r="AB289" s="4">
        <f t="shared" si="79"/>
        <v>1</v>
      </c>
      <c r="AC289" s="5">
        <v>20</v>
      </c>
      <c r="AD289" s="5" t="s">
        <v>360</v>
      </c>
      <c r="AE289" s="5" t="s">
        <v>360</v>
      </c>
      <c r="AF289" s="5" t="s">
        <v>360</v>
      </c>
      <c r="AG289" s="5" t="s">
        <v>360</v>
      </c>
      <c r="AH289" s="5" t="s">
        <v>360</v>
      </c>
      <c r="AI289" s="5" t="s">
        <v>360</v>
      </c>
      <c r="AJ289" s="5" t="s">
        <v>360</v>
      </c>
      <c r="AK289" s="5" t="s">
        <v>360</v>
      </c>
      <c r="AL289" s="5" t="s">
        <v>360</v>
      </c>
      <c r="AM289" s="5" t="s">
        <v>360</v>
      </c>
      <c r="AN289" s="5" t="s">
        <v>360</v>
      </c>
      <c r="AO289" s="5" t="s">
        <v>360</v>
      </c>
      <c r="AP289" s="43">
        <f t="shared" si="87"/>
        <v>0.89162758950461862</v>
      </c>
      <c r="AQ289" s="44">
        <v>802</v>
      </c>
      <c r="AR289" s="35">
        <f t="shared" si="80"/>
        <v>218.72727272727272</v>
      </c>
      <c r="AS289" s="35">
        <f t="shared" si="81"/>
        <v>195</v>
      </c>
      <c r="AT289" s="35">
        <f t="shared" si="82"/>
        <v>-23.72727272727272</v>
      </c>
      <c r="AU289" s="35">
        <v>34.6</v>
      </c>
      <c r="AV289" s="35">
        <v>89.4</v>
      </c>
      <c r="AW289" s="35"/>
      <c r="AX289" s="35">
        <f t="shared" si="83"/>
        <v>71</v>
      </c>
      <c r="AY289" s="35"/>
      <c r="AZ289" s="35">
        <f t="shared" si="84"/>
        <v>71</v>
      </c>
      <c r="BA289" s="35">
        <v>0</v>
      </c>
      <c r="BB289" s="35">
        <f t="shared" si="88"/>
        <v>71</v>
      </c>
      <c r="BC289" s="35"/>
      <c r="BD289" s="35">
        <f t="shared" si="85"/>
        <v>71</v>
      </c>
      <c r="BE289" s="35">
        <v>66.3</v>
      </c>
      <c r="BF289" s="35">
        <f t="shared" si="86"/>
        <v>4.7</v>
      </c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10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10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10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10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10"/>
      <c r="HA289" s="9"/>
      <c r="HB289" s="9"/>
    </row>
    <row r="290" spans="1:210" s="2" customFormat="1" ht="17.149999999999999" customHeight="1">
      <c r="A290" s="18" t="s">
        <v>273</v>
      </c>
      <c r="B290" s="59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83"/>
      <c r="W290" s="83"/>
      <c r="X290" s="11"/>
      <c r="Y290" s="11"/>
      <c r="Z290" s="11"/>
      <c r="AA290" s="11"/>
      <c r="AB290" s="11"/>
      <c r="AC290" s="11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35"/>
      <c r="BB290" s="35"/>
      <c r="BC290" s="35"/>
      <c r="BD290" s="35"/>
      <c r="BE290" s="35"/>
      <c r="BF290" s="35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10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10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10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10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10"/>
      <c r="HA290" s="9"/>
      <c r="HB290" s="9"/>
    </row>
    <row r="291" spans="1:210" s="2" customFormat="1" ht="17.149999999999999" customHeight="1">
      <c r="A291" s="45" t="s">
        <v>69</v>
      </c>
      <c r="B291" s="63">
        <v>146000</v>
      </c>
      <c r="C291" s="63">
        <v>208103.6</v>
      </c>
      <c r="D291" s="4">
        <f t="shared" si="76"/>
        <v>1.2225367123287672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709.6</v>
      </c>
      <c r="O291" s="35">
        <v>803.8</v>
      </c>
      <c r="P291" s="4">
        <f t="shared" si="77"/>
        <v>1.1327508455467867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82">
        <v>146989</v>
      </c>
      <c r="W291" s="82">
        <v>108889</v>
      </c>
      <c r="X291" s="4">
        <f t="shared" si="78"/>
        <v>0.74079693038254568</v>
      </c>
      <c r="Y291" s="5">
        <v>10</v>
      </c>
      <c r="Z291" s="5">
        <v>26</v>
      </c>
      <c r="AA291" s="5">
        <v>26</v>
      </c>
      <c r="AB291" s="4">
        <f t="shared" si="79"/>
        <v>1</v>
      </c>
      <c r="AC291" s="5">
        <v>20</v>
      </c>
      <c r="AD291" s="5" t="s">
        <v>360</v>
      </c>
      <c r="AE291" s="5" t="s">
        <v>360</v>
      </c>
      <c r="AF291" s="5" t="s">
        <v>360</v>
      </c>
      <c r="AG291" s="5" t="s">
        <v>360</v>
      </c>
      <c r="AH291" s="5" t="s">
        <v>360</v>
      </c>
      <c r="AI291" s="5" t="s">
        <v>360</v>
      </c>
      <c r="AJ291" s="5" t="s">
        <v>360</v>
      </c>
      <c r="AK291" s="5" t="s">
        <v>360</v>
      </c>
      <c r="AL291" s="5" t="s">
        <v>360</v>
      </c>
      <c r="AM291" s="5" t="s">
        <v>360</v>
      </c>
      <c r="AN291" s="5" t="s">
        <v>360</v>
      </c>
      <c r="AO291" s="5" t="s">
        <v>360</v>
      </c>
      <c r="AP291" s="43">
        <f t="shared" si="87"/>
        <v>1.0213758141164551</v>
      </c>
      <c r="AQ291" s="44">
        <v>660</v>
      </c>
      <c r="AR291" s="35">
        <f t="shared" si="80"/>
        <v>180</v>
      </c>
      <c r="AS291" s="35">
        <f t="shared" si="81"/>
        <v>183.8</v>
      </c>
      <c r="AT291" s="35">
        <f t="shared" si="82"/>
        <v>3.8000000000000114</v>
      </c>
      <c r="AU291" s="35">
        <v>55.5</v>
      </c>
      <c r="AV291" s="35">
        <v>69.099999999999994</v>
      </c>
      <c r="AW291" s="35"/>
      <c r="AX291" s="35">
        <f t="shared" si="83"/>
        <v>59.2</v>
      </c>
      <c r="AY291" s="35"/>
      <c r="AZ291" s="35">
        <f t="shared" si="84"/>
        <v>59.2</v>
      </c>
      <c r="BA291" s="35">
        <v>0</v>
      </c>
      <c r="BB291" s="35">
        <f t="shared" si="88"/>
        <v>59.2</v>
      </c>
      <c r="BC291" s="35"/>
      <c r="BD291" s="35">
        <f t="shared" si="85"/>
        <v>59.2</v>
      </c>
      <c r="BE291" s="35">
        <v>70.5</v>
      </c>
      <c r="BF291" s="35">
        <f t="shared" si="86"/>
        <v>-11.3</v>
      </c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10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10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10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10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10"/>
      <c r="HA291" s="9"/>
      <c r="HB291" s="9"/>
    </row>
    <row r="292" spans="1:210" s="2" customFormat="1" ht="17.149999999999999" customHeight="1">
      <c r="A292" s="45" t="s">
        <v>274</v>
      </c>
      <c r="B292" s="63">
        <v>506</v>
      </c>
      <c r="C292" s="63">
        <v>482</v>
      </c>
      <c r="D292" s="4">
        <f t="shared" si="76"/>
        <v>0.95256916996047436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214</v>
      </c>
      <c r="O292" s="35">
        <v>240.5</v>
      </c>
      <c r="P292" s="4">
        <f t="shared" si="77"/>
        <v>1.1238317757009346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82">
        <v>1856</v>
      </c>
      <c r="W292" s="82">
        <v>2113</v>
      </c>
      <c r="X292" s="4">
        <f t="shared" si="78"/>
        <v>1.1384698275862069</v>
      </c>
      <c r="Y292" s="5">
        <v>10</v>
      </c>
      <c r="Z292" s="5">
        <v>59</v>
      </c>
      <c r="AA292" s="5">
        <v>59</v>
      </c>
      <c r="AB292" s="4">
        <f t="shared" si="79"/>
        <v>1</v>
      </c>
      <c r="AC292" s="5">
        <v>20</v>
      </c>
      <c r="AD292" s="5" t="s">
        <v>360</v>
      </c>
      <c r="AE292" s="5" t="s">
        <v>360</v>
      </c>
      <c r="AF292" s="5" t="s">
        <v>360</v>
      </c>
      <c r="AG292" s="5" t="s">
        <v>360</v>
      </c>
      <c r="AH292" s="5" t="s">
        <v>360</v>
      </c>
      <c r="AI292" s="5" t="s">
        <v>360</v>
      </c>
      <c r="AJ292" s="5" t="s">
        <v>360</v>
      </c>
      <c r="AK292" s="5" t="s">
        <v>360</v>
      </c>
      <c r="AL292" s="5" t="s">
        <v>360</v>
      </c>
      <c r="AM292" s="5" t="s">
        <v>360</v>
      </c>
      <c r="AN292" s="5" t="s">
        <v>360</v>
      </c>
      <c r="AO292" s="5" t="s">
        <v>360</v>
      </c>
      <c r="AP292" s="43">
        <f t="shared" si="87"/>
        <v>1.0658941752669662</v>
      </c>
      <c r="AQ292" s="44">
        <v>620</v>
      </c>
      <c r="AR292" s="35">
        <f t="shared" si="80"/>
        <v>169.09090909090909</v>
      </c>
      <c r="AS292" s="35">
        <f t="shared" si="81"/>
        <v>180.2</v>
      </c>
      <c r="AT292" s="35">
        <f t="shared" si="82"/>
        <v>11.109090909090895</v>
      </c>
      <c r="AU292" s="35">
        <v>72.2</v>
      </c>
      <c r="AV292" s="35">
        <v>48.6</v>
      </c>
      <c r="AW292" s="35">
        <v>6</v>
      </c>
      <c r="AX292" s="35">
        <f t="shared" si="83"/>
        <v>53.4</v>
      </c>
      <c r="AY292" s="35"/>
      <c r="AZ292" s="35">
        <f t="shared" si="84"/>
        <v>53.4</v>
      </c>
      <c r="BA292" s="35">
        <v>0</v>
      </c>
      <c r="BB292" s="35">
        <f t="shared" si="88"/>
        <v>53.4</v>
      </c>
      <c r="BC292" s="35"/>
      <c r="BD292" s="35">
        <f t="shared" si="85"/>
        <v>53.4</v>
      </c>
      <c r="BE292" s="35">
        <v>50.7</v>
      </c>
      <c r="BF292" s="35">
        <f t="shared" si="86"/>
        <v>2.7</v>
      </c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10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10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10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10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10"/>
      <c r="HA292" s="9"/>
      <c r="HB292" s="9"/>
    </row>
    <row r="293" spans="1:210" s="2" customFormat="1" ht="17.149999999999999" customHeight="1">
      <c r="A293" s="45" t="s">
        <v>275</v>
      </c>
      <c r="B293" s="63">
        <v>0</v>
      </c>
      <c r="C293" s="63">
        <v>0</v>
      </c>
      <c r="D293" s="4">
        <f t="shared" si="76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401.7</v>
      </c>
      <c r="O293" s="35">
        <v>1650.9</v>
      </c>
      <c r="P293" s="4">
        <f t="shared" si="77"/>
        <v>1.3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82">
        <v>159931</v>
      </c>
      <c r="W293" s="82">
        <v>157468</v>
      </c>
      <c r="X293" s="4">
        <f t="shared" si="78"/>
        <v>0.98459960858120066</v>
      </c>
      <c r="Y293" s="5">
        <v>10</v>
      </c>
      <c r="Z293" s="5">
        <v>115</v>
      </c>
      <c r="AA293" s="5">
        <v>115</v>
      </c>
      <c r="AB293" s="4">
        <f t="shared" si="79"/>
        <v>1</v>
      </c>
      <c r="AC293" s="5">
        <v>20</v>
      </c>
      <c r="AD293" s="5" t="s">
        <v>360</v>
      </c>
      <c r="AE293" s="5" t="s">
        <v>360</v>
      </c>
      <c r="AF293" s="5" t="s">
        <v>360</v>
      </c>
      <c r="AG293" s="5" t="s">
        <v>360</v>
      </c>
      <c r="AH293" s="5" t="s">
        <v>360</v>
      </c>
      <c r="AI293" s="5" t="s">
        <v>360</v>
      </c>
      <c r="AJ293" s="5" t="s">
        <v>360</v>
      </c>
      <c r="AK293" s="5" t="s">
        <v>360</v>
      </c>
      <c r="AL293" s="5" t="s">
        <v>360</v>
      </c>
      <c r="AM293" s="5" t="s">
        <v>360</v>
      </c>
      <c r="AN293" s="5" t="s">
        <v>360</v>
      </c>
      <c r="AO293" s="5" t="s">
        <v>360</v>
      </c>
      <c r="AP293" s="43">
        <f t="shared" si="87"/>
        <v>1.11691992171624</v>
      </c>
      <c r="AQ293" s="44">
        <v>122</v>
      </c>
      <c r="AR293" s="35">
        <f t="shared" si="80"/>
        <v>33.272727272727273</v>
      </c>
      <c r="AS293" s="35">
        <f t="shared" si="81"/>
        <v>37.200000000000003</v>
      </c>
      <c r="AT293" s="35">
        <f t="shared" si="82"/>
        <v>3.9272727272727295</v>
      </c>
      <c r="AU293" s="35">
        <v>14.4</v>
      </c>
      <c r="AV293" s="35">
        <v>8</v>
      </c>
      <c r="AW293" s="35">
        <v>5.5</v>
      </c>
      <c r="AX293" s="35">
        <f t="shared" si="83"/>
        <v>9.3000000000000007</v>
      </c>
      <c r="AY293" s="35"/>
      <c r="AZ293" s="35">
        <f t="shared" si="84"/>
        <v>9.3000000000000007</v>
      </c>
      <c r="BA293" s="35">
        <v>0</v>
      </c>
      <c r="BB293" s="35">
        <f t="shared" si="88"/>
        <v>9.3000000000000007</v>
      </c>
      <c r="BC293" s="35">
        <f>MIN(BB293,5.5)</f>
        <v>5.5</v>
      </c>
      <c r="BD293" s="35">
        <f t="shared" si="85"/>
        <v>3.8</v>
      </c>
      <c r="BE293" s="35">
        <v>4.9000000000000004</v>
      </c>
      <c r="BF293" s="35">
        <f t="shared" si="86"/>
        <v>-1.1000000000000001</v>
      </c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10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10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10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10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10"/>
      <c r="HA293" s="9"/>
      <c r="HB293" s="9"/>
    </row>
    <row r="294" spans="1:210" s="2" customFormat="1" ht="17.149999999999999" customHeight="1">
      <c r="A294" s="45" t="s">
        <v>51</v>
      </c>
      <c r="B294" s="63">
        <v>2301414</v>
      </c>
      <c r="C294" s="63">
        <v>2714782.9</v>
      </c>
      <c r="D294" s="4">
        <f t="shared" si="76"/>
        <v>1.1796151844040228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8066</v>
      </c>
      <c r="O294" s="35">
        <v>7940.6</v>
      </c>
      <c r="P294" s="4">
        <f t="shared" si="77"/>
        <v>0.98445326060004967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82">
        <v>442655</v>
      </c>
      <c r="W294" s="82">
        <v>441204</v>
      </c>
      <c r="X294" s="4">
        <f t="shared" si="78"/>
        <v>0.9967220521625193</v>
      </c>
      <c r="Y294" s="5">
        <v>10</v>
      </c>
      <c r="Z294" s="5">
        <v>840</v>
      </c>
      <c r="AA294" s="5">
        <v>767</v>
      </c>
      <c r="AB294" s="4">
        <f t="shared" si="79"/>
        <v>0.91309523809523807</v>
      </c>
      <c r="AC294" s="5">
        <v>20</v>
      </c>
      <c r="AD294" s="5" t="s">
        <v>360</v>
      </c>
      <c r="AE294" s="5" t="s">
        <v>360</v>
      </c>
      <c r="AF294" s="5" t="s">
        <v>360</v>
      </c>
      <c r="AG294" s="5" t="s">
        <v>360</v>
      </c>
      <c r="AH294" s="5" t="s">
        <v>360</v>
      </c>
      <c r="AI294" s="5" t="s">
        <v>360</v>
      </c>
      <c r="AJ294" s="5" t="s">
        <v>360</v>
      </c>
      <c r="AK294" s="5" t="s">
        <v>360</v>
      </c>
      <c r="AL294" s="5" t="s">
        <v>360</v>
      </c>
      <c r="AM294" s="5" t="s">
        <v>360</v>
      </c>
      <c r="AN294" s="5" t="s">
        <v>360</v>
      </c>
      <c r="AO294" s="5" t="s">
        <v>360</v>
      </c>
      <c r="AP294" s="43">
        <f t="shared" si="87"/>
        <v>0.97847757122820112</v>
      </c>
      <c r="AQ294" s="44">
        <v>63</v>
      </c>
      <c r="AR294" s="35">
        <f t="shared" si="80"/>
        <v>17.181818181818183</v>
      </c>
      <c r="AS294" s="35">
        <f t="shared" si="81"/>
        <v>16.8</v>
      </c>
      <c r="AT294" s="35">
        <f t="shared" si="82"/>
        <v>-0.38181818181818272</v>
      </c>
      <c r="AU294" s="35">
        <v>5.2</v>
      </c>
      <c r="AV294" s="35">
        <v>5.0999999999999996</v>
      </c>
      <c r="AW294" s="35"/>
      <c r="AX294" s="35">
        <f t="shared" si="83"/>
        <v>6.5</v>
      </c>
      <c r="AY294" s="35"/>
      <c r="AZ294" s="35">
        <f t="shared" si="84"/>
        <v>6.5</v>
      </c>
      <c r="BA294" s="35">
        <v>0</v>
      </c>
      <c r="BB294" s="35">
        <f t="shared" si="88"/>
        <v>6.5</v>
      </c>
      <c r="BC294" s="35"/>
      <c r="BD294" s="35">
        <f t="shared" si="85"/>
        <v>6.5</v>
      </c>
      <c r="BE294" s="35">
        <v>6.4</v>
      </c>
      <c r="BF294" s="35">
        <f t="shared" si="86"/>
        <v>0.1</v>
      </c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10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10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10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10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10"/>
      <c r="HA294" s="9"/>
      <c r="HB294" s="9"/>
    </row>
    <row r="295" spans="1:210" s="2" customFormat="1" ht="17.149999999999999" customHeight="1">
      <c r="A295" s="45" t="s">
        <v>276</v>
      </c>
      <c r="B295" s="63">
        <v>1179</v>
      </c>
      <c r="C295" s="63">
        <v>812.5</v>
      </c>
      <c r="D295" s="4">
        <f t="shared" si="76"/>
        <v>0.68914334181509751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399.7</v>
      </c>
      <c r="O295" s="35">
        <v>589</v>
      </c>
      <c r="P295" s="4">
        <f t="shared" si="77"/>
        <v>1.2273605203902926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82">
        <v>6854</v>
      </c>
      <c r="W295" s="82">
        <v>1934</v>
      </c>
      <c r="X295" s="4">
        <f t="shared" si="78"/>
        <v>0.28217099503939308</v>
      </c>
      <c r="Y295" s="5">
        <v>10</v>
      </c>
      <c r="Z295" s="5">
        <v>190</v>
      </c>
      <c r="AA295" s="5">
        <v>190</v>
      </c>
      <c r="AB295" s="4">
        <f t="shared" si="79"/>
        <v>1</v>
      </c>
      <c r="AC295" s="5">
        <v>20</v>
      </c>
      <c r="AD295" s="5" t="s">
        <v>360</v>
      </c>
      <c r="AE295" s="5" t="s">
        <v>360</v>
      </c>
      <c r="AF295" s="5" t="s">
        <v>360</v>
      </c>
      <c r="AG295" s="5" t="s">
        <v>360</v>
      </c>
      <c r="AH295" s="5" t="s">
        <v>360</v>
      </c>
      <c r="AI295" s="5" t="s">
        <v>360</v>
      </c>
      <c r="AJ295" s="5" t="s">
        <v>360</v>
      </c>
      <c r="AK295" s="5" t="s">
        <v>360</v>
      </c>
      <c r="AL295" s="5" t="s">
        <v>360</v>
      </c>
      <c r="AM295" s="5" t="s">
        <v>360</v>
      </c>
      <c r="AN295" s="5" t="s">
        <v>360</v>
      </c>
      <c r="AO295" s="5" t="s">
        <v>360</v>
      </c>
      <c r="AP295" s="43">
        <f t="shared" si="87"/>
        <v>0.92390249213227771</v>
      </c>
      <c r="AQ295" s="44">
        <v>1123</v>
      </c>
      <c r="AR295" s="35">
        <f t="shared" si="80"/>
        <v>306.27272727272725</v>
      </c>
      <c r="AS295" s="35">
        <f t="shared" si="81"/>
        <v>283</v>
      </c>
      <c r="AT295" s="35">
        <f t="shared" si="82"/>
        <v>-23.272727272727252</v>
      </c>
      <c r="AU295" s="35">
        <v>120.5</v>
      </c>
      <c r="AV295" s="35">
        <v>117.1</v>
      </c>
      <c r="AW295" s="35"/>
      <c r="AX295" s="35">
        <f t="shared" si="83"/>
        <v>45.4</v>
      </c>
      <c r="AY295" s="35"/>
      <c r="AZ295" s="35">
        <f t="shared" si="84"/>
        <v>45.4</v>
      </c>
      <c r="BA295" s="35">
        <v>0</v>
      </c>
      <c r="BB295" s="35">
        <f t="shared" si="88"/>
        <v>45.4</v>
      </c>
      <c r="BC295" s="35"/>
      <c r="BD295" s="35">
        <f t="shared" si="85"/>
        <v>45.4</v>
      </c>
      <c r="BE295" s="35">
        <v>89</v>
      </c>
      <c r="BF295" s="35">
        <f t="shared" si="86"/>
        <v>-43.6</v>
      </c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10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10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10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10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10"/>
      <c r="HA295" s="9"/>
      <c r="HB295" s="9"/>
    </row>
    <row r="296" spans="1:210" s="2" customFormat="1" ht="17.149999999999999" customHeight="1">
      <c r="A296" s="45" t="s">
        <v>277</v>
      </c>
      <c r="B296" s="63">
        <v>45</v>
      </c>
      <c r="C296" s="63">
        <v>2755</v>
      </c>
      <c r="D296" s="4">
        <f t="shared" si="76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833.9</v>
      </c>
      <c r="O296" s="35">
        <v>607.4</v>
      </c>
      <c r="P296" s="4">
        <f t="shared" si="77"/>
        <v>0.72838469840508457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82">
        <v>3713</v>
      </c>
      <c r="W296" s="82">
        <v>5706</v>
      </c>
      <c r="X296" s="4">
        <f t="shared" si="78"/>
        <v>1.2336762725558847</v>
      </c>
      <c r="Y296" s="5">
        <v>10</v>
      </c>
      <c r="Z296" s="5">
        <v>431</v>
      </c>
      <c r="AA296" s="5">
        <v>395</v>
      </c>
      <c r="AB296" s="4">
        <f t="shared" si="79"/>
        <v>0.91647331786542918</v>
      </c>
      <c r="AC296" s="5">
        <v>20</v>
      </c>
      <c r="AD296" s="5" t="s">
        <v>360</v>
      </c>
      <c r="AE296" s="5" t="s">
        <v>360</v>
      </c>
      <c r="AF296" s="5" t="s">
        <v>360</v>
      </c>
      <c r="AG296" s="5" t="s">
        <v>360</v>
      </c>
      <c r="AH296" s="5" t="s">
        <v>360</v>
      </c>
      <c r="AI296" s="5" t="s">
        <v>360</v>
      </c>
      <c r="AJ296" s="5" t="s">
        <v>360</v>
      </c>
      <c r="AK296" s="5" t="s">
        <v>360</v>
      </c>
      <c r="AL296" s="5" t="s">
        <v>360</v>
      </c>
      <c r="AM296" s="5" t="s">
        <v>360</v>
      </c>
      <c r="AN296" s="5" t="s">
        <v>360</v>
      </c>
      <c r="AO296" s="5" t="s">
        <v>360</v>
      </c>
      <c r="AP296" s="43">
        <f t="shared" si="87"/>
        <v>0.94061678274489313</v>
      </c>
      <c r="AQ296" s="44">
        <v>1090</v>
      </c>
      <c r="AR296" s="35">
        <f t="shared" si="80"/>
        <v>297.27272727272725</v>
      </c>
      <c r="AS296" s="35">
        <f t="shared" si="81"/>
        <v>279.60000000000002</v>
      </c>
      <c r="AT296" s="35">
        <f t="shared" si="82"/>
        <v>-17.672727272727229</v>
      </c>
      <c r="AU296" s="35">
        <v>123.1</v>
      </c>
      <c r="AV296" s="35">
        <v>60.7</v>
      </c>
      <c r="AW296" s="35"/>
      <c r="AX296" s="35">
        <f t="shared" si="83"/>
        <v>95.8</v>
      </c>
      <c r="AY296" s="35"/>
      <c r="AZ296" s="35">
        <f t="shared" si="84"/>
        <v>95.8</v>
      </c>
      <c r="BA296" s="35">
        <v>0</v>
      </c>
      <c r="BB296" s="35">
        <f t="shared" si="88"/>
        <v>95.8</v>
      </c>
      <c r="BC296" s="35"/>
      <c r="BD296" s="35">
        <f t="shared" si="85"/>
        <v>95.8</v>
      </c>
      <c r="BE296" s="35">
        <v>76.5</v>
      </c>
      <c r="BF296" s="35">
        <f t="shared" si="86"/>
        <v>19.3</v>
      </c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10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10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10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10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10"/>
      <c r="HA296" s="9"/>
      <c r="HB296" s="9"/>
    </row>
    <row r="297" spans="1:210" s="2" customFormat="1" ht="17.149999999999999" customHeight="1">
      <c r="A297" s="45" t="s">
        <v>278</v>
      </c>
      <c r="B297" s="63">
        <v>2028</v>
      </c>
      <c r="C297" s="63">
        <v>4262.3999999999996</v>
      </c>
      <c r="D297" s="4">
        <f t="shared" si="76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2359.6</v>
      </c>
      <c r="O297" s="35">
        <v>3581.5</v>
      </c>
      <c r="P297" s="4">
        <f t="shared" si="77"/>
        <v>1.231784200711985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82">
        <v>57118</v>
      </c>
      <c r="W297" s="82">
        <v>35067</v>
      </c>
      <c r="X297" s="4">
        <f t="shared" si="78"/>
        <v>0.61393956371021396</v>
      </c>
      <c r="Y297" s="5">
        <v>10</v>
      </c>
      <c r="Z297" s="5">
        <v>109</v>
      </c>
      <c r="AA297" s="5">
        <v>109</v>
      </c>
      <c r="AB297" s="4">
        <f t="shared" si="79"/>
        <v>1</v>
      </c>
      <c r="AC297" s="5">
        <v>20</v>
      </c>
      <c r="AD297" s="5" t="s">
        <v>360</v>
      </c>
      <c r="AE297" s="5" t="s">
        <v>360</v>
      </c>
      <c r="AF297" s="5" t="s">
        <v>360</v>
      </c>
      <c r="AG297" s="5" t="s">
        <v>360</v>
      </c>
      <c r="AH297" s="5" t="s">
        <v>360</v>
      </c>
      <c r="AI297" s="5" t="s">
        <v>360</v>
      </c>
      <c r="AJ297" s="5" t="s">
        <v>360</v>
      </c>
      <c r="AK297" s="5" t="s">
        <v>360</v>
      </c>
      <c r="AL297" s="5" t="s">
        <v>360</v>
      </c>
      <c r="AM297" s="5" t="s">
        <v>360</v>
      </c>
      <c r="AN297" s="5" t="s">
        <v>360</v>
      </c>
      <c r="AO297" s="5" t="s">
        <v>360</v>
      </c>
      <c r="AP297" s="43">
        <f t="shared" si="87"/>
        <v>1.0155015930268367</v>
      </c>
      <c r="AQ297" s="44">
        <v>906</v>
      </c>
      <c r="AR297" s="35">
        <f t="shared" si="80"/>
        <v>247.09090909090907</v>
      </c>
      <c r="AS297" s="35">
        <f t="shared" si="81"/>
        <v>250.9</v>
      </c>
      <c r="AT297" s="35">
        <f t="shared" si="82"/>
        <v>3.8090909090909406</v>
      </c>
      <c r="AU297" s="35">
        <v>72.8</v>
      </c>
      <c r="AV297" s="35">
        <v>105.4</v>
      </c>
      <c r="AW297" s="35"/>
      <c r="AX297" s="35">
        <f t="shared" si="83"/>
        <v>72.7</v>
      </c>
      <c r="AY297" s="35"/>
      <c r="AZ297" s="35">
        <f t="shared" si="84"/>
        <v>72.7</v>
      </c>
      <c r="BA297" s="35">
        <v>0</v>
      </c>
      <c r="BB297" s="35">
        <f t="shared" si="88"/>
        <v>72.7</v>
      </c>
      <c r="BC297" s="35"/>
      <c r="BD297" s="35">
        <f t="shared" si="85"/>
        <v>72.7</v>
      </c>
      <c r="BE297" s="35">
        <v>97.5</v>
      </c>
      <c r="BF297" s="35">
        <f t="shared" si="86"/>
        <v>-24.8</v>
      </c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10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10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10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10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10"/>
      <c r="HA297" s="9"/>
      <c r="HB297" s="9"/>
    </row>
    <row r="298" spans="1:210" s="2" customFormat="1" ht="17.149999999999999" customHeight="1">
      <c r="A298" s="45" t="s">
        <v>279</v>
      </c>
      <c r="B298" s="63">
        <v>15000</v>
      </c>
      <c r="C298" s="63">
        <v>14090.9</v>
      </c>
      <c r="D298" s="4">
        <f t="shared" si="76"/>
        <v>0.9393933333333333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664.9</v>
      </c>
      <c r="O298" s="35">
        <v>627.79999999999995</v>
      </c>
      <c r="P298" s="4">
        <f t="shared" si="77"/>
        <v>0.94420213565949762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82">
        <v>22847</v>
      </c>
      <c r="W298" s="82">
        <v>24610</v>
      </c>
      <c r="X298" s="4">
        <f t="shared" si="78"/>
        <v>1.0771654921871581</v>
      </c>
      <c r="Y298" s="5">
        <v>10</v>
      </c>
      <c r="Z298" s="5">
        <v>535</v>
      </c>
      <c r="AA298" s="5">
        <v>538</v>
      </c>
      <c r="AB298" s="4">
        <f t="shared" si="79"/>
        <v>1.0056074766355141</v>
      </c>
      <c r="AC298" s="5">
        <v>20</v>
      </c>
      <c r="AD298" s="5" t="s">
        <v>360</v>
      </c>
      <c r="AE298" s="5" t="s">
        <v>360</v>
      </c>
      <c r="AF298" s="5" t="s">
        <v>360</v>
      </c>
      <c r="AG298" s="5" t="s">
        <v>360</v>
      </c>
      <c r="AH298" s="5" t="s">
        <v>360</v>
      </c>
      <c r="AI298" s="5" t="s">
        <v>360</v>
      </c>
      <c r="AJ298" s="5" t="s">
        <v>360</v>
      </c>
      <c r="AK298" s="5" t="s">
        <v>360</v>
      </c>
      <c r="AL298" s="5" t="s">
        <v>360</v>
      </c>
      <c r="AM298" s="5" t="s">
        <v>360</v>
      </c>
      <c r="AN298" s="5" t="s">
        <v>360</v>
      </c>
      <c r="AO298" s="5" t="s">
        <v>360</v>
      </c>
      <c r="AP298" s="43">
        <f t="shared" si="87"/>
        <v>0.99026934244433595</v>
      </c>
      <c r="AQ298" s="44">
        <v>1200</v>
      </c>
      <c r="AR298" s="35">
        <f t="shared" si="80"/>
        <v>327.27272727272725</v>
      </c>
      <c r="AS298" s="35">
        <f t="shared" si="81"/>
        <v>324.10000000000002</v>
      </c>
      <c r="AT298" s="35">
        <f t="shared" si="82"/>
        <v>-3.1727272727272293</v>
      </c>
      <c r="AU298" s="35">
        <v>124.5</v>
      </c>
      <c r="AV298" s="35">
        <v>110.6</v>
      </c>
      <c r="AW298" s="35"/>
      <c r="AX298" s="35">
        <f t="shared" si="83"/>
        <v>89</v>
      </c>
      <c r="AY298" s="35"/>
      <c r="AZ298" s="35">
        <f t="shared" si="84"/>
        <v>89</v>
      </c>
      <c r="BA298" s="35">
        <v>0</v>
      </c>
      <c r="BB298" s="35">
        <f t="shared" si="88"/>
        <v>89</v>
      </c>
      <c r="BC298" s="35"/>
      <c r="BD298" s="35">
        <f t="shared" si="85"/>
        <v>89</v>
      </c>
      <c r="BE298" s="35">
        <v>82.7</v>
      </c>
      <c r="BF298" s="35">
        <f t="shared" si="86"/>
        <v>6.3</v>
      </c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10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10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10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10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10"/>
      <c r="HA298" s="9"/>
      <c r="HB298" s="9"/>
    </row>
    <row r="299" spans="1:210" s="2" customFormat="1" ht="17.149999999999999" customHeight="1">
      <c r="A299" s="45" t="s">
        <v>280</v>
      </c>
      <c r="B299" s="63">
        <v>0</v>
      </c>
      <c r="C299" s="63">
        <v>0</v>
      </c>
      <c r="D299" s="4">
        <f t="shared" si="76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467</v>
      </c>
      <c r="O299" s="35">
        <v>100.8</v>
      </c>
      <c r="P299" s="4">
        <f t="shared" si="77"/>
        <v>0.2158458244111349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82">
        <v>1428</v>
      </c>
      <c r="W299" s="82">
        <v>700</v>
      </c>
      <c r="X299" s="4">
        <f t="shared" si="78"/>
        <v>0.49019607843137253</v>
      </c>
      <c r="Y299" s="5">
        <v>10</v>
      </c>
      <c r="Z299" s="5">
        <v>103</v>
      </c>
      <c r="AA299" s="5">
        <v>95</v>
      </c>
      <c r="AB299" s="4">
        <f t="shared" si="79"/>
        <v>0.92233009708737868</v>
      </c>
      <c r="AC299" s="5">
        <v>20</v>
      </c>
      <c r="AD299" s="5" t="s">
        <v>360</v>
      </c>
      <c r="AE299" s="5" t="s">
        <v>360</v>
      </c>
      <c r="AF299" s="5" t="s">
        <v>360</v>
      </c>
      <c r="AG299" s="5" t="s">
        <v>360</v>
      </c>
      <c r="AH299" s="5" t="s">
        <v>360</v>
      </c>
      <c r="AI299" s="5" t="s">
        <v>360</v>
      </c>
      <c r="AJ299" s="5" t="s">
        <v>360</v>
      </c>
      <c r="AK299" s="5" t="s">
        <v>360</v>
      </c>
      <c r="AL299" s="5" t="s">
        <v>360</v>
      </c>
      <c r="AM299" s="5" t="s">
        <v>360</v>
      </c>
      <c r="AN299" s="5" t="s">
        <v>360</v>
      </c>
      <c r="AO299" s="5" t="s">
        <v>360</v>
      </c>
      <c r="AP299" s="43">
        <f t="shared" si="87"/>
        <v>0.55330958428568</v>
      </c>
      <c r="AQ299" s="44">
        <v>203</v>
      </c>
      <c r="AR299" s="35">
        <f t="shared" si="80"/>
        <v>55.36363636363636</v>
      </c>
      <c r="AS299" s="35">
        <f t="shared" si="81"/>
        <v>30.6</v>
      </c>
      <c r="AT299" s="35">
        <f t="shared" si="82"/>
        <v>-24.763636363636358</v>
      </c>
      <c r="AU299" s="35">
        <v>23</v>
      </c>
      <c r="AV299" s="35">
        <v>0</v>
      </c>
      <c r="AW299" s="35">
        <v>2.9</v>
      </c>
      <c r="AX299" s="35">
        <f t="shared" si="83"/>
        <v>4.7</v>
      </c>
      <c r="AY299" s="35"/>
      <c r="AZ299" s="35">
        <f t="shared" si="84"/>
        <v>4.7</v>
      </c>
      <c r="BA299" s="35">
        <v>0</v>
      </c>
      <c r="BB299" s="35">
        <f t="shared" si="88"/>
        <v>4.7</v>
      </c>
      <c r="BC299" s="35">
        <f>MIN(BB299,9.2)</f>
        <v>4.7</v>
      </c>
      <c r="BD299" s="35">
        <f t="shared" si="85"/>
        <v>0</v>
      </c>
      <c r="BE299" s="35">
        <v>0</v>
      </c>
      <c r="BF299" s="35">
        <f t="shared" si="86"/>
        <v>0</v>
      </c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10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10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10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10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10"/>
      <c r="HA299" s="9"/>
      <c r="HB299" s="9"/>
    </row>
    <row r="300" spans="1:210" s="2" customFormat="1" ht="17.149999999999999" customHeight="1">
      <c r="A300" s="45" t="s">
        <v>281</v>
      </c>
      <c r="B300" s="63">
        <v>547</v>
      </c>
      <c r="C300" s="63">
        <v>1066</v>
      </c>
      <c r="D300" s="4">
        <f t="shared" si="76"/>
        <v>1.2748811700182814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1448.8</v>
      </c>
      <c r="O300" s="35">
        <v>753.6</v>
      </c>
      <c r="P300" s="4">
        <f t="shared" si="77"/>
        <v>0.52015461071231373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82">
        <v>11424</v>
      </c>
      <c r="W300" s="82">
        <v>9890</v>
      </c>
      <c r="X300" s="4">
        <f t="shared" si="78"/>
        <v>0.8657212885154062</v>
      </c>
      <c r="Y300" s="5">
        <v>10</v>
      </c>
      <c r="Z300" s="5">
        <v>684</v>
      </c>
      <c r="AA300" s="5">
        <v>684</v>
      </c>
      <c r="AB300" s="4">
        <f t="shared" si="79"/>
        <v>1</v>
      </c>
      <c r="AC300" s="5">
        <v>20</v>
      </c>
      <c r="AD300" s="5" t="s">
        <v>360</v>
      </c>
      <c r="AE300" s="5" t="s">
        <v>360</v>
      </c>
      <c r="AF300" s="5" t="s">
        <v>360</v>
      </c>
      <c r="AG300" s="5" t="s">
        <v>360</v>
      </c>
      <c r="AH300" s="5" t="s">
        <v>360</v>
      </c>
      <c r="AI300" s="5" t="s">
        <v>360</v>
      </c>
      <c r="AJ300" s="5" t="s">
        <v>360</v>
      </c>
      <c r="AK300" s="5" t="s">
        <v>360</v>
      </c>
      <c r="AL300" s="5" t="s">
        <v>360</v>
      </c>
      <c r="AM300" s="5" t="s">
        <v>360</v>
      </c>
      <c r="AN300" s="5" t="s">
        <v>360</v>
      </c>
      <c r="AO300" s="5" t="s">
        <v>360</v>
      </c>
      <c r="AP300" s="43">
        <f t="shared" si="87"/>
        <v>0.82608565362712261</v>
      </c>
      <c r="AQ300" s="44">
        <v>792</v>
      </c>
      <c r="AR300" s="35">
        <f t="shared" si="80"/>
        <v>216</v>
      </c>
      <c r="AS300" s="35">
        <f t="shared" si="81"/>
        <v>178.4</v>
      </c>
      <c r="AT300" s="35">
        <f t="shared" si="82"/>
        <v>-37.599999999999994</v>
      </c>
      <c r="AU300" s="35">
        <v>91.5</v>
      </c>
      <c r="AV300" s="35">
        <v>32</v>
      </c>
      <c r="AW300" s="35">
        <v>12.5</v>
      </c>
      <c r="AX300" s="35">
        <f t="shared" si="83"/>
        <v>42.4</v>
      </c>
      <c r="AY300" s="35"/>
      <c r="AZ300" s="35">
        <f t="shared" si="84"/>
        <v>42.4</v>
      </c>
      <c r="BA300" s="35">
        <v>0</v>
      </c>
      <c r="BB300" s="35">
        <f t="shared" si="88"/>
        <v>42.4</v>
      </c>
      <c r="BC300" s="35"/>
      <c r="BD300" s="35">
        <f t="shared" si="85"/>
        <v>42.4</v>
      </c>
      <c r="BE300" s="35">
        <v>40.5</v>
      </c>
      <c r="BF300" s="35">
        <f t="shared" si="86"/>
        <v>1.9</v>
      </c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10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10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10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10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10"/>
      <c r="HA300" s="9"/>
      <c r="HB300" s="9"/>
    </row>
    <row r="301" spans="1:210" s="2" customFormat="1" ht="17.149999999999999" customHeight="1">
      <c r="A301" s="45" t="s">
        <v>282</v>
      </c>
      <c r="B301" s="63">
        <v>0</v>
      </c>
      <c r="C301" s="63">
        <v>0</v>
      </c>
      <c r="D301" s="4">
        <f t="shared" si="76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789.4</v>
      </c>
      <c r="O301" s="35">
        <v>515.70000000000005</v>
      </c>
      <c r="P301" s="4">
        <f t="shared" si="77"/>
        <v>0.65328097289080322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82">
        <v>5283</v>
      </c>
      <c r="W301" s="82">
        <v>2849</v>
      </c>
      <c r="X301" s="4">
        <f t="shared" si="78"/>
        <v>0.53927692598902144</v>
      </c>
      <c r="Y301" s="5">
        <v>10</v>
      </c>
      <c r="Z301" s="5">
        <v>284</v>
      </c>
      <c r="AA301" s="5">
        <v>283</v>
      </c>
      <c r="AB301" s="4">
        <f t="shared" si="79"/>
        <v>0.99647887323943662</v>
      </c>
      <c r="AC301" s="5">
        <v>20</v>
      </c>
      <c r="AD301" s="5" t="s">
        <v>360</v>
      </c>
      <c r="AE301" s="5" t="s">
        <v>360</v>
      </c>
      <c r="AF301" s="5" t="s">
        <v>360</v>
      </c>
      <c r="AG301" s="5" t="s">
        <v>360</v>
      </c>
      <c r="AH301" s="5" t="s">
        <v>360</v>
      </c>
      <c r="AI301" s="5" t="s">
        <v>360</v>
      </c>
      <c r="AJ301" s="5" t="s">
        <v>360</v>
      </c>
      <c r="AK301" s="5" t="s">
        <v>360</v>
      </c>
      <c r="AL301" s="5" t="s">
        <v>360</v>
      </c>
      <c r="AM301" s="5" t="s">
        <v>360</v>
      </c>
      <c r="AN301" s="5" t="s">
        <v>360</v>
      </c>
      <c r="AO301" s="5" t="s">
        <v>360</v>
      </c>
      <c r="AP301" s="43">
        <f t="shared" si="87"/>
        <v>0.76775932364990007</v>
      </c>
      <c r="AQ301" s="44">
        <v>1491</v>
      </c>
      <c r="AR301" s="35">
        <f t="shared" si="80"/>
        <v>406.63636363636363</v>
      </c>
      <c r="AS301" s="35">
        <f t="shared" si="81"/>
        <v>312.2</v>
      </c>
      <c r="AT301" s="35">
        <f t="shared" si="82"/>
        <v>-94.436363636363637</v>
      </c>
      <c r="AU301" s="35">
        <v>128.4</v>
      </c>
      <c r="AV301" s="35">
        <v>69.400000000000006</v>
      </c>
      <c r="AW301" s="35"/>
      <c r="AX301" s="35">
        <f t="shared" si="83"/>
        <v>114.4</v>
      </c>
      <c r="AY301" s="35"/>
      <c r="AZ301" s="35">
        <f t="shared" si="84"/>
        <v>114.4</v>
      </c>
      <c r="BA301" s="35">
        <v>0</v>
      </c>
      <c r="BB301" s="35">
        <f t="shared" si="88"/>
        <v>114.4</v>
      </c>
      <c r="BC301" s="35"/>
      <c r="BD301" s="35">
        <f t="shared" si="85"/>
        <v>114.4</v>
      </c>
      <c r="BE301" s="35">
        <v>137.6</v>
      </c>
      <c r="BF301" s="35">
        <f t="shared" si="86"/>
        <v>-23.2</v>
      </c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10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10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10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10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10"/>
      <c r="HA301" s="9"/>
      <c r="HB301" s="9"/>
    </row>
    <row r="302" spans="1:210" s="2" customFormat="1" ht="17.149999999999999" customHeight="1">
      <c r="A302" s="45" t="s">
        <v>283</v>
      </c>
      <c r="B302" s="63">
        <v>0</v>
      </c>
      <c r="C302" s="63">
        <v>0</v>
      </c>
      <c r="D302" s="4">
        <f t="shared" si="76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2805.2</v>
      </c>
      <c r="O302" s="35">
        <v>2044.9</v>
      </c>
      <c r="P302" s="4">
        <f t="shared" si="77"/>
        <v>0.72896763154142319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82">
        <v>4712</v>
      </c>
      <c r="W302" s="82">
        <v>3035</v>
      </c>
      <c r="X302" s="4">
        <f t="shared" si="78"/>
        <v>0.64410016977928697</v>
      </c>
      <c r="Y302" s="5">
        <v>10</v>
      </c>
      <c r="Z302" s="5">
        <v>547</v>
      </c>
      <c r="AA302" s="5">
        <v>613</v>
      </c>
      <c r="AB302" s="4">
        <f t="shared" si="79"/>
        <v>1.1206581352833638</v>
      </c>
      <c r="AC302" s="5">
        <v>20</v>
      </c>
      <c r="AD302" s="5" t="s">
        <v>360</v>
      </c>
      <c r="AE302" s="5" t="s">
        <v>360</v>
      </c>
      <c r="AF302" s="5" t="s">
        <v>360</v>
      </c>
      <c r="AG302" s="5" t="s">
        <v>360</v>
      </c>
      <c r="AH302" s="5" t="s">
        <v>360</v>
      </c>
      <c r="AI302" s="5" t="s">
        <v>360</v>
      </c>
      <c r="AJ302" s="5" t="s">
        <v>360</v>
      </c>
      <c r="AK302" s="5" t="s">
        <v>360</v>
      </c>
      <c r="AL302" s="5" t="s">
        <v>360</v>
      </c>
      <c r="AM302" s="5" t="s">
        <v>360</v>
      </c>
      <c r="AN302" s="5" t="s">
        <v>360</v>
      </c>
      <c r="AO302" s="5" t="s">
        <v>360</v>
      </c>
      <c r="AP302" s="43">
        <f t="shared" si="87"/>
        <v>0.86867034068577231</v>
      </c>
      <c r="AQ302" s="44">
        <v>52</v>
      </c>
      <c r="AR302" s="35">
        <f t="shared" si="80"/>
        <v>14.181818181818183</v>
      </c>
      <c r="AS302" s="35">
        <f t="shared" si="81"/>
        <v>12.3</v>
      </c>
      <c r="AT302" s="35">
        <f t="shared" si="82"/>
        <v>-1.8818181818181827</v>
      </c>
      <c r="AU302" s="35">
        <v>3.8</v>
      </c>
      <c r="AV302" s="35">
        <v>2.4</v>
      </c>
      <c r="AW302" s="35"/>
      <c r="AX302" s="35">
        <f t="shared" si="83"/>
        <v>6.1</v>
      </c>
      <c r="AY302" s="35"/>
      <c r="AZ302" s="35">
        <f t="shared" si="84"/>
        <v>6.1</v>
      </c>
      <c r="BA302" s="35">
        <v>0</v>
      </c>
      <c r="BB302" s="35">
        <f t="shared" si="88"/>
        <v>6.1</v>
      </c>
      <c r="BC302" s="35"/>
      <c r="BD302" s="35">
        <f t="shared" si="85"/>
        <v>6.1</v>
      </c>
      <c r="BE302" s="35">
        <v>6.9</v>
      </c>
      <c r="BF302" s="35">
        <f t="shared" si="86"/>
        <v>-0.8</v>
      </c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10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10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10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10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10"/>
      <c r="HA302" s="9"/>
      <c r="HB302" s="9"/>
    </row>
    <row r="303" spans="1:210" s="2" customFormat="1" ht="17.149999999999999" customHeight="1">
      <c r="A303" s="45" t="s">
        <v>284</v>
      </c>
      <c r="B303" s="63">
        <v>0</v>
      </c>
      <c r="C303" s="63">
        <v>0</v>
      </c>
      <c r="D303" s="4">
        <f t="shared" si="76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171.1</v>
      </c>
      <c r="O303" s="35">
        <v>239.2</v>
      </c>
      <c r="P303" s="4">
        <f t="shared" si="77"/>
        <v>1.2198012857977791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82">
        <v>2856</v>
      </c>
      <c r="W303" s="82">
        <v>1138</v>
      </c>
      <c r="X303" s="4">
        <f t="shared" si="78"/>
        <v>0.39845938375350143</v>
      </c>
      <c r="Y303" s="5">
        <v>10</v>
      </c>
      <c r="Z303" s="5">
        <v>383</v>
      </c>
      <c r="AA303" s="5">
        <v>381</v>
      </c>
      <c r="AB303" s="4">
        <f t="shared" si="79"/>
        <v>0.99477806788511747</v>
      </c>
      <c r="AC303" s="5">
        <v>20</v>
      </c>
      <c r="AD303" s="5" t="s">
        <v>360</v>
      </c>
      <c r="AE303" s="5" t="s">
        <v>360</v>
      </c>
      <c r="AF303" s="5" t="s">
        <v>360</v>
      </c>
      <c r="AG303" s="5" t="s">
        <v>360</v>
      </c>
      <c r="AH303" s="5" t="s">
        <v>360</v>
      </c>
      <c r="AI303" s="5" t="s">
        <v>360</v>
      </c>
      <c r="AJ303" s="5" t="s">
        <v>360</v>
      </c>
      <c r="AK303" s="5" t="s">
        <v>360</v>
      </c>
      <c r="AL303" s="5" t="s">
        <v>360</v>
      </c>
      <c r="AM303" s="5" t="s">
        <v>360</v>
      </c>
      <c r="AN303" s="5" t="s">
        <v>360</v>
      </c>
      <c r="AO303" s="5" t="s">
        <v>360</v>
      </c>
      <c r="AP303" s="43">
        <f t="shared" si="87"/>
        <v>0.9655236182238589</v>
      </c>
      <c r="AQ303" s="44">
        <v>576</v>
      </c>
      <c r="AR303" s="35">
        <f t="shared" si="80"/>
        <v>157.09090909090909</v>
      </c>
      <c r="AS303" s="35">
        <f t="shared" si="81"/>
        <v>151.69999999999999</v>
      </c>
      <c r="AT303" s="35">
        <f t="shared" si="82"/>
        <v>-5.3909090909091049</v>
      </c>
      <c r="AU303" s="35">
        <v>65.3</v>
      </c>
      <c r="AV303" s="35">
        <v>37.200000000000003</v>
      </c>
      <c r="AW303" s="35"/>
      <c r="AX303" s="35">
        <f t="shared" si="83"/>
        <v>49.2</v>
      </c>
      <c r="AY303" s="35"/>
      <c r="AZ303" s="35">
        <f t="shared" si="84"/>
        <v>49.2</v>
      </c>
      <c r="BA303" s="35">
        <v>0</v>
      </c>
      <c r="BB303" s="35">
        <f t="shared" si="88"/>
        <v>49.2</v>
      </c>
      <c r="BC303" s="35"/>
      <c r="BD303" s="35">
        <f t="shared" si="85"/>
        <v>49.2</v>
      </c>
      <c r="BE303" s="35">
        <v>71.400000000000006</v>
      </c>
      <c r="BF303" s="35">
        <f t="shared" si="86"/>
        <v>-22.2</v>
      </c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10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10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10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10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10"/>
      <c r="HA303" s="9"/>
      <c r="HB303" s="9"/>
    </row>
    <row r="304" spans="1:210" s="2" customFormat="1" ht="17.149999999999999" customHeight="1">
      <c r="A304" s="45" t="s">
        <v>285</v>
      </c>
      <c r="B304" s="63">
        <v>0</v>
      </c>
      <c r="C304" s="63">
        <v>0</v>
      </c>
      <c r="D304" s="4">
        <f t="shared" si="76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947</v>
      </c>
      <c r="O304" s="35">
        <v>668.2</v>
      </c>
      <c r="P304" s="4">
        <f t="shared" si="77"/>
        <v>0.70559662090813102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82">
        <v>100</v>
      </c>
      <c r="W304" s="82">
        <v>1314</v>
      </c>
      <c r="X304" s="4">
        <f t="shared" si="78"/>
        <v>1.3</v>
      </c>
      <c r="Y304" s="5">
        <v>10</v>
      </c>
      <c r="Z304" s="5">
        <v>38</v>
      </c>
      <c r="AA304" s="5">
        <v>38</v>
      </c>
      <c r="AB304" s="4">
        <f t="shared" si="79"/>
        <v>1</v>
      </c>
      <c r="AC304" s="5">
        <v>20</v>
      </c>
      <c r="AD304" s="5" t="s">
        <v>360</v>
      </c>
      <c r="AE304" s="5" t="s">
        <v>360</v>
      </c>
      <c r="AF304" s="5" t="s">
        <v>360</v>
      </c>
      <c r="AG304" s="5" t="s">
        <v>360</v>
      </c>
      <c r="AH304" s="5" t="s">
        <v>360</v>
      </c>
      <c r="AI304" s="5" t="s">
        <v>360</v>
      </c>
      <c r="AJ304" s="5" t="s">
        <v>360</v>
      </c>
      <c r="AK304" s="5" t="s">
        <v>360</v>
      </c>
      <c r="AL304" s="5" t="s">
        <v>360</v>
      </c>
      <c r="AM304" s="5" t="s">
        <v>360</v>
      </c>
      <c r="AN304" s="5" t="s">
        <v>360</v>
      </c>
      <c r="AO304" s="5" t="s">
        <v>360</v>
      </c>
      <c r="AP304" s="43">
        <f t="shared" si="87"/>
        <v>0.94223864836325244</v>
      </c>
      <c r="AQ304" s="44">
        <v>120</v>
      </c>
      <c r="AR304" s="35">
        <f t="shared" si="80"/>
        <v>32.727272727272727</v>
      </c>
      <c r="AS304" s="35">
        <f t="shared" si="81"/>
        <v>30.8</v>
      </c>
      <c r="AT304" s="35">
        <f t="shared" si="82"/>
        <v>-1.9272727272727259</v>
      </c>
      <c r="AU304" s="35">
        <v>8.6999999999999993</v>
      </c>
      <c r="AV304" s="35">
        <v>6.2</v>
      </c>
      <c r="AW304" s="35"/>
      <c r="AX304" s="35">
        <f t="shared" si="83"/>
        <v>15.9</v>
      </c>
      <c r="AY304" s="35"/>
      <c r="AZ304" s="35">
        <f t="shared" si="84"/>
        <v>15.9</v>
      </c>
      <c r="BA304" s="35">
        <v>0</v>
      </c>
      <c r="BB304" s="35">
        <f t="shared" si="88"/>
        <v>15.9</v>
      </c>
      <c r="BC304" s="35"/>
      <c r="BD304" s="35">
        <f t="shared" si="85"/>
        <v>15.9</v>
      </c>
      <c r="BE304" s="35">
        <v>13</v>
      </c>
      <c r="BF304" s="35">
        <f t="shared" si="86"/>
        <v>2.9</v>
      </c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10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10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10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10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10"/>
      <c r="HA304" s="9"/>
      <c r="HB304" s="9"/>
    </row>
    <row r="305" spans="1:210" s="2" customFormat="1" ht="17.149999999999999" customHeight="1">
      <c r="A305" s="45" t="s">
        <v>286</v>
      </c>
      <c r="B305" s="63">
        <v>27080</v>
      </c>
      <c r="C305" s="63">
        <v>12753.4</v>
      </c>
      <c r="D305" s="4">
        <f t="shared" si="76"/>
        <v>0.47095273264401771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2679.9</v>
      </c>
      <c r="O305" s="35">
        <v>2357.3000000000002</v>
      </c>
      <c r="P305" s="4">
        <f t="shared" si="77"/>
        <v>0.87962237396917797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82">
        <v>1856</v>
      </c>
      <c r="W305" s="82">
        <v>2276</v>
      </c>
      <c r="X305" s="4">
        <f t="shared" si="78"/>
        <v>1.2026293103448276</v>
      </c>
      <c r="Y305" s="5">
        <v>10</v>
      </c>
      <c r="Z305" s="5">
        <v>231</v>
      </c>
      <c r="AA305" s="5">
        <v>241</v>
      </c>
      <c r="AB305" s="4">
        <f t="shared" si="79"/>
        <v>1.0432900432900434</v>
      </c>
      <c r="AC305" s="5">
        <v>20</v>
      </c>
      <c r="AD305" s="5" t="s">
        <v>360</v>
      </c>
      <c r="AE305" s="5" t="s">
        <v>360</v>
      </c>
      <c r="AF305" s="5" t="s">
        <v>360</v>
      </c>
      <c r="AG305" s="5" t="s">
        <v>360</v>
      </c>
      <c r="AH305" s="5" t="s">
        <v>360</v>
      </c>
      <c r="AI305" s="5" t="s">
        <v>360</v>
      </c>
      <c r="AJ305" s="5" t="s">
        <v>360</v>
      </c>
      <c r="AK305" s="5" t="s">
        <v>360</v>
      </c>
      <c r="AL305" s="5" t="s">
        <v>360</v>
      </c>
      <c r="AM305" s="5" t="s">
        <v>360</v>
      </c>
      <c r="AN305" s="5" t="s">
        <v>360</v>
      </c>
      <c r="AO305" s="5" t="s">
        <v>360</v>
      </c>
      <c r="AP305" s="43">
        <f t="shared" si="87"/>
        <v>0.96071463839732352</v>
      </c>
      <c r="AQ305" s="44">
        <v>133</v>
      </c>
      <c r="AR305" s="35">
        <f t="shared" si="80"/>
        <v>36.272727272727273</v>
      </c>
      <c r="AS305" s="35">
        <f t="shared" si="81"/>
        <v>34.799999999999997</v>
      </c>
      <c r="AT305" s="35">
        <f t="shared" si="82"/>
        <v>-1.4727272727272762</v>
      </c>
      <c r="AU305" s="35">
        <v>10.3</v>
      </c>
      <c r="AV305" s="35">
        <v>6.8</v>
      </c>
      <c r="AW305" s="35"/>
      <c r="AX305" s="35">
        <f t="shared" si="83"/>
        <v>17.7</v>
      </c>
      <c r="AY305" s="35"/>
      <c r="AZ305" s="35">
        <f t="shared" si="84"/>
        <v>17.7</v>
      </c>
      <c r="BA305" s="35">
        <v>0</v>
      </c>
      <c r="BB305" s="35">
        <f t="shared" si="88"/>
        <v>17.7</v>
      </c>
      <c r="BC305" s="35"/>
      <c r="BD305" s="35">
        <f t="shared" si="85"/>
        <v>17.7</v>
      </c>
      <c r="BE305" s="35">
        <v>15.8</v>
      </c>
      <c r="BF305" s="35">
        <f t="shared" si="86"/>
        <v>1.9</v>
      </c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10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10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10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10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10"/>
      <c r="HA305" s="9"/>
      <c r="HB305" s="9"/>
    </row>
    <row r="306" spans="1:210" s="2" customFormat="1" ht="17.149999999999999" customHeight="1">
      <c r="A306" s="45" t="s">
        <v>287</v>
      </c>
      <c r="B306" s="63">
        <v>500914</v>
      </c>
      <c r="C306" s="63">
        <v>977094.4</v>
      </c>
      <c r="D306" s="4">
        <f t="shared" si="76"/>
        <v>1.275062306104441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8540.5</v>
      </c>
      <c r="O306" s="35">
        <v>6909.7</v>
      </c>
      <c r="P306" s="4">
        <f t="shared" si="77"/>
        <v>0.8090509923306598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82">
        <v>214193</v>
      </c>
      <c r="W306" s="82">
        <v>105902</v>
      </c>
      <c r="X306" s="4">
        <f t="shared" si="78"/>
        <v>0.4944232537944751</v>
      </c>
      <c r="Y306" s="5">
        <v>10</v>
      </c>
      <c r="Z306" s="5">
        <v>26</v>
      </c>
      <c r="AA306" s="5">
        <v>32</v>
      </c>
      <c r="AB306" s="4">
        <f t="shared" si="79"/>
        <v>1.2030769230769232</v>
      </c>
      <c r="AC306" s="5">
        <v>20</v>
      </c>
      <c r="AD306" s="5" t="s">
        <v>360</v>
      </c>
      <c r="AE306" s="5" t="s">
        <v>360</v>
      </c>
      <c r="AF306" s="5" t="s">
        <v>360</v>
      </c>
      <c r="AG306" s="5" t="s">
        <v>360</v>
      </c>
      <c r="AH306" s="5" t="s">
        <v>360</v>
      </c>
      <c r="AI306" s="5" t="s">
        <v>360</v>
      </c>
      <c r="AJ306" s="5" t="s">
        <v>360</v>
      </c>
      <c r="AK306" s="5" t="s">
        <v>360</v>
      </c>
      <c r="AL306" s="5" t="s">
        <v>360</v>
      </c>
      <c r="AM306" s="5" t="s">
        <v>360</v>
      </c>
      <c r="AN306" s="5" t="s">
        <v>360</v>
      </c>
      <c r="AO306" s="5" t="s">
        <v>360</v>
      </c>
      <c r="AP306" s="43">
        <f t="shared" si="87"/>
        <v>0.93749277048397472</v>
      </c>
      <c r="AQ306" s="44">
        <v>28</v>
      </c>
      <c r="AR306" s="35">
        <f t="shared" si="80"/>
        <v>7.6363636363636367</v>
      </c>
      <c r="AS306" s="35">
        <f t="shared" si="81"/>
        <v>7.2</v>
      </c>
      <c r="AT306" s="35">
        <f t="shared" si="82"/>
        <v>-0.43636363636363651</v>
      </c>
      <c r="AU306" s="35">
        <v>2.7</v>
      </c>
      <c r="AV306" s="35">
        <v>1.9</v>
      </c>
      <c r="AW306" s="35"/>
      <c r="AX306" s="35">
        <f t="shared" si="83"/>
        <v>2.6</v>
      </c>
      <c r="AY306" s="35"/>
      <c r="AZ306" s="35">
        <f t="shared" si="84"/>
        <v>2.6</v>
      </c>
      <c r="BA306" s="35">
        <v>0</v>
      </c>
      <c r="BB306" s="35">
        <f t="shared" si="88"/>
        <v>2.6</v>
      </c>
      <c r="BC306" s="35"/>
      <c r="BD306" s="35">
        <f t="shared" si="85"/>
        <v>2.6</v>
      </c>
      <c r="BE306" s="35">
        <v>3.3</v>
      </c>
      <c r="BF306" s="35">
        <f t="shared" si="86"/>
        <v>-0.7</v>
      </c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10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10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10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10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10"/>
      <c r="HA306" s="9"/>
      <c r="HB306" s="9"/>
    </row>
    <row r="307" spans="1:210" s="2" customFormat="1" ht="17.149999999999999" customHeight="1">
      <c r="A307" s="45" t="s">
        <v>288</v>
      </c>
      <c r="B307" s="63">
        <v>57321</v>
      </c>
      <c r="C307" s="63">
        <v>57725.4</v>
      </c>
      <c r="D307" s="4">
        <f t="shared" si="76"/>
        <v>1.0070550060187367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2895.6</v>
      </c>
      <c r="O307" s="35">
        <v>5113.2</v>
      </c>
      <c r="P307" s="4">
        <f t="shared" si="77"/>
        <v>1.2565851636966432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82">
        <v>13452</v>
      </c>
      <c r="W307" s="82">
        <v>9590</v>
      </c>
      <c r="X307" s="4">
        <f t="shared" si="78"/>
        <v>0.71290514421647344</v>
      </c>
      <c r="Y307" s="5">
        <v>10</v>
      </c>
      <c r="Z307" s="5">
        <v>9</v>
      </c>
      <c r="AA307" s="5">
        <v>12</v>
      </c>
      <c r="AB307" s="4">
        <f t="shared" si="79"/>
        <v>1.2133333333333334</v>
      </c>
      <c r="AC307" s="5">
        <v>20</v>
      </c>
      <c r="AD307" s="5" t="s">
        <v>360</v>
      </c>
      <c r="AE307" s="5" t="s">
        <v>360</v>
      </c>
      <c r="AF307" s="5" t="s">
        <v>360</v>
      </c>
      <c r="AG307" s="5" t="s">
        <v>360</v>
      </c>
      <c r="AH307" s="5" t="s">
        <v>360</v>
      </c>
      <c r="AI307" s="5" t="s">
        <v>360</v>
      </c>
      <c r="AJ307" s="5" t="s">
        <v>360</v>
      </c>
      <c r="AK307" s="5" t="s">
        <v>360</v>
      </c>
      <c r="AL307" s="5" t="s">
        <v>360</v>
      </c>
      <c r="AM307" s="5" t="s">
        <v>360</v>
      </c>
      <c r="AN307" s="5" t="s">
        <v>360</v>
      </c>
      <c r="AO307" s="5" t="s">
        <v>360</v>
      </c>
      <c r="AP307" s="43">
        <f t="shared" si="87"/>
        <v>1.1193217529610535</v>
      </c>
      <c r="AQ307" s="44">
        <v>19</v>
      </c>
      <c r="AR307" s="35">
        <f t="shared" si="80"/>
        <v>5.1818181818181817</v>
      </c>
      <c r="AS307" s="35">
        <f t="shared" si="81"/>
        <v>5.8</v>
      </c>
      <c r="AT307" s="35">
        <f t="shared" si="82"/>
        <v>0.61818181818181817</v>
      </c>
      <c r="AU307" s="35">
        <v>2.1</v>
      </c>
      <c r="AV307" s="35">
        <v>0</v>
      </c>
      <c r="AW307" s="35">
        <v>0.6</v>
      </c>
      <c r="AX307" s="35">
        <f t="shared" si="83"/>
        <v>3.1</v>
      </c>
      <c r="AY307" s="35"/>
      <c r="AZ307" s="35">
        <f t="shared" si="84"/>
        <v>3.1</v>
      </c>
      <c r="BA307" s="35">
        <v>0</v>
      </c>
      <c r="BB307" s="35">
        <f t="shared" si="88"/>
        <v>3.1</v>
      </c>
      <c r="BC307" s="35"/>
      <c r="BD307" s="35">
        <f t="shared" si="85"/>
        <v>3.1</v>
      </c>
      <c r="BE307" s="35">
        <v>3.6</v>
      </c>
      <c r="BF307" s="35">
        <f t="shared" si="86"/>
        <v>-0.5</v>
      </c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10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10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10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10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10"/>
      <c r="HA307" s="9"/>
      <c r="HB307" s="9"/>
    </row>
    <row r="308" spans="1:210" s="2" customFormat="1" ht="17.149999999999999" customHeight="1">
      <c r="A308" s="45" t="s">
        <v>289</v>
      </c>
      <c r="B308" s="63">
        <v>0</v>
      </c>
      <c r="C308" s="63">
        <v>0</v>
      </c>
      <c r="D308" s="4">
        <f t="shared" si="76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320.89999999999998</v>
      </c>
      <c r="O308" s="35">
        <v>276.39999999999998</v>
      </c>
      <c r="P308" s="4">
        <f t="shared" si="77"/>
        <v>0.86132751636023686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82">
        <v>3284</v>
      </c>
      <c r="W308" s="82">
        <v>1160</v>
      </c>
      <c r="X308" s="4">
        <f t="shared" si="78"/>
        <v>0.35322777101096225</v>
      </c>
      <c r="Y308" s="5">
        <v>10</v>
      </c>
      <c r="Z308" s="5">
        <v>123</v>
      </c>
      <c r="AA308" s="5">
        <v>123</v>
      </c>
      <c r="AB308" s="4">
        <f t="shared" si="79"/>
        <v>1</v>
      </c>
      <c r="AC308" s="5">
        <v>20</v>
      </c>
      <c r="AD308" s="5" t="s">
        <v>360</v>
      </c>
      <c r="AE308" s="5" t="s">
        <v>360</v>
      </c>
      <c r="AF308" s="5" t="s">
        <v>360</v>
      </c>
      <c r="AG308" s="5" t="s">
        <v>360</v>
      </c>
      <c r="AH308" s="5" t="s">
        <v>360</v>
      </c>
      <c r="AI308" s="5" t="s">
        <v>360</v>
      </c>
      <c r="AJ308" s="5" t="s">
        <v>360</v>
      </c>
      <c r="AK308" s="5" t="s">
        <v>360</v>
      </c>
      <c r="AL308" s="5" t="s">
        <v>360</v>
      </c>
      <c r="AM308" s="5" t="s">
        <v>360</v>
      </c>
      <c r="AN308" s="5" t="s">
        <v>360</v>
      </c>
      <c r="AO308" s="5" t="s">
        <v>360</v>
      </c>
      <c r="AP308" s="43">
        <f t="shared" si="87"/>
        <v>0.81517656074628719</v>
      </c>
      <c r="AQ308" s="44">
        <v>487</v>
      </c>
      <c r="AR308" s="35">
        <f t="shared" si="80"/>
        <v>132.81818181818181</v>
      </c>
      <c r="AS308" s="35">
        <f t="shared" si="81"/>
        <v>108.3</v>
      </c>
      <c r="AT308" s="35">
        <f t="shared" si="82"/>
        <v>-24.518181818181816</v>
      </c>
      <c r="AU308" s="35">
        <v>42.8</v>
      </c>
      <c r="AV308" s="35">
        <v>36.799999999999997</v>
      </c>
      <c r="AW308" s="35"/>
      <c r="AX308" s="35">
        <f t="shared" si="83"/>
        <v>28.7</v>
      </c>
      <c r="AY308" s="35"/>
      <c r="AZ308" s="35">
        <f t="shared" si="84"/>
        <v>28.7</v>
      </c>
      <c r="BA308" s="35">
        <v>0</v>
      </c>
      <c r="BB308" s="35">
        <f t="shared" si="88"/>
        <v>28.7</v>
      </c>
      <c r="BC308" s="35"/>
      <c r="BD308" s="35">
        <f t="shared" si="85"/>
        <v>28.7</v>
      </c>
      <c r="BE308" s="35">
        <v>44</v>
      </c>
      <c r="BF308" s="35">
        <f t="shared" si="86"/>
        <v>-15.3</v>
      </c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10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10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10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10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10"/>
      <c r="HA308" s="9"/>
      <c r="HB308" s="9"/>
    </row>
    <row r="309" spans="1:210" s="2" customFormat="1" ht="17.149999999999999" customHeight="1">
      <c r="A309" s="45" t="s">
        <v>290</v>
      </c>
      <c r="B309" s="63">
        <v>1325</v>
      </c>
      <c r="C309" s="63">
        <v>1942.7</v>
      </c>
      <c r="D309" s="4">
        <f t="shared" si="76"/>
        <v>1.2266188679245282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437</v>
      </c>
      <c r="O309" s="35">
        <v>492.6</v>
      </c>
      <c r="P309" s="4">
        <f t="shared" si="77"/>
        <v>1.1272311212814645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82">
        <v>9996</v>
      </c>
      <c r="W309" s="82">
        <v>2454</v>
      </c>
      <c r="X309" s="4">
        <f t="shared" si="78"/>
        <v>0.24549819927971189</v>
      </c>
      <c r="Y309" s="5">
        <v>10</v>
      </c>
      <c r="Z309" s="5">
        <v>297</v>
      </c>
      <c r="AA309" s="5">
        <v>273</v>
      </c>
      <c r="AB309" s="4">
        <f t="shared" si="79"/>
        <v>0.91919191919191923</v>
      </c>
      <c r="AC309" s="5">
        <v>20</v>
      </c>
      <c r="AD309" s="5" t="s">
        <v>360</v>
      </c>
      <c r="AE309" s="5" t="s">
        <v>360</v>
      </c>
      <c r="AF309" s="5" t="s">
        <v>360</v>
      </c>
      <c r="AG309" s="5" t="s">
        <v>360</v>
      </c>
      <c r="AH309" s="5" t="s">
        <v>360</v>
      </c>
      <c r="AI309" s="5" t="s">
        <v>360</v>
      </c>
      <c r="AJ309" s="5" t="s">
        <v>360</v>
      </c>
      <c r="AK309" s="5" t="s">
        <v>360</v>
      </c>
      <c r="AL309" s="5" t="s">
        <v>360</v>
      </c>
      <c r="AM309" s="5" t="s">
        <v>360</v>
      </c>
      <c r="AN309" s="5" t="s">
        <v>360</v>
      </c>
      <c r="AO309" s="5" t="s">
        <v>360</v>
      </c>
      <c r="AP309" s="43">
        <f t="shared" si="87"/>
        <v>0.90030067530704438</v>
      </c>
      <c r="AQ309" s="44">
        <v>899</v>
      </c>
      <c r="AR309" s="35">
        <f t="shared" si="80"/>
        <v>245.18181818181819</v>
      </c>
      <c r="AS309" s="35">
        <f t="shared" si="81"/>
        <v>220.7</v>
      </c>
      <c r="AT309" s="35">
        <f t="shared" si="82"/>
        <v>-24.481818181818198</v>
      </c>
      <c r="AU309" s="35">
        <v>77.900000000000006</v>
      </c>
      <c r="AV309" s="35">
        <v>46.3</v>
      </c>
      <c r="AW309" s="35">
        <v>21.1</v>
      </c>
      <c r="AX309" s="35">
        <f t="shared" si="83"/>
        <v>75.400000000000006</v>
      </c>
      <c r="AY309" s="35"/>
      <c r="AZ309" s="35">
        <f t="shared" si="84"/>
        <v>75.400000000000006</v>
      </c>
      <c r="BA309" s="35">
        <v>0</v>
      </c>
      <c r="BB309" s="35">
        <f t="shared" si="88"/>
        <v>75.400000000000006</v>
      </c>
      <c r="BC309" s="35"/>
      <c r="BD309" s="35">
        <f t="shared" si="85"/>
        <v>75.400000000000006</v>
      </c>
      <c r="BE309" s="35">
        <v>111.1</v>
      </c>
      <c r="BF309" s="35">
        <f t="shared" si="86"/>
        <v>-35.700000000000003</v>
      </c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10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10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10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10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10"/>
      <c r="HA309" s="9"/>
      <c r="HB309" s="9"/>
    </row>
    <row r="310" spans="1:210" s="2" customFormat="1" ht="17.149999999999999" customHeight="1">
      <c r="A310" s="45" t="s">
        <v>291</v>
      </c>
      <c r="B310" s="63">
        <v>11321</v>
      </c>
      <c r="C310" s="63">
        <v>50792.5</v>
      </c>
      <c r="D310" s="4">
        <f t="shared" si="76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750.5</v>
      </c>
      <c r="O310" s="35">
        <v>608</v>
      </c>
      <c r="P310" s="4">
        <f t="shared" si="77"/>
        <v>0.810126582278481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82">
        <v>3998</v>
      </c>
      <c r="W310" s="82">
        <v>6874</v>
      </c>
      <c r="X310" s="4">
        <f t="shared" si="78"/>
        <v>1.2519359679839919</v>
      </c>
      <c r="Y310" s="5">
        <v>10</v>
      </c>
      <c r="Z310" s="5">
        <v>436</v>
      </c>
      <c r="AA310" s="5">
        <v>524</v>
      </c>
      <c r="AB310" s="4">
        <f t="shared" si="79"/>
        <v>1.2001834862385321</v>
      </c>
      <c r="AC310" s="5">
        <v>20</v>
      </c>
      <c r="AD310" s="5" t="s">
        <v>360</v>
      </c>
      <c r="AE310" s="5" t="s">
        <v>360</v>
      </c>
      <c r="AF310" s="5" t="s">
        <v>360</v>
      </c>
      <c r="AG310" s="5" t="s">
        <v>360</v>
      </c>
      <c r="AH310" s="5" t="s">
        <v>360</v>
      </c>
      <c r="AI310" s="5" t="s">
        <v>360</v>
      </c>
      <c r="AJ310" s="5" t="s">
        <v>360</v>
      </c>
      <c r="AK310" s="5" t="s">
        <v>360</v>
      </c>
      <c r="AL310" s="5" t="s">
        <v>360</v>
      </c>
      <c r="AM310" s="5" t="s">
        <v>360</v>
      </c>
      <c r="AN310" s="5" t="s">
        <v>360</v>
      </c>
      <c r="AO310" s="5" t="s">
        <v>360</v>
      </c>
      <c r="AP310" s="43">
        <f t="shared" si="87"/>
        <v>1.0768283827305489</v>
      </c>
      <c r="AQ310" s="44">
        <v>1315</v>
      </c>
      <c r="AR310" s="35">
        <f t="shared" si="80"/>
        <v>358.63636363636363</v>
      </c>
      <c r="AS310" s="35">
        <f t="shared" si="81"/>
        <v>386.2</v>
      </c>
      <c r="AT310" s="35">
        <f t="shared" si="82"/>
        <v>27.563636363636363</v>
      </c>
      <c r="AU310" s="35">
        <v>148.5</v>
      </c>
      <c r="AV310" s="35">
        <v>99.1</v>
      </c>
      <c r="AW310" s="35"/>
      <c r="AX310" s="35">
        <f t="shared" si="83"/>
        <v>138.6</v>
      </c>
      <c r="AY310" s="35"/>
      <c r="AZ310" s="35">
        <f t="shared" si="84"/>
        <v>138.6</v>
      </c>
      <c r="BA310" s="35">
        <v>0</v>
      </c>
      <c r="BB310" s="35">
        <f t="shared" si="88"/>
        <v>138.6</v>
      </c>
      <c r="BC310" s="35"/>
      <c r="BD310" s="35">
        <f t="shared" si="85"/>
        <v>138.6</v>
      </c>
      <c r="BE310" s="35">
        <v>124.6</v>
      </c>
      <c r="BF310" s="35">
        <f t="shared" si="86"/>
        <v>14</v>
      </c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10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10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10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10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10"/>
      <c r="HA310" s="9"/>
      <c r="HB310" s="9"/>
    </row>
    <row r="311" spans="1:210" s="2" customFormat="1" ht="17.149999999999999" customHeight="1">
      <c r="A311" s="45" t="s">
        <v>292</v>
      </c>
      <c r="B311" s="63">
        <v>370869</v>
      </c>
      <c r="C311" s="63">
        <v>321224.59999999998</v>
      </c>
      <c r="D311" s="4">
        <f t="shared" si="76"/>
        <v>0.86614033526663048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4644.6000000000004</v>
      </c>
      <c r="O311" s="35">
        <v>6674</v>
      </c>
      <c r="P311" s="4">
        <f t="shared" si="77"/>
        <v>1.2236937518839082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82">
        <v>171354</v>
      </c>
      <c r="W311" s="82">
        <v>186180</v>
      </c>
      <c r="X311" s="4">
        <f t="shared" si="78"/>
        <v>1.0865226373472461</v>
      </c>
      <c r="Y311" s="5">
        <v>10</v>
      </c>
      <c r="Z311" s="5">
        <v>56</v>
      </c>
      <c r="AA311" s="5">
        <v>56</v>
      </c>
      <c r="AB311" s="4">
        <f t="shared" si="79"/>
        <v>1</v>
      </c>
      <c r="AC311" s="5">
        <v>20</v>
      </c>
      <c r="AD311" s="5" t="s">
        <v>360</v>
      </c>
      <c r="AE311" s="5" t="s">
        <v>360</v>
      </c>
      <c r="AF311" s="5" t="s">
        <v>360</v>
      </c>
      <c r="AG311" s="5" t="s">
        <v>360</v>
      </c>
      <c r="AH311" s="5" t="s">
        <v>360</v>
      </c>
      <c r="AI311" s="5" t="s">
        <v>360</v>
      </c>
      <c r="AJ311" s="5" t="s">
        <v>360</v>
      </c>
      <c r="AK311" s="5" t="s">
        <v>360</v>
      </c>
      <c r="AL311" s="5" t="s">
        <v>360</v>
      </c>
      <c r="AM311" s="5" t="s">
        <v>360</v>
      </c>
      <c r="AN311" s="5" t="s">
        <v>360</v>
      </c>
      <c r="AO311" s="5" t="s">
        <v>360</v>
      </c>
      <c r="AP311" s="43">
        <f t="shared" si="87"/>
        <v>1.0849055106815231</v>
      </c>
      <c r="AQ311" s="44">
        <v>60</v>
      </c>
      <c r="AR311" s="35">
        <f t="shared" si="80"/>
        <v>16.363636363636363</v>
      </c>
      <c r="AS311" s="35">
        <f t="shared" si="81"/>
        <v>17.8</v>
      </c>
      <c r="AT311" s="35">
        <f t="shared" si="82"/>
        <v>1.4363636363636374</v>
      </c>
      <c r="AU311" s="35">
        <v>6.7</v>
      </c>
      <c r="AV311" s="35">
        <v>6</v>
      </c>
      <c r="AW311" s="35"/>
      <c r="AX311" s="35">
        <f t="shared" si="83"/>
        <v>5.0999999999999996</v>
      </c>
      <c r="AY311" s="35"/>
      <c r="AZ311" s="35">
        <f t="shared" si="84"/>
        <v>5.0999999999999996</v>
      </c>
      <c r="BA311" s="35">
        <v>0</v>
      </c>
      <c r="BB311" s="35">
        <f t="shared" si="88"/>
        <v>5.0999999999999996</v>
      </c>
      <c r="BC311" s="35"/>
      <c r="BD311" s="35">
        <f t="shared" si="85"/>
        <v>5.0999999999999996</v>
      </c>
      <c r="BE311" s="35">
        <v>5</v>
      </c>
      <c r="BF311" s="35">
        <f t="shared" si="86"/>
        <v>0.1</v>
      </c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10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10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10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10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10"/>
      <c r="HA311" s="9"/>
      <c r="HB311" s="9"/>
    </row>
    <row r="312" spans="1:210" s="2" customFormat="1" ht="17.149999999999999" customHeight="1">
      <c r="A312" s="45" t="s">
        <v>293</v>
      </c>
      <c r="B312" s="63">
        <v>113990</v>
      </c>
      <c r="C312" s="63">
        <v>81744</v>
      </c>
      <c r="D312" s="4">
        <f t="shared" si="76"/>
        <v>0.7171155364505658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1251</v>
      </c>
      <c r="O312" s="35">
        <v>1496.4</v>
      </c>
      <c r="P312" s="4">
        <f t="shared" si="77"/>
        <v>1.1961630695443646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82">
        <v>8425</v>
      </c>
      <c r="W312" s="82">
        <v>4897</v>
      </c>
      <c r="X312" s="4">
        <f t="shared" si="78"/>
        <v>0.58124629080118695</v>
      </c>
      <c r="Y312" s="5">
        <v>10</v>
      </c>
      <c r="Z312" s="5">
        <v>712</v>
      </c>
      <c r="AA312" s="5">
        <v>726</v>
      </c>
      <c r="AB312" s="4">
        <f t="shared" si="79"/>
        <v>1.0196629213483146</v>
      </c>
      <c r="AC312" s="5">
        <v>20</v>
      </c>
      <c r="AD312" s="5" t="s">
        <v>360</v>
      </c>
      <c r="AE312" s="5" t="s">
        <v>360</v>
      </c>
      <c r="AF312" s="5" t="s">
        <v>360</v>
      </c>
      <c r="AG312" s="5" t="s">
        <v>360</v>
      </c>
      <c r="AH312" s="5" t="s">
        <v>360</v>
      </c>
      <c r="AI312" s="5" t="s">
        <v>360</v>
      </c>
      <c r="AJ312" s="5" t="s">
        <v>360</v>
      </c>
      <c r="AK312" s="5" t="s">
        <v>360</v>
      </c>
      <c r="AL312" s="5" t="s">
        <v>360</v>
      </c>
      <c r="AM312" s="5" t="s">
        <v>360</v>
      </c>
      <c r="AN312" s="5" t="s">
        <v>360</v>
      </c>
      <c r="AO312" s="5" t="s">
        <v>360</v>
      </c>
      <c r="AP312" s="43">
        <f t="shared" si="87"/>
        <v>0.97662837105669598</v>
      </c>
      <c r="AQ312" s="44">
        <v>760</v>
      </c>
      <c r="AR312" s="35">
        <f t="shared" si="80"/>
        <v>207.27272727272728</v>
      </c>
      <c r="AS312" s="35">
        <f t="shared" si="81"/>
        <v>202.4</v>
      </c>
      <c r="AT312" s="35">
        <f t="shared" si="82"/>
        <v>-4.8727272727272748</v>
      </c>
      <c r="AU312" s="35">
        <v>85.7</v>
      </c>
      <c r="AV312" s="35">
        <v>49.8</v>
      </c>
      <c r="AW312" s="35"/>
      <c r="AX312" s="35">
        <f t="shared" si="83"/>
        <v>66.900000000000006</v>
      </c>
      <c r="AY312" s="35"/>
      <c r="AZ312" s="35">
        <f t="shared" si="84"/>
        <v>66.900000000000006</v>
      </c>
      <c r="BA312" s="35">
        <v>0</v>
      </c>
      <c r="BB312" s="35">
        <f t="shared" si="88"/>
        <v>66.900000000000006</v>
      </c>
      <c r="BC312" s="35"/>
      <c r="BD312" s="35">
        <f t="shared" si="85"/>
        <v>66.900000000000006</v>
      </c>
      <c r="BE312" s="35">
        <v>85.1</v>
      </c>
      <c r="BF312" s="35">
        <f t="shared" si="86"/>
        <v>-18.2</v>
      </c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10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10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10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10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10"/>
      <c r="HA312" s="9"/>
      <c r="HB312" s="9"/>
    </row>
    <row r="313" spans="1:210" s="2" customFormat="1" ht="17.149999999999999" customHeight="1">
      <c r="A313" s="45" t="s">
        <v>294</v>
      </c>
      <c r="B313" s="63">
        <v>71848</v>
      </c>
      <c r="C313" s="63">
        <v>77625.7</v>
      </c>
      <c r="D313" s="4">
        <f t="shared" ref="D313:D376" si="89">IF(E313=0,0,IF(B313=0,1,IF(C313&lt;0,0,IF(C313/B313&gt;1.2,IF((C313/B313-1.2)*0.1+1.2&gt;1.3,1.3,(C313/B313-1.2)*0.1+1.2),C313/B313))))</f>
        <v>1.0804155995991538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889.4</v>
      </c>
      <c r="O313" s="35">
        <v>1462.2</v>
      </c>
      <c r="P313" s="4">
        <f t="shared" ref="P313:P376" si="90">IF(Q313=0,0,IF(N313=0,1,IF(O313&lt;0,0,IF(O313/N313&gt;1.2,IF((O313/N313-1.2)*0.1+1.2&gt;1.3,1.3,(O313/N313-1.2)*0.1+1.2),O313/N313))))</f>
        <v>1.2444029682932314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82">
        <v>66508</v>
      </c>
      <c r="W313" s="82">
        <v>66185</v>
      </c>
      <c r="X313" s="4">
        <f t="shared" ref="X313:X376" si="91">IF(Y313=0,0,IF(V313=0,1,IF(W313&lt;0,0,IF(W313/V313&gt;1.2,IF((W313/V313-1.2)*0.1+1.2&gt;1.3,1.3,(W313/V313-1.2)*0.1+1.2),W313/V313))))</f>
        <v>0.99514344139050936</v>
      </c>
      <c r="Y313" s="5">
        <v>10</v>
      </c>
      <c r="Z313" s="5">
        <v>396</v>
      </c>
      <c r="AA313" s="5">
        <v>396</v>
      </c>
      <c r="AB313" s="4">
        <f t="shared" ref="AB313:AB376" si="92">IF(AC313=0,0,IF(Z313=0,1,IF(AA313&lt;0,0,IF(AA313/Z313&gt;1.2,IF((AA313/Z313-1.2)*0.1+1.2&gt;1.3,1.3,(AA313/Z313-1.2)*0.1+1.2),AA313/Z313))))</f>
        <v>1</v>
      </c>
      <c r="AC313" s="5">
        <v>20</v>
      </c>
      <c r="AD313" s="5" t="s">
        <v>360</v>
      </c>
      <c r="AE313" s="5" t="s">
        <v>360</v>
      </c>
      <c r="AF313" s="5" t="s">
        <v>360</v>
      </c>
      <c r="AG313" s="5" t="s">
        <v>360</v>
      </c>
      <c r="AH313" s="5" t="s">
        <v>360</v>
      </c>
      <c r="AI313" s="5" t="s">
        <v>360</v>
      </c>
      <c r="AJ313" s="5" t="s">
        <v>360</v>
      </c>
      <c r="AK313" s="5" t="s">
        <v>360</v>
      </c>
      <c r="AL313" s="5" t="s">
        <v>360</v>
      </c>
      <c r="AM313" s="5" t="s">
        <v>360</v>
      </c>
      <c r="AN313" s="5" t="s">
        <v>360</v>
      </c>
      <c r="AO313" s="5" t="s">
        <v>360</v>
      </c>
      <c r="AP313" s="43">
        <f t="shared" si="87"/>
        <v>1.0953013050502816</v>
      </c>
      <c r="AQ313" s="44">
        <v>738</v>
      </c>
      <c r="AR313" s="35">
        <f t="shared" ref="AR313:AR376" si="93">AQ313/11*3</f>
        <v>201.27272727272728</v>
      </c>
      <c r="AS313" s="35">
        <f t="shared" ref="AS313:AS376" si="94">ROUND(AP313*AR313,1)</f>
        <v>220.5</v>
      </c>
      <c r="AT313" s="35">
        <f t="shared" ref="AT313:AT376" si="95">AS313-AR313</f>
        <v>19.22727272727272</v>
      </c>
      <c r="AU313" s="35">
        <v>85.9</v>
      </c>
      <c r="AV313" s="35">
        <v>44.1</v>
      </c>
      <c r="AW313" s="35"/>
      <c r="AX313" s="35">
        <f t="shared" ref="AX313:AX373" si="96">ROUND(AS313-SUM(AU313:AW313),1)</f>
        <v>90.5</v>
      </c>
      <c r="AY313" s="35"/>
      <c r="AZ313" s="35">
        <f t="shared" ref="AZ313:AZ376" si="97">IF(OR(AX313&lt;0,AY313="+"),0,AX313)</f>
        <v>90.5</v>
      </c>
      <c r="BA313" s="35">
        <v>0</v>
      </c>
      <c r="BB313" s="35">
        <f t="shared" si="88"/>
        <v>90.5</v>
      </c>
      <c r="BC313" s="35"/>
      <c r="BD313" s="35">
        <f t="shared" ref="BD313:BD376" si="98">IF((BB313-BC313)&gt;0,ROUND(BB313-BC313,1),0)</f>
        <v>90.5</v>
      </c>
      <c r="BE313" s="35">
        <v>94.9</v>
      </c>
      <c r="BF313" s="35">
        <f t="shared" ref="BF313:BF376" si="99">ROUND(BD313-BE313,1)</f>
        <v>-4.4000000000000004</v>
      </c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10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10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10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10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10"/>
      <c r="HA313" s="9"/>
      <c r="HB313" s="9"/>
    </row>
    <row r="314" spans="1:210" s="2" customFormat="1" ht="17.149999999999999" customHeight="1">
      <c r="A314" s="45" t="s">
        <v>295</v>
      </c>
      <c r="B314" s="63">
        <v>27859</v>
      </c>
      <c r="C314" s="63">
        <v>19134.5</v>
      </c>
      <c r="D314" s="4">
        <f t="shared" si="89"/>
        <v>0.68683369826626939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2491.1</v>
      </c>
      <c r="O314" s="35">
        <v>3789.2</v>
      </c>
      <c r="P314" s="4">
        <f t="shared" si="90"/>
        <v>1.2321095098550841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82">
        <v>68542</v>
      </c>
      <c r="W314" s="82">
        <v>136335</v>
      </c>
      <c r="X314" s="4">
        <f t="shared" si="91"/>
        <v>1.2789072393568905</v>
      </c>
      <c r="Y314" s="5">
        <v>10</v>
      </c>
      <c r="Z314" s="5">
        <v>43</v>
      </c>
      <c r="AA314" s="5">
        <v>46</v>
      </c>
      <c r="AB314" s="4">
        <f t="shared" si="92"/>
        <v>1.069767441860465</v>
      </c>
      <c r="AC314" s="5">
        <v>20</v>
      </c>
      <c r="AD314" s="5" t="s">
        <v>360</v>
      </c>
      <c r="AE314" s="5" t="s">
        <v>360</v>
      </c>
      <c r="AF314" s="5" t="s">
        <v>360</v>
      </c>
      <c r="AG314" s="5" t="s">
        <v>360</v>
      </c>
      <c r="AH314" s="5" t="s">
        <v>360</v>
      </c>
      <c r="AI314" s="5" t="s">
        <v>360</v>
      </c>
      <c r="AJ314" s="5" t="s">
        <v>360</v>
      </c>
      <c r="AK314" s="5" t="s">
        <v>360</v>
      </c>
      <c r="AL314" s="5" t="s">
        <v>360</v>
      </c>
      <c r="AM314" s="5" t="s">
        <v>360</v>
      </c>
      <c r="AN314" s="5" t="s">
        <v>360</v>
      </c>
      <c r="AO314" s="5" t="s">
        <v>360</v>
      </c>
      <c r="AP314" s="43">
        <f t="shared" ref="AP314:AP377" si="100">(D314*E314+P314*Q314+X314*Y314+AB314*AC314)/(E314+Q314+Y314+AC314)</f>
        <v>1.1320141803492951</v>
      </c>
      <c r="AQ314" s="44">
        <v>2018</v>
      </c>
      <c r="AR314" s="35">
        <f t="shared" si="93"/>
        <v>550.36363636363637</v>
      </c>
      <c r="AS314" s="35">
        <f t="shared" si="94"/>
        <v>623</v>
      </c>
      <c r="AT314" s="35">
        <f t="shared" si="95"/>
        <v>72.636363636363626</v>
      </c>
      <c r="AU314" s="35">
        <v>213.1</v>
      </c>
      <c r="AV314" s="35">
        <v>207.2</v>
      </c>
      <c r="AW314" s="35"/>
      <c r="AX314" s="35">
        <f t="shared" si="96"/>
        <v>202.7</v>
      </c>
      <c r="AY314" s="35"/>
      <c r="AZ314" s="35">
        <f t="shared" si="97"/>
        <v>202.7</v>
      </c>
      <c r="BA314" s="35">
        <v>0</v>
      </c>
      <c r="BB314" s="35">
        <f t="shared" ref="BB314:BB377" si="101">ROUND(AZ314+BA314,1)</f>
        <v>202.7</v>
      </c>
      <c r="BC314" s="35"/>
      <c r="BD314" s="35">
        <f t="shared" si="98"/>
        <v>202.7</v>
      </c>
      <c r="BE314" s="35">
        <v>184.8</v>
      </c>
      <c r="BF314" s="35">
        <f t="shared" si="99"/>
        <v>17.899999999999999</v>
      </c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10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10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10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10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10"/>
      <c r="HA314" s="9"/>
      <c r="HB314" s="9"/>
    </row>
    <row r="315" spans="1:210" s="2" customFormat="1" ht="17.149999999999999" customHeight="1">
      <c r="A315" s="18" t="s">
        <v>296</v>
      </c>
      <c r="B315" s="59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83"/>
      <c r="W315" s="83"/>
      <c r="X315" s="11"/>
      <c r="Y315" s="11"/>
      <c r="Z315" s="11"/>
      <c r="AA315" s="11"/>
      <c r="AB315" s="11"/>
      <c r="AC315" s="11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35"/>
      <c r="BB315" s="35"/>
      <c r="BC315" s="35"/>
      <c r="BD315" s="35"/>
      <c r="BE315" s="35"/>
      <c r="BF315" s="35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10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10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10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10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10"/>
      <c r="HA315" s="9"/>
      <c r="HB315" s="9"/>
    </row>
    <row r="316" spans="1:210" s="2" customFormat="1" ht="17.149999999999999" customHeight="1">
      <c r="A316" s="45" t="s">
        <v>297</v>
      </c>
      <c r="B316" s="63">
        <v>6036</v>
      </c>
      <c r="C316" s="63">
        <v>8780.7000000000007</v>
      </c>
      <c r="D316" s="4">
        <f t="shared" si="89"/>
        <v>1.225472166998012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1943.5</v>
      </c>
      <c r="O316" s="35">
        <v>1952.7</v>
      </c>
      <c r="P316" s="4">
        <f t="shared" si="90"/>
        <v>1.004733727810651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82">
        <v>9124</v>
      </c>
      <c r="W316" s="82">
        <v>5480</v>
      </c>
      <c r="X316" s="4">
        <f t="shared" si="91"/>
        <v>0.60061376589215254</v>
      </c>
      <c r="Y316" s="5">
        <v>5</v>
      </c>
      <c r="Z316" s="5">
        <v>27</v>
      </c>
      <c r="AA316" s="5">
        <v>23</v>
      </c>
      <c r="AB316" s="4">
        <f t="shared" si="92"/>
        <v>0.85185185185185186</v>
      </c>
      <c r="AC316" s="5">
        <v>20</v>
      </c>
      <c r="AD316" s="5" t="s">
        <v>360</v>
      </c>
      <c r="AE316" s="5" t="s">
        <v>360</v>
      </c>
      <c r="AF316" s="5" t="s">
        <v>360</v>
      </c>
      <c r="AG316" s="5" t="s">
        <v>360</v>
      </c>
      <c r="AH316" s="5" t="s">
        <v>360</v>
      </c>
      <c r="AI316" s="5" t="s">
        <v>360</v>
      </c>
      <c r="AJ316" s="5" t="s">
        <v>360</v>
      </c>
      <c r="AK316" s="5" t="s">
        <v>360</v>
      </c>
      <c r="AL316" s="5" t="s">
        <v>360</v>
      </c>
      <c r="AM316" s="5" t="s">
        <v>360</v>
      </c>
      <c r="AN316" s="5" t="s">
        <v>360</v>
      </c>
      <c r="AO316" s="5" t="s">
        <v>360</v>
      </c>
      <c r="AP316" s="43">
        <f t="shared" si="100"/>
        <v>0.92524282515401746</v>
      </c>
      <c r="AQ316" s="44">
        <v>54</v>
      </c>
      <c r="AR316" s="35">
        <f t="shared" si="93"/>
        <v>14.727272727272727</v>
      </c>
      <c r="AS316" s="35">
        <f t="shared" si="94"/>
        <v>13.6</v>
      </c>
      <c r="AT316" s="35">
        <f t="shared" si="95"/>
        <v>-1.127272727272727</v>
      </c>
      <c r="AU316" s="35">
        <v>6.3</v>
      </c>
      <c r="AV316" s="35">
        <v>1.8</v>
      </c>
      <c r="AW316" s="35"/>
      <c r="AX316" s="35">
        <f t="shared" si="96"/>
        <v>5.5</v>
      </c>
      <c r="AY316" s="35"/>
      <c r="AZ316" s="35">
        <f t="shared" si="97"/>
        <v>5.5</v>
      </c>
      <c r="BA316" s="35">
        <v>0</v>
      </c>
      <c r="BB316" s="35">
        <f t="shared" si="101"/>
        <v>5.5</v>
      </c>
      <c r="BC316" s="35"/>
      <c r="BD316" s="35">
        <f t="shared" si="98"/>
        <v>5.5</v>
      </c>
      <c r="BE316" s="35">
        <v>6.1</v>
      </c>
      <c r="BF316" s="35">
        <f t="shared" si="99"/>
        <v>-0.6</v>
      </c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10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10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10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10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10"/>
      <c r="HA316" s="9"/>
      <c r="HB316" s="9"/>
    </row>
    <row r="317" spans="1:210" s="2" customFormat="1" ht="17.149999999999999" customHeight="1">
      <c r="A317" s="45" t="s">
        <v>298</v>
      </c>
      <c r="B317" s="63">
        <v>58000</v>
      </c>
      <c r="C317" s="63">
        <v>35691.800000000003</v>
      </c>
      <c r="D317" s="4">
        <f t="shared" si="89"/>
        <v>0.61537586206896555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2664.8</v>
      </c>
      <c r="O317" s="35">
        <v>2391.1</v>
      </c>
      <c r="P317" s="4">
        <f t="shared" si="90"/>
        <v>0.89729060342239553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82">
        <v>54407</v>
      </c>
      <c r="W317" s="82">
        <v>49420</v>
      </c>
      <c r="X317" s="4">
        <f t="shared" si="91"/>
        <v>0.90833900049625971</v>
      </c>
      <c r="Y317" s="5">
        <v>5</v>
      </c>
      <c r="Z317" s="5">
        <v>124</v>
      </c>
      <c r="AA317" s="5">
        <v>155</v>
      </c>
      <c r="AB317" s="4">
        <f t="shared" si="92"/>
        <v>1.2050000000000001</v>
      </c>
      <c r="AC317" s="5">
        <v>20</v>
      </c>
      <c r="AD317" s="5" t="s">
        <v>360</v>
      </c>
      <c r="AE317" s="5" t="s">
        <v>360</v>
      </c>
      <c r="AF317" s="5" t="s">
        <v>360</v>
      </c>
      <c r="AG317" s="5" t="s">
        <v>360</v>
      </c>
      <c r="AH317" s="5" t="s">
        <v>360</v>
      </c>
      <c r="AI317" s="5" t="s">
        <v>360</v>
      </c>
      <c r="AJ317" s="5" t="s">
        <v>360</v>
      </c>
      <c r="AK317" s="5" t="s">
        <v>360</v>
      </c>
      <c r="AL317" s="5" t="s">
        <v>360</v>
      </c>
      <c r="AM317" s="5" t="s">
        <v>360</v>
      </c>
      <c r="AN317" s="5" t="s">
        <v>360</v>
      </c>
      <c r="AO317" s="5" t="s">
        <v>360</v>
      </c>
      <c r="AP317" s="43">
        <f t="shared" si="100"/>
        <v>0.99328772762548079</v>
      </c>
      <c r="AQ317" s="44">
        <v>59</v>
      </c>
      <c r="AR317" s="35">
        <f t="shared" si="93"/>
        <v>16.09090909090909</v>
      </c>
      <c r="AS317" s="35">
        <f t="shared" si="94"/>
        <v>16</v>
      </c>
      <c r="AT317" s="35">
        <f t="shared" si="95"/>
        <v>-9.090909090908994E-2</v>
      </c>
      <c r="AU317" s="35">
        <v>3.9</v>
      </c>
      <c r="AV317" s="35">
        <v>1.6</v>
      </c>
      <c r="AW317" s="35">
        <v>2.7</v>
      </c>
      <c r="AX317" s="35">
        <f t="shared" si="96"/>
        <v>7.8</v>
      </c>
      <c r="AY317" s="35"/>
      <c r="AZ317" s="35">
        <f t="shared" si="97"/>
        <v>7.8</v>
      </c>
      <c r="BA317" s="35">
        <v>0</v>
      </c>
      <c r="BB317" s="35">
        <f t="shared" si="101"/>
        <v>7.8</v>
      </c>
      <c r="BC317" s="35">
        <f>MIN(BB317,0.4)</f>
        <v>0.4</v>
      </c>
      <c r="BD317" s="35">
        <f t="shared" si="98"/>
        <v>7.4</v>
      </c>
      <c r="BE317" s="35">
        <v>7.5</v>
      </c>
      <c r="BF317" s="35">
        <f t="shared" si="99"/>
        <v>-0.1</v>
      </c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10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10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10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10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10"/>
      <c r="HA317" s="9"/>
      <c r="HB317" s="9"/>
    </row>
    <row r="318" spans="1:210" s="2" customFormat="1" ht="17.149999999999999" customHeight="1">
      <c r="A318" s="45" t="s">
        <v>299</v>
      </c>
      <c r="B318" s="63">
        <v>1463</v>
      </c>
      <c r="C318" s="63">
        <v>2169.6</v>
      </c>
      <c r="D318" s="4">
        <f t="shared" si="89"/>
        <v>1.228298017771702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610.20000000000005</v>
      </c>
      <c r="O318" s="35">
        <v>727.8</v>
      </c>
      <c r="P318" s="4">
        <f t="shared" si="90"/>
        <v>1.1927236971484758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82">
        <v>1885</v>
      </c>
      <c r="W318" s="82">
        <v>1266</v>
      </c>
      <c r="X318" s="4">
        <f t="shared" si="91"/>
        <v>0.67161803713527857</v>
      </c>
      <c r="Y318" s="5">
        <v>5</v>
      </c>
      <c r="Z318" s="5">
        <v>33</v>
      </c>
      <c r="AA318" s="5">
        <v>32</v>
      </c>
      <c r="AB318" s="4">
        <f t="shared" si="92"/>
        <v>0.96969696969696972</v>
      </c>
      <c r="AC318" s="5">
        <v>20</v>
      </c>
      <c r="AD318" s="5" t="s">
        <v>360</v>
      </c>
      <c r="AE318" s="5" t="s">
        <v>360</v>
      </c>
      <c r="AF318" s="5" t="s">
        <v>360</v>
      </c>
      <c r="AG318" s="5" t="s">
        <v>360</v>
      </c>
      <c r="AH318" s="5" t="s">
        <v>360</v>
      </c>
      <c r="AI318" s="5" t="s">
        <v>360</v>
      </c>
      <c r="AJ318" s="5" t="s">
        <v>360</v>
      </c>
      <c r="AK318" s="5" t="s">
        <v>360</v>
      </c>
      <c r="AL318" s="5" t="s">
        <v>360</v>
      </c>
      <c r="AM318" s="5" t="s">
        <v>360</v>
      </c>
      <c r="AN318" s="5" t="s">
        <v>360</v>
      </c>
      <c r="AO318" s="5" t="s">
        <v>360</v>
      </c>
      <c r="AP318" s="43">
        <f t="shared" si="100"/>
        <v>1.0549598722288764</v>
      </c>
      <c r="AQ318" s="44">
        <v>568</v>
      </c>
      <c r="AR318" s="35">
        <f t="shared" si="93"/>
        <v>154.90909090909091</v>
      </c>
      <c r="AS318" s="35">
        <f t="shared" si="94"/>
        <v>163.4</v>
      </c>
      <c r="AT318" s="35">
        <f t="shared" si="95"/>
        <v>8.4909090909090992</v>
      </c>
      <c r="AU318" s="35">
        <v>48.2</v>
      </c>
      <c r="AV318" s="35">
        <v>59</v>
      </c>
      <c r="AW318" s="35"/>
      <c r="AX318" s="35">
        <f t="shared" si="96"/>
        <v>56.2</v>
      </c>
      <c r="AY318" s="35"/>
      <c r="AZ318" s="35">
        <f t="shared" si="97"/>
        <v>56.2</v>
      </c>
      <c r="BA318" s="35">
        <v>0</v>
      </c>
      <c r="BB318" s="35">
        <f t="shared" si="101"/>
        <v>56.2</v>
      </c>
      <c r="BC318" s="35"/>
      <c r="BD318" s="35">
        <f t="shared" si="98"/>
        <v>56.2</v>
      </c>
      <c r="BE318" s="35">
        <v>62.8</v>
      </c>
      <c r="BF318" s="35">
        <f t="shared" si="99"/>
        <v>-6.6</v>
      </c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10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10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10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10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10"/>
      <c r="HA318" s="9"/>
      <c r="HB318" s="9"/>
    </row>
    <row r="319" spans="1:210" s="2" customFormat="1" ht="17.149999999999999" customHeight="1">
      <c r="A319" s="45" t="s">
        <v>300</v>
      </c>
      <c r="B319" s="63">
        <v>1660</v>
      </c>
      <c r="C319" s="63">
        <v>1688.4</v>
      </c>
      <c r="D319" s="4">
        <f t="shared" si="89"/>
        <v>1.0171084337349399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134.6</v>
      </c>
      <c r="O319" s="35">
        <v>912.7</v>
      </c>
      <c r="P319" s="4">
        <f t="shared" si="90"/>
        <v>1.3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82">
        <v>3664</v>
      </c>
      <c r="W319" s="82">
        <v>5351</v>
      </c>
      <c r="X319" s="4">
        <f t="shared" si="91"/>
        <v>1.226042576419214</v>
      </c>
      <c r="Y319" s="5">
        <v>5</v>
      </c>
      <c r="Z319" s="5">
        <v>33</v>
      </c>
      <c r="AA319" s="5">
        <v>133</v>
      </c>
      <c r="AB319" s="4">
        <f t="shared" si="92"/>
        <v>1.3</v>
      </c>
      <c r="AC319" s="5">
        <v>20</v>
      </c>
      <c r="AD319" s="5" t="s">
        <v>360</v>
      </c>
      <c r="AE319" s="5" t="s">
        <v>360</v>
      </c>
      <c r="AF319" s="5" t="s">
        <v>360</v>
      </c>
      <c r="AG319" s="5" t="s">
        <v>360</v>
      </c>
      <c r="AH319" s="5" t="s">
        <v>360</v>
      </c>
      <c r="AI319" s="5" t="s">
        <v>360</v>
      </c>
      <c r="AJ319" s="5" t="s">
        <v>360</v>
      </c>
      <c r="AK319" s="5" t="s">
        <v>360</v>
      </c>
      <c r="AL319" s="5" t="s">
        <v>360</v>
      </c>
      <c r="AM319" s="5" t="s">
        <v>360</v>
      </c>
      <c r="AN319" s="5" t="s">
        <v>360</v>
      </c>
      <c r="AO319" s="5" t="s">
        <v>360</v>
      </c>
      <c r="AP319" s="43">
        <f t="shared" si="100"/>
        <v>1.2643151010154154</v>
      </c>
      <c r="AQ319" s="44">
        <v>923</v>
      </c>
      <c r="AR319" s="35">
        <f t="shared" si="93"/>
        <v>251.72727272727272</v>
      </c>
      <c r="AS319" s="35">
        <f t="shared" si="94"/>
        <v>318.3</v>
      </c>
      <c r="AT319" s="35">
        <f t="shared" si="95"/>
        <v>66.572727272727292</v>
      </c>
      <c r="AU319" s="35">
        <v>106.4</v>
      </c>
      <c r="AV319" s="35">
        <v>102.6</v>
      </c>
      <c r="AW319" s="35"/>
      <c r="AX319" s="35">
        <f t="shared" si="96"/>
        <v>109.3</v>
      </c>
      <c r="AY319" s="35"/>
      <c r="AZ319" s="35">
        <f t="shared" si="97"/>
        <v>109.3</v>
      </c>
      <c r="BA319" s="35">
        <v>0</v>
      </c>
      <c r="BB319" s="35">
        <f t="shared" si="101"/>
        <v>109.3</v>
      </c>
      <c r="BC319" s="35"/>
      <c r="BD319" s="35">
        <f t="shared" si="98"/>
        <v>109.3</v>
      </c>
      <c r="BE319" s="35">
        <v>110.3</v>
      </c>
      <c r="BF319" s="35">
        <f t="shared" si="99"/>
        <v>-1</v>
      </c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10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10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10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10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10"/>
      <c r="HA319" s="9"/>
      <c r="HB319" s="9"/>
    </row>
    <row r="320" spans="1:210" s="2" customFormat="1" ht="17.149999999999999" customHeight="1">
      <c r="A320" s="45" t="s">
        <v>301</v>
      </c>
      <c r="B320" s="63">
        <v>0</v>
      </c>
      <c r="C320" s="63">
        <v>655.8</v>
      </c>
      <c r="D320" s="4">
        <f t="shared" si="89"/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238.2</v>
      </c>
      <c r="O320" s="35">
        <v>132.6</v>
      </c>
      <c r="P320" s="4">
        <f t="shared" si="90"/>
        <v>0.55667506297229219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82">
        <v>1977</v>
      </c>
      <c r="W320" s="82">
        <v>2477</v>
      </c>
      <c r="X320" s="4">
        <f t="shared" si="91"/>
        <v>1.2052908447142134</v>
      </c>
      <c r="Y320" s="5">
        <v>5</v>
      </c>
      <c r="Z320" s="5">
        <v>110</v>
      </c>
      <c r="AA320" s="5">
        <v>121</v>
      </c>
      <c r="AB320" s="4">
        <f t="shared" si="92"/>
        <v>1.1000000000000001</v>
      </c>
      <c r="AC320" s="5">
        <v>20</v>
      </c>
      <c r="AD320" s="5" t="s">
        <v>360</v>
      </c>
      <c r="AE320" s="5" t="s">
        <v>360</v>
      </c>
      <c r="AF320" s="5" t="s">
        <v>360</v>
      </c>
      <c r="AG320" s="5" t="s">
        <v>360</v>
      </c>
      <c r="AH320" s="5" t="s">
        <v>360</v>
      </c>
      <c r="AI320" s="5" t="s">
        <v>360</v>
      </c>
      <c r="AJ320" s="5" t="s">
        <v>360</v>
      </c>
      <c r="AK320" s="5" t="s">
        <v>360</v>
      </c>
      <c r="AL320" s="5" t="s">
        <v>360</v>
      </c>
      <c r="AM320" s="5" t="s">
        <v>360</v>
      </c>
      <c r="AN320" s="5" t="s">
        <v>360</v>
      </c>
      <c r="AO320" s="5" t="s">
        <v>360</v>
      </c>
      <c r="AP320" s="43">
        <f t="shared" si="100"/>
        <v>0.87022123295593135</v>
      </c>
      <c r="AQ320" s="44">
        <v>629</v>
      </c>
      <c r="AR320" s="35">
        <f t="shared" si="93"/>
        <v>171.54545454545453</v>
      </c>
      <c r="AS320" s="35">
        <f t="shared" si="94"/>
        <v>149.30000000000001</v>
      </c>
      <c r="AT320" s="35">
        <f t="shared" si="95"/>
        <v>-22.245454545454521</v>
      </c>
      <c r="AU320" s="35">
        <v>37.5</v>
      </c>
      <c r="AV320" s="35">
        <v>25.2</v>
      </c>
      <c r="AW320" s="35"/>
      <c r="AX320" s="35">
        <f t="shared" si="96"/>
        <v>86.6</v>
      </c>
      <c r="AY320" s="35"/>
      <c r="AZ320" s="35">
        <f t="shared" si="97"/>
        <v>86.6</v>
      </c>
      <c r="BA320" s="35">
        <v>0</v>
      </c>
      <c r="BB320" s="35">
        <f t="shared" si="101"/>
        <v>86.6</v>
      </c>
      <c r="BC320" s="35"/>
      <c r="BD320" s="35">
        <f t="shared" si="98"/>
        <v>86.6</v>
      </c>
      <c r="BE320" s="35">
        <v>79.400000000000006</v>
      </c>
      <c r="BF320" s="35">
        <f t="shared" si="99"/>
        <v>7.2</v>
      </c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10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10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10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10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10"/>
      <c r="HA320" s="9"/>
      <c r="HB320" s="9"/>
    </row>
    <row r="321" spans="1:210" s="2" customFormat="1" ht="17.149999999999999" customHeight="1">
      <c r="A321" s="45" t="s">
        <v>302</v>
      </c>
      <c r="B321" s="63">
        <v>38780</v>
      </c>
      <c r="C321" s="63">
        <v>26408.1</v>
      </c>
      <c r="D321" s="4">
        <f t="shared" si="89"/>
        <v>0.68097215059308913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570.1</v>
      </c>
      <c r="O321" s="35">
        <v>813.9</v>
      </c>
      <c r="P321" s="4">
        <f t="shared" si="90"/>
        <v>1.2227644272934572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82">
        <v>30131</v>
      </c>
      <c r="W321" s="82">
        <v>70851</v>
      </c>
      <c r="X321" s="4">
        <f t="shared" si="91"/>
        <v>1.3</v>
      </c>
      <c r="Y321" s="5">
        <v>5</v>
      </c>
      <c r="Z321" s="5">
        <v>107</v>
      </c>
      <c r="AA321" s="5">
        <v>107</v>
      </c>
      <c r="AB321" s="4">
        <f t="shared" si="92"/>
        <v>1</v>
      </c>
      <c r="AC321" s="5">
        <v>20</v>
      </c>
      <c r="AD321" s="5" t="s">
        <v>360</v>
      </c>
      <c r="AE321" s="5" t="s">
        <v>360</v>
      </c>
      <c r="AF321" s="5" t="s">
        <v>360</v>
      </c>
      <c r="AG321" s="5" t="s">
        <v>360</v>
      </c>
      <c r="AH321" s="5" t="s">
        <v>360</v>
      </c>
      <c r="AI321" s="5" t="s">
        <v>360</v>
      </c>
      <c r="AJ321" s="5" t="s">
        <v>360</v>
      </c>
      <c r="AK321" s="5" t="s">
        <v>360</v>
      </c>
      <c r="AL321" s="5" t="s">
        <v>360</v>
      </c>
      <c r="AM321" s="5" t="s">
        <v>360</v>
      </c>
      <c r="AN321" s="5" t="s">
        <v>360</v>
      </c>
      <c r="AO321" s="5" t="s">
        <v>360</v>
      </c>
      <c r="AP321" s="43">
        <f t="shared" si="100"/>
        <v>1.0872029859766918</v>
      </c>
      <c r="AQ321" s="44">
        <v>433</v>
      </c>
      <c r="AR321" s="35">
        <f t="shared" si="93"/>
        <v>118.09090909090909</v>
      </c>
      <c r="AS321" s="35">
        <f t="shared" si="94"/>
        <v>128.4</v>
      </c>
      <c r="AT321" s="35">
        <f t="shared" si="95"/>
        <v>10.309090909090912</v>
      </c>
      <c r="AU321" s="35">
        <v>39.6</v>
      </c>
      <c r="AV321" s="35">
        <v>34.700000000000003</v>
      </c>
      <c r="AW321" s="35">
        <v>8.8000000000000007</v>
      </c>
      <c r="AX321" s="35">
        <f t="shared" si="96"/>
        <v>45.3</v>
      </c>
      <c r="AY321" s="35"/>
      <c r="AZ321" s="35">
        <f t="shared" si="97"/>
        <v>45.3</v>
      </c>
      <c r="BA321" s="35">
        <v>0</v>
      </c>
      <c r="BB321" s="35">
        <f t="shared" si="101"/>
        <v>45.3</v>
      </c>
      <c r="BC321" s="35"/>
      <c r="BD321" s="35">
        <f t="shared" si="98"/>
        <v>45.3</v>
      </c>
      <c r="BE321" s="35">
        <v>42.5</v>
      </c>
      <c r="BF321" s="35">
        <f t="shared" si="99"/>
        <v>2.8</v>
      </c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10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10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10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10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10"/>
      <c r="HA321" s="9"/>
      <c r="HB321" s="9"/>
    </row>
    <row r="322" spans="1:210" s="2" customFormat="1" ht="17.149999999999999" customHeight="1">
      <c r="A322" s="45" t="s">
        <v>303</v>
      </c>
      <c r="B322" s="63">
        <v>14140</v>
      </c>
      <c r="C322" s="63">
        <v>16928.599999999999</v>
      </c>
      <c r="D322" s="4">
        <f t="shared" si="89"/>
        <v>1.1972135785007072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854.5</v>
      </c>
      <c r="O322" s="35">
        <v>1071.7</v>
      </c>
      <c r="P322" s="4">
        <f t="shared" si="90"/>
        <v>1.2054183733177297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82">
        <v>28561</v>
      </c>
      <c r="W322" s="82">
        <v>20708</v>
      </c>
      <c r="X322" s="4">
        <f t="shared" si="91"/>
        <v>0.72504464129407231</v>
      </c>
      <c r="Y322" s="5">
        <v>5</v>
      </c>
      <c r="Z322" s="5">
        <v>12</v>
      </c>
      <c r="AA322" s="5">
        <v>23</v>
      </c>
      <c r="AB322" s="4">
        <f t="shared" si="92"/>
        <v>1.2716666666666667</v>
      </c>
      <c r="AC322" s="5">
        <v>20</v>
      </c>
      <c r="AD322" s="5" t="s">
        <v>360</v>
      </c>
      <c r="AE322" s="5" t="s">
        <v>360</v>
      </c>
      <c r="AF322" s="5" t="s">
        <v>360</v>
      </c>
      <c r="AG322" s="5" t="s">
        <v>360</v>
      </c>
      <c r="AH322" s="5" t="s">
        <v>360</v>
      </c>
      <c r="AI322" s="5" t="s">
        <v>360</v>
      </c>
      <c r="AJ322" s="5" t="s">
        <v>360</v>
      </c>
      <c r="AK322" s="5" t="s">
        <v>360</v>
      </c>
      <c r="AL322" s="5" t="s">
        <v>360</v>
      </c>
      <c r="AM322" s="5" t="s">
        <v>360</v>
      </c>
      <c r="AN322" s="5" t="s">
        <v>360</v>
      </c>
      <c r="AO322" s="5" t="s">
        <v>360</v>
      </c>
      <c r="AP322" s="43">
        <f t="shared" si="100"/>
        <v>1.1830598379732364</v>
      </c>
      <c r="AQ322" s="44">
        <v>732</v>
      </c>
      <c r="AR322" s="35">
        <f t="shared" si="93"/>
        <v>199.63636363636363</v>
      </c>
      <c r="AS322" s="35">
        <f t="shared" si="94"/>
        <v>236.2</v>
      </c>
      <c r="AT322" s="35">
        <f t="shared" si="95"/>
        <v>36.563636363636363</v>
      </c>
      <c r="AU322" s="35">
        <v>44.7</v>
      </c>
      <c r="AV322" s="35">
        <v>82.5</v>
      </c>
      <c r="AW322" s="35">
        <v>1.5</v>
      </c>
      <c r="AX322" s="35">
        <f t="shared" si="96"/>
        <v>107.5</v>
      </c>
      <c r="AY322" s="35"/>
      <c r="AZ322" s="35">
        <f t="shared" si="97"/>
        <v>107.5</v>
      </c>
      <c r="BA322" s="35">
        <v>0</v>
      </c>
      <c r="BB322" s="35">
        <f t="shared" si="101"/>
        <v>107.5</v>
      </c>
      <c r="BC322" s="35"/>
      <c r="BD322" s="35">
        <f t="shared" si="98"/>
        <v>107.5</v>
      </c>
      <c r="BE322" s="35">
        <v>117.6</v>
      </c>
      <c r="BF322" s="35">
        <f t="shared" si="99"/>
        <v>-10.1</v>
      </c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10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10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10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10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10"/>
      <c r="HA322" s="9"/>
      <c r="HB322" s="9"/>
    </row>
    <row r="323" spans="1:210" s="2" customFormat="1" ht="17.149999999999999" customHeight="1">
      <c r="A323" s="45" t="s">
        <v>304</v>
      </c>
      <c r="B323" s="63">
        <v>7250</v>
      </c>
      <c r="C323" s="63">
        <v>2860.9</v>
      </c>
      <c r="D323" s="4">
        <f t="shared" si="89"/>
        <v>0.39460689655172415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1064.5999999999999</v>
      </c>
      <c r="O323" s="35">
        <v>630.4</v>
      </c>
      <c r="P323" s="4">
        <f t="shared" si="90"/>
        <v>0.59214728536539551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82">
        <v>13305</v>
      </c>
      <c r="W323" s="82">
        <v>5078</v>
      </c>
      <c r="X323" s="4">
        <f t="shared" si="91"/>
        <v>0.38166102968808718</v>
      </c>
      <c r="Y323" s="5">
        <v>5</v>
      </c>
      <c r="Z323" s="5">
        <v>107</v>
      </c>
      <c r="AA323" s="5">
        <v>108</v>
      </c>
      <c r="AB323" s="4">
        <f t="shared" si="92"/>
        <v>1.0093457943925233</v>
      </c>
      <c r="AC323" s="5">
        <v>20</v>
      </c>
      <c r="AD323" s="5" t="s">
        <v>360</v>
      </c>
      <c r="AE323" s="5" t="s">
        <v>360</v>
      </c>
      <c r="AF323" s="5" t="s">
        <v>360</v>
      </c>
      <c r="AG323" s="5" t="s">
        <v>360</v>
      </c>
      <c r="AH323" s="5" t="s">
        <v>360</v>
      </c>
      <c r="AI323" s="5" t="s">
        <v>360</v>
      </c>
      <c r="AJ323" s="5" t="s">
        <v>360</v>
      </c>
      <c r="AK323" s="5" t="s">
        <v>360</v>
      </c>
      <c r="AL323" s="5" t="s">
        <v>360</v>
      </c>
      <c r="AM323" s="5" t="s">
        <v>360</v>
      </c>
      <c r="AN323" s="5" t="s">
        <v>360</v>
      </c>
      <c r="AO323" s="5" t="s">
        <v>360</v>
      </c>
      <c r="AP323" s="43">
        <f t="shared" si="100"/>
        <v>0.71822402452714873</v>
      </c>
      <c r="AQ323" s="44">
        <v>464</v>
      </c>
      <c r="AR323" s="35">
        <f t="shared" si="93"/>
        <v>126.54545454545453</v>
      </c>
      <c r="AS323" s="35">
        <f t="shared" si="94"/>
        <v>90.9</v>
      </c>
      <c r="AT323" s="35">
        <f t="shared" si="95"/>
        <v>-35.645454545454527</v>
      </c>
      <c r="AU323" s="35">
        <v>43.5</v>
      </c>
      <c r="AV323" s="35">
        <v>0</v>
      </c>
      <c r="AW323" s="35">
        <v>7.6</v>
      </c>
      <c r="AX323" s="35">
        <f t="shared" si="96"/>
        <v>39.799999999999997</v>
      </c>
      <c r="AY323" s="35"/>
      <c r="AZ323" s="35">
        <f t="shared" si="97"/>
        <v>39.799999999999997</v>
      </c>
      <c r="BA323" s="35">
        <v>0</v>
      </c>
      <c r="BB323" s="35">
        <f t="shared" si="101"/>
        <v>39.799999999999997</v>
      </c>
      <c r="BC323" s="35">
        <f>MIN(BB323,21.1)</f>
        <v>21.1</v>
      </c>
      <c r="BD323" s="35">
        <f t="shared" si="98"/>
        <v>18.7</v>
      </c>
      <c r="BE323" s="35">
        <v>23.4</v>
      </c>
      <c r="BF323" s="35">
        <f t="shared" si="99"/>
        <v>-4.7</v>
      </c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10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10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10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10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10"/>
      <c r="HA323" s="9"/>
      <c r="HB323" s="9"/>
    </row>
    <row r="324" spans="1:210" s="2" customFormat="1" ht="17.149999999999999" customHeight="1">
      <c r="A324" s="45" t="s">
        <v>305</v>
      </c>
      <c r="B324" s="63">
        <v>0</v>
      </c>
      <c r="C324" s="63">
        <v>0</v>
      </c>
      <c r="D324" s="4">
        <f t="shared" si="89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343.8</v>
      </c>
      <c r="O324" s="35">
        <v>310</v>
      </c>
      <c r="P324" s="4">
        <f t="shared" si="90"/>
        <v>0.90168702734147754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82">
        <v>78076</v>
      </c>
      <c r="W324" s="82">
        <v>64045</v>
      </c>
      <c r="X324" s="4">
        <f t="shared" si="91"/>
        <v>0.8202904861929402</v>
      </c>
      <c r="Y324" s="5">
        <v>5</v>
      </c>
      <c r="Z324" s="5">
        <v>241</v>
      </c>
      <c r="AA324" s="5">
        <v>341</v>
      </c>
      <c r="AB324" s="4">
        <f t="shared" si="92"/>
        <v>1.22149377593361</v>
      </c>
      <c r="AC324" s="5">
        <v>20</v>
      </c>
      <c r="AD324" s="5" t="s">
        <v>360</v>
      </c>
      <c r="AE324" s="5" t="s">
        <v>360</v>
      </c>
      <c r="AF324" s="5" t="s">
        <v>360</v>
      </c>
      <c r="AG324" s="5" t="s">
        <v>360</v>
      </c>
      <c r="AH324" s="5" t="s">
        <v>360</v>
      </c>
      <c r="AI324" s="5" t="s">
        <v>360</v>
      </c>
      <c r="AJ324" s="5" t="s">
        <v>360</v>
      </c>
      <c r="AK324" s="5" t="s">
        <v>360</v>
      </c>
      <c r="AL324" s="5" t="s">
        <v>360</v>
      </c>
      <c r="AM324" s="5" t="s">
        <v>360</v>
      </c>
      <c r="AN324" s="5" t="s">
        <v>360</v>
      </c>
      <c r="AO324" s="5" t="s">
        <v>360</v>
      </c>
      <c r="AP324" s="43">
        <f t="shared" si="100"/>
        <v>1.0347792999214767</v>
      </c>
      <c r="AQ324" s="44">
        <v>961</v>
      </c>
      <c r="AR324" s="35">
        <f t="shared" si="93"/>
        <v>262.09090909090907</v>
      </c>
      <c r="AS324" s="35">
        <f t="shared" si="94"/>
        <v>271.2</v>
      </c>
      <c r="AT324" s="35">
        <f t="shared" si="95"/>
        <v>9.1090909090909236</v>
      </c>
      <c r="AU324" s="35">
        <v>100.2</v>
      </c>
      <c r="AV324" s="35">
        <v>11.1</v>
      </c>
      <c r="AW324" s="35">
        <v>43.7</v>
      </c>
      <c r="AX324" s="35">
        <f t="shared" si="96"/>
        <v>116.2</v>
      </c>
      <c r="AY324" s="35"/>
      <c r="AZ324" s="35">
        <f t="shared" si="97"/>
        <v>116.2</v>
      </c>
      <c r="BA324" s="35">
        <v>0</v>
      </c>
      <c r="BB324" s="35">
        <f t="shared" si="101"/>
        <v>116.2</v>
      </c>
      <c r="BC324" s="35">
        <f>MIN(BB324,16.9)</f>
        <v>16.899999999999999</v>
      </c>
      <c r="BD324" s="35">
        <f t="shared" si="98"/>
        <v>99.3</v>
      </c>
      <c r="BE324" s="35">
        <v>106.3</v>
      </c>
      <c r="BF324" s="35">
        <f t="shared" si="99"/>
        <v>-7</v>
      </c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10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10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10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10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10"/>
      <c r="HA324" s="9"/>
      <c r="HB324" s="9"/>
    </row>
    <row r="325" spans="1:210" s="2" customFormat="1" ht="17.149999999999999" customHeight="1">
      <c r="A325" s="45" t="s">
        <v>306</v>
      </c>
      <c r="B325" s="63">
        <v>0</v>
      </c>
      <c r="C325" s="63">
        <v>0</v>
      </c>
      <c r="D325" s="4">
        <f t="shared" si="89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685.7</v>
      </c>
      <c r="O325" s="35">
        <v>1282.2</v>
      </c>
      <c r="P325" s="4">
        <f t="shared" si="90"/>
        <v>1.2669913956540761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82">
        <v>1536</v>
      </c>
      <c r="W325" s="82">
        <v>1110</v>
      </c>
      <c r="X325" s="4">
        <f t="shared" si="91"/>
        <v>0.72265625</v>
      </c>
      <c r="Y325" s="5">
        <v>5</v>
      </c>
      <c r="Z325" s="5">
        <v>241</v>
      </c>
      <c r="AA325" s="5">
        <v>220</v>
      </c>
      <c r="AB325" s="4">
        <f t="shared" si="92"/>
        <v>0.91286307053941906</v>
      </c>
      <c r="AC325" s="5">
        <v>20</v>
      </c>
      <c r="AD325" s="5" t="s">
        <v>360</v>
      </c>
      <c r="AE325" s="5" t="s">
        <v>360</v>
      </c>
      <c r="AF325" s="5" t="s">
        <v>360</v>
      </c>
      <c r="AG325" s="5" t="s">
        <v>360</v>
      </c>
      <c r="AH325" s="5" t="s">
        <v>360</v>
      </c>
      <c r="AI325" s="5" t="s">
        <v>360</v>
      </c>
      <c r="AJ325" s="5" t="s">
        <v>360</v>
      </c>
      <c r="AK325" s="5" t="s">
        <v>360</v>
      </c>
      <c r="AL325" s="5" t="s">
        <v>360</v>
      </c>
      <c r="AM325" s="5" t="s">
        <v>360</v>
      </c>
      <c r="AN325" s="5" t="s">
        <v>360</v>
      </c>
      <c r="AO325" s="5" t="s">
        <v>360</v>
      </c>
      <c r="AP325" s="43">
        <f t="shared" si="100"/>
        <v>1.0491193460859978</v>
      </c>
      <c r="AQ325" s="44">
        <v>290</v>
      </c>
      <c r="AR325" s="35">
        <f t="shared" si="93"/>
        <v>79.090909090909093</v>
      </c>
      <c r="AS325" s="35">
        <f t="shared" si="94"/>
        <v>83</v>
      </c>
      <c r="AT325" s="35">
        <f t="shared" si="95"/>
        <v>3.9090909090909065</v>
      </c>
      <c r="AU325" s="35">
        <v>24.5</v>
      </c>
      <c r="AV325" s="35">
        <v>28.5</v>
      </c>
      <c r="AW325" s="35">
        <v>0.1</v>
      </c>
      <c r="AX325" s="35">
        <f t="shared" si="96"/>
        <v>29.9</v>
      </c>
      <c r="AY325" s="35"/>
      <c r="AZ325" s="35">
        <f t="shared" si="97"/>
        <v>29.9</v>
      </c>
      <c r="BA325" s="35">
        <v>0</v>
      </c>
      <c r="BB325" s="35">
        <f t="shared" si="101"/>
        <v>29.9</v>
      </c>
      <c r="BC325" s="35"/>
      <c r="BD325" s="35">
        <f t="shared" si="98"/>
        <v>29.9</v>
      </c>
      <c r="BE325" s="35">
        <v>33.1</v>
      </c>
      <c r="BF325" s="35">
        <f t="shared" si="99"/>
        <v>-3.2</v>
      </c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10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10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10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10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10"/>
      <c r="HA325" s="9"/>
      <c r="HB325" s="9"/>
    </row>
    <row r="326" spans="1:210" s="2" customFormat="1" ht="17.149999999999999" customHeight="1">
      <c r="A326" s="45" t="s">
        <v>307</v>
      </c>
      <c r="B326" s="63">
        <v>16400</v>
      </c>
      <c r="C326" s="63">
        <v>14805</v>
      </c>
      <c r="D326" s="4">
        <f t="shared" si="89"/>
        <v>0.90274390243902436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123.5</v>
      </c>
      <c r="O326" s="35">
        <v>105.9</v>
      </c>
      <c r="P326" s="4">
        <f t="shared" si="90"/>
        <v>0.85748987854251013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82">
        <v>4125</v>
      </c>
      <c r="W326" s="82">
        <v>11077</v>
      </c>
      <c r="X326" s="4">
        <f t="shared" si="91"/>
        <v>1.3</v>
      </c>
      <c r="Y326" s="5">
        <v>5</v>
      </c>
      <c r="Z326" s="5">
        <v>17</v>
      </c>
      <c r="AA326" s="5">
        <v>18</v>
      </c>
      <c r="AB326" s="4">
        <f t="shared" si="92"/>
        <v>1.0588235294117647</v>
      </c>
      <c r="AC326" s="5">
        <v>20</v>
      </c>
      <c r="AD326" s="5" t="s">
        <v>360</v>
      </c>
      <c r="AE326" s="5" t="s">
        <v>360</v>
      </c>
      <c r="AF326" s="5" t="s">
        <v>360</v>
      </c>
      <c r="AG326" s="5" t="s">
        <v>360</v>
      </c>
      <c r="AH326" s="5" t="s">
        <v>360</v>
      </c>
      <c r="AI326" s="5" t="s">
        <v>360</v>
      </c>
      <c r="AJ326" s="5" t="s">
        <v>360</v>
      </c>
      <c r="AK326" s="5" t="s">
        <v>360</v>
      </c>
      <c r="AL326" s="5" t="s">
        <v>360</v>
      </c>
      <c r="AM326" s="5" t="s">
        <v>360</v>
      </c>
      <c r="AN326" s="5" t="s">
        <v>360</v>
      </c>
      <c r="AO326" s="5" t="s">
        <v>360</v>
      </c>
      <c r="AP326" s="43">
        <f t="shared" si="100"/>
        <v>0.98679975342561255</v>
      </c>
      <c r="AQ326" s="44">
        <v>903</v>
      </c>
      <c r="AR326" s="35">
        <f t="shared" si="93"/>
        <v>246.27272727272728</v>
      </c>
      <c r="AS326" s="35">
        <f t="shared" si="94"/>
        <v>243</v>
      </c>
      <c r="AT326" s="35">
        <f t="shared" si="95"/>
        <v>-3.2727272727272805</v>
      </c>
      <c r="AU326" s="35">
        <v>53.1</v>
      </c>
      <c r="AV326" s="35">
        <v>93.2</v>
      </c>
      <c r="AW326" s="35"/>
      <c r="AX326" s="35">
        <f t="shared" si="96"/>
        <v>96.7</v>
      </c>
      <c r="AY326" s="35"/>
      <c r="AZ326" s="35">
        <f t="shared" si="97"/>
        <v>96.7</v>
      </c>
      <c r="BA326" s="35">
        <v>0</v>
      </c>
      <c r="BB326" s="35">
        <f t="shared" si="101"/>
        <v>96.7</v>
      </c>
      <c r="BC326" s="35"/>
      <c r="BD326" s="35">
        <f t="shared" si="98"/>
        <v>96.7</v>
      </c>
      <c r="BE326" s="35">
        <v>88.2</v>
      </c>
      <c r="BF326" s="35">
        <f t="shared" si="99"/>
        <v>8.5</v>
      </c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10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10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10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10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10"/>
      <c r="HA326" s="9"/>
      <c r="HB326" s="9"/>
    </row>
    <row r="327" spans="1:210" s="2" customFormat="1" ht="17.149999999999999" customHeight="1">
      <c r="A327" s="45" t="s">
        <v>308</v>
      </c>
      <c r="B327" s="63">
        <v>2200</v>
      </c>
      <c r="C327" s="63">
        <v>1735.4</v>
      </c>
      <c r="D327" s="4">
        <f t="shared" si="89"/>
        <v>0.78881818181818186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307.10000000000002</v>
      </c>
      <c r="O327" s="35">
        <v>489.2</v>
      </c>
      <c r="P327" s="4">
        <f t="shared" si="90"/>
        <v>1.2392966460436339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82">
        <v>4675</v>
      </c>
      <c r="W327" s="82">
        <v>4923</v>
      </c>
      <c r="X327" s="4">
        <f t="shared" si="91"/>
        <v>1.0530481283422459</v>
      </c>
      <c r="Y327" s="5">
        <v>5</v>
      </c>
      <c r="Z327" s="5">
        <v>120</v>
      </c>
      <c r="AA327" s="5">
        <v>121</v>
      </c>
      <c r="AB327" s="4">
        <f t="shared" si="92"/>
        <v>1.0083333333333333</v>
      </c>
      <c r="AC327" s="5">
        <v>20</v>
      </c>
      <c r="AD327" s="5" t="s">
        <v>360</v>
      </c>
      <c r="AE327" s="5" t="s">
        <v>360</v>
      </c>
      <c r="AF327" s="5" t="s">
        <v>360</v>
      </c>
      <c r="AG327" s="5" t="s">
        <v>360</v>
      </c>
      <c r="AH327" s="5" t="s">
        <v>360</v>
      </c>
      <c r="AI327" s="5" t="s">
        <v>360</v>
      </c>
      <c r="AJ327" s="5" t="s">
        <v>360</v>
      </c>
      <c r="AK327" s="5" t="s">
        <v>360</v>
      </c>
      <c r="AL327" s="5" t="s">
        <v>360</v>
      </c>
      <c r="AM327" s="5" t="s">
        <v>360</v>
      </c>
      <c r="AN327" s="5" t="s">
        <v>360</v>
      </c>
      <c r="AO327" s="5" t="s">
        <v>360</v>
      </c>
      <c r="AP327" s="43">
        <f t="shared" si="100"/>
        <v>1.0832386227668296</v>
      </c>
      <c r="AQ327" s="44">
        <v>1201</v>
      </c>
      <c r="AR327" s="35">
        <f t="shared" si="93"/>
        <v>327.54545454545456</v>
      </c>
      <c r="AS327" s="35">
        <f t="shared" si="94"/>
        <v>354.8</v>
      </c>
      <c r="AT327" s="35">
        <f t="shared" si="95"/>
        <v>27.25454545454545</v>
      </c>
      <c r="AU327" s="35">
        <v>46.6</v>
      </c>
      <c r="AV327" s="35">
        <v>84.4</v>
      </c>
      <c r="AW327" s="35">
        <v>9</v>
      </c>
      <c r="AX327" s="35">
        <f t="shared" si="96"/>
        <v>214.8</v>
      </c>
      <c r="AY327" s="35"/>
      <c r="AZ327" s="35">
        <f t="shared" si="97"/>
        <v>214.8</v>
      </c>
      <c r="BA327" s="35">
        <v>0</v>
      </c>
      <c r="BB327" s="35">
        <f t="shared" si="101"/>
        <v>214.8</v>
      </c>
      <c r="BC327" s="35"/>
      <c r="BD327" s="35">
        <f t="shared" si="98"/>
        <v>214.8</v>
      </c>
      <c r="BE327" s="35">
        <v>215.9</v>
      </c>
      <c r="BF327" s="35">
        <f t="shared" si="99"/>
        <v>-1.1000000000000001</v>
      </c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10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10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10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10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10"/>
      <c r="HA327" s="9"/>
      <c r="HB327" s="9"/>
    </row>
    <row r="328" spans="1:210" s="2" customFormat="1" ht="17.149999999999999" customHeight="1">
      <c r="A328" s="45" t="s">
        <v>309</v>
      </c>
      <c r="B328" s="63">
        <v>0</v>
      </c>
      <c r="C328" s="63">
        <v>0</v>
      </c>
      <c r="D328" s="4">
        <f t="shared" si="89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174.8</v>
      </c>
      <c r="O328" s="35">
        <v>115.8</v>
      </c>
      <c r="P328" s="4">
        <f t="shared" si="90"/>
        <v>0.66247139588100679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82">
        <v>1066</v>
      </c>
      <c r="W328" s="82">
        <v>1003</v>
      </c>
      <c r="X328" s="4">
        <f t="shared" si="91"/>
        <v>0.94090056285178236</v>
      </c>
      <c r="Y328" s="5">
        <v>5</v>
      </c>
      <c r="Z328" s="5">
        <v>70</v>
      </c>
      <c r="AA328" s="5">
        <v>70</v>
      </c>
      <c r="AB328" s="4">
        <f t="shared" si="92"/>
        <v>1</v>
      </c>
      <c r="AC328" s="5">
        <v>20</v>
      </c>
      <c r="AD328" s="5" t="s">
        <v>360</v>
      </c>
      <c r="AE328" s="5" t="s">
        <v>360</v>
      </c>
      <c r="AF328" s="5" t="s">
        <v>360</v>
      </c>
      <c r="AG328" s="5" t="s">
        <v>360</v>
      </c>
      <c r="AH328" s="5" t="s">
        <v>360</v>
      </c>
      <c r="AI328" s="5" t="s">
        <v>360</v>
      </c>
      <c r="AJ328" s="5" t="s">
        <v>360</v>
      </c>
      <c r="AK328" s="5" t="s">
        <v>360</v>
      </c>
      <c r="AL328" s="5" t="s">
        <v>360</v>
      </c>
      <c r="AM328" s="5" t="s">
        <v>360</v>
      </c>
      <c r="AN328" s="5" t="s">
        <v>360</v>
      </c>
      <c r="AO328" s="5" t="s">
        <v>360</v>
      </c>
      <c r="AP328" s="43">
        <f t="shared" si="100"/>
        <v>0.84342068293064554</v>
      </c>
      <c r="AQ328" s="44">
        <v>946</v>
      </c>
      <c r="AR328" s="35">
        <f t="shared" si="93"/>
        <v>258</v>
      </c>
      <c r="AS328" s="35">
        <f t="shared" si="94"/>
        <v>217.6</v>
      </c>
      <c r="AT328" s="35">
        <f t="shared" si="95"/>
        <v>-40.400000000000006</v>
      </c>
      <c r="AU328" s="35">
        <v>108.9</v>
      </c>
      <c r="AV328" s="35">
        <v>32.6</v>
      </c>
      <c r="AW328" s="35">
        <v>9.1</v>
      </c>
      <c r="AX328" s="35">
        <f t="shared" si="96"/>
        <v>67</v>
      </c>
      <c r="AY328" s="35"/>
      <c r="AZ328" s="35">
        <f t="shared" si="97"/>
        <v>67</v>
      </c>
      <c r="BA328" s="35">
        <v>0</v>
      </c>
      <c r="BB328" s="35">
        <f t="shared" si="101"/>
        <v>67</v>
      </c>
      <c r="BC328" s="35"/>
      <c r="BD328" s="35">
        <f t="shared" si="98"/>
        <v>67</v>
      </c>
      <c r="BE328" s="35">
        <v>63.9</v>
      </c>
      <c r="BF328" s="35">
        <f t="shared" si="99"/>
        <v>3.1</v>
      </c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10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10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10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10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10"/>
      <c r="HA328" s="9"/>
      <c r="HB328" s="9"/>
    </row>
    <row r="329" spans="1:210" s="2" customFormat="1" ht="17.149999999999999" customHeight="1">
      <c r="A329" s="45" t="s">
        <v>310</v>
      </c>
      <c r="B329" s="63">
        <v>5300</v>
      </c>
      <c r="C329" s="63">
        <v>5993</v>
      </c>
      <c r="D329" s="4">
        <f t="shared" si="89"/>
        <v>1.1307547169811321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778.9</v>
      </c>
      <c r="O329" s="35">
        <v>1062</v>
      </c>
      <c r="P329" s="4">
        <f t="shared" si="90"/>
        <v>1.2163461291565028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82">
        <v>5076</v>
      </c>
      <c r="W329" s="82">
        <v>5710</v>
      </c>
      <c r="X329" s="4">
        <f t="shared" si="91"/>
        <v>1.1249014972419227</v>
      </c>
      <c r="Y329" s="5">
        <v>5</v>
      </c>
      <c r="Z329" s="5">
        <v>995</v>
      </c>
      <c r="AA329" s="5">
        <v>996</v>
      </c>
      <c r="AB329" s="4">
        <f t="shared" si="92"/>
        <v>1.0010050251256282</v>
      </c>
      <c r="AC329" s="5">
        <v>20</v>
      </c>
      <c r="AD329" s="5" t="s">
        <v>360</v>
      </c>
      <c r="AE329" s="5" t="s">
        <v>360</v>
      </c>
      <c r="AF329" s="5" t="s">
        <v>360</v>
      </c>
      <c r="AG329" s="5" t="s">
        <v>360</v>
      </c>
      <c r="AH329" s="5" t="s">
        <v>360</v>
      </c>
      <c r="AI329" s="5" t="s">
        <v>360</v>
      </c>
      <c r="AJ329" s="5" t="s">
        <v>360</v>
      </c>
      <c r="AK329" s="5" t="s">
        <v>360</v>
      </c>
      <c r="AL329" s="5" t="s">
        <v>360</v>
      </c>
      <c r="AM329" s="5" t="s">
        <v>360</v>
      </c>
      <c r="AN329" s="5" t="s">
        <v>360</v>
      </c>
      <c r="AO329" s="5" t="s">
        <v>360</v>
      </c>
      <c r="AP329" s="43">
        <f t="shared" si="100"/>
        <v>1.1125060831351579</v>
      </c>
      <c r="AQ329" s="44">
        <v>1227</v>
      </c>
      <c r="AR329" s="35">
        <f t="shared" si="93"/>
        <v>334.63636363636363</v>
      </c>
      <c r="AS329" s="35">
        <f t="shared" si="94"/>
        <v>372.3</v>
      </c>
      <c r="AT329" s="35">
        <f t="shared" si="95"/>
        <v>37.663636363636385</v>
      </c>
      <c r="AU329" s="35">
        <v>35.1</v>
      </c>
      <c r="AV329" s="35">
        <v>130.4</v>
      </c>
      <c r="AW329" s="35"/>
      <c r="AX329" s="35">
        <f t="shared" si="96"/>
        <v>206.8</v>
      </c>
      <c r="AY329" s="35"/>
      <c r="AZ329" s="35">
        <f t="shared" si="97"/>
        <v>206.8</v>
      </c>
      <c r="BA329" s="35">
        <v>0</v>
      </c>
      <c r="BB329" s="35">
        <f t="shared" si="101"/>
        <v>206.8</v>
      </c>
      <c r="BC329" s="35"/>
      <c r="BD329" s="35">
        <f t="shared" si="98"/>
        <v>206.8</v>
      </c>
      <c r="BE329" s="35">
        <v>206.3</v>
      </c>
      <c r="BF329" s="35">
        <f t="shared" si="99"/>
        <v>0.5</v>
      </c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10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10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10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10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10"/>
      <c r="HA329" s="9"/>
      <c r="HB329" s="9"/>
    </row>
    <row r="330" spans="1:210" s="2" customFormat="1" ht="17.149999999999999" customHeight="1">
      <c r="A330" s="45" t="s">
        <v>311</v>
      </c>
      <c r="B330" s="63">
        <v>0</v>
      </c>
      <c r="C330" s="63">
        <v>0</v>
      </c>
      <c r="D330" s="4">
        <f t="shared" si="89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212.8</v>
      </c>
      <c r="O330" s="35">
        <v>95</v>
      </c>
      <c r="P330" s="4">
        <f t="shared" si="90"/>
        <v>0.4464285714285714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82">
        <v>1259</v>
      </c>
      <c r="W330" s="82">
        <v>793</v>
      </c>
      <c r="X330" s="4">
        <f t="shared" si="91"/>
        <v>0.6298649722001588</v>
      </c>
      <c r="Y330" s="5">
        <v>5</v>
      </c>
      <c r="Z330" s="5">
        <v>23</v>
      </c>
      <c r="AA330" s="5">
        <v>25</v>
      </c>
      <c r="AB330" s="4">
        <f t="shared" si="92"/>
        <v>1.0869565217391304</v>
      </c>
      <c r="AC330" s="5">
        <v>20</v>
      </c>
      <c r="AD330" s="5" t="s">
        <v>360</v>
      </c>
      <c r="AE330" s="5" t="s">
        <v>360</v>
      </c>
      <c r="AF330" s="5" t="s">
        <v>360</v>
      </c>
      <c r="AG330" s="5" t="s">
        <v>360</v>
      </c>
      <c r="AH330" s="5" t="s">
        <v>360</v>
      </c>
      <c r="AI330" s="5" t="s">
        <v>360</v>
      </c>
      <c r="AJ330" s="5" t="s">
        <v>360</v>
      </c>
      <c r="AK330" s="5" t="s">
        <v>360</v>
      </c>
      <c r="AL330" s="5" t="s">
        <v>360</v>
      </c>
      <c r="AM330" s="5" t="s">
        <v>360</v>
      </c>
      <c r="AN330" s="5" t="s">
        <v>360</v>
      </c>
      <c r="AO330" s="5" t="s">
        <v>360</v>
      </c>
      <c r="AP330" s="43">
        <f t="shared" si="100"/>
        <v>0.75148948276344074</v>
      </c>
      <c r="AQ330" s="44">
        <v>477</v>
      </c>
      <c r="AR330" s="35">
        <f t="shared" si="93"/>
        <v>130.09090909090909</v>
      </c>
      <c r="AS330" s="35">
        <f t="shared" si="94"/>
        <v>97.8</v>
      </c>
      <c r="AT330" s="35">
        <f t="shared" si="95"/>
        <v>-32.290909090909096</v>
      </c>
      <c r="AU330" s="35">
        <v>40.200000000000003</v>
      </c>
      <c r="AV330" s="35">
        <v>1</v>
      </c>
      <c r="AW330" s="35">
        <v>5.4</v>
      </c>
      <c r="AX330" s="35">
        <f>ROUND(AS330-SUM(AU330:AW330),1)</f>
        <v>51.2</v>
      </c>
      <c r="AY330" s="35"/>
      <c r="AZ330" s="35">
        <f t="shared" si="97"/>
        <v>51.2</v>
      </c>
      <c r="BA330" s="35">
        <v>0</v>
      </c>
      <c r="BB330" s="35">
        <f t="shared" si="101"/>
        <v>51.2</v>
      </c>
      <c r="BC330" s="35"/>
      <c r="BD330" s="35">
        <f t="shared" si="98"/>
        <v>51.2</v>
      </c>
      <c r="BE330" s="35">
        <v>53.1</v>
      </c>
      <c r="BF330" s="35">
        <f t="shared" si="99"/>
        <v>-1.9</v>
      </c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10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10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10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10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10"/>
      <c r="HA330" s="9"/>
      <c r="HB330" s="9"/>
    </row>
    <row r="331" spans="1:210" s="2" customFormat="1" ht="17.149999999999999" customHeight="1">
      <c r="A331" s="18" t="s">
        <v>312</v>
      </c>
      <c r="B331" s="59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83"/>
      <c r="W331" s="83"/>
      <c r="X331" s="11"/>
      <c r="Y331" s="11"/>
      <c r="Z331" s="11"/>
      <c r="AA331" s="11"/>
      <c r="AB331" s="11"/>
      <c r="AC331" s="11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35"/>
      <c r="BB331" s="35"/>
      <c r="BC331" s="35"/>
      <c r="BD331" s="35"/>
      <c r="BE331" s="35"/>
      <c r="BF331" s="35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10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10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10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10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10"/>
      <c r="HA331" s="9"/>
      <c r="HB331" s="9"/>
    </row>
    <row r="332" spans="1:210" s="2" customFormat="1" ht="17.149999999999999" customHeight="1">
      <c r="A332" s="14" t="s">
        <v>313</v>
      </c>
      <c r="B332" s="63">
        <v>350</v>
      </c>
      <c r="C332" s="63">
        <v>451.2</v>
      </c>
      <c r="D332" s="4">
        <f t="shared" si="89"/>
        <v>1.2089142857142856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75.900000000000006</v>
      </c>
      <c r="O332" s="35">
        <v>45</v>
      </c>
      <c r="P332" s="4">
        <f t="shared" si="90"/>
        <v>0.59288537549407105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82">
        <v>949</v>
      </c>
      <c r="W332" s="82">
        <v>1281</v>
      </c>
      <c r="X332" s="4">
        <f t="shared" si="91"/>
        <v>1.2149841938883035</v>
      </c>
      <c r="Y332" s="5">
        <v>5</v>
      </c>
      <c r="Z332" s="5">
        <v>280</v>
      </c>
      <c r="AA332" s="5">
        <v>301</v>
      </c>
      <c r="AB332" s="4">
        <f t="shared" si="92"/>
        <v>1.075</v>
      </c>
      <c r="AC332" s="5">
        <v>20</v>
      </c>
      <c r="AD332" s="5" t="s">
        <v>360</v>
      </c>
      <c r="AE332" s="5" t="s">
        <v>360</v>
      </c>
      <c r="AF332" s="5" t="s">
        <v>360</v>
      </c>
      <c r="AG332" s="5" t="s">
        <v>360</v>
      </c>
      <c r="AH332" s="5" t="s">
        <v>360</v>
      </c>
      <c r="AI332" s="5" t="s">
        <v>360</v>
      </c>
      <c r="AJ332" s="5" t="s">
        <v>360</v>
      </c>
      <c r="AK332" s="5" t="s">
        <v>360</v>
      </c>
      <c r="AL332" s="5" t="s">
        <v>360</v>
      </c>
      <c r="AM332" s="5" t="s">
        <v>360</v>
      </c>
      <c r="AN332" s="5" t="s">
        <v>360</v>
      </c>
      <c r="AO332" s="5" t="s">
        <v>360</v>
      </c>
      <c r="AP332" s="43">
        <f t="shared" si="100"/>
        <v>0.90954399815788745</v>
      </c>
      <c r="AQ332" s="44">
        <v>1760</v>
      </c>
      <c r="AR332" s="35">
        <f t="shared" si="93"/>
        <v>480</v>
      </c>
      <c r="AS332" s="35">
        <f t="shared" si="94"/>
        <v>436.6</v>
      </c>
      <c r="AT332" s="35">
        <f t="shared" si="95"/>
        <v>-43.399999999999977</v>
      </c>
      <c r="AU332" s="35">
        <v>111.2</v>
      </c>
      <c r="AV332" s="35">
        <v>75.599999999999994</v>
      </c>
      <c r="AW332" s="35"/>
      <c r="AX332" s="35">
        <f t="shared" si="96"/>
        <v>249.8</v>
      </c>
      <c r="AY332" s="35"/>
      <c r="AZ332" s="35">
        <f t="shared" si="97"/>
        <v>249.8</v>
      </c>
      <c r="BA332" s="35">
        <v>0</v>
      </c>
      <c r="BB332" s="35">
        <f t="shared" si="101"/>
        <v>249.8</v>
      </c>
      <c r="BC332" s="35"/>
      <c r="BD332" s="35">
        <f t="shared" si="98"/>
        <v>249.8</v>
      </c>
      <c r="BE332" s="35">
        <v>233.5</v>
      </c>
      <c r="BF332" s="35">
        <f t="shared" si="99"/>
        <v>16.3</v>
      </c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10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10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10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10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10"/>
      <c r="HA332" s="9"/>
      <c r="HB332" s="9"/>
    </row>
    <row r="333" spans="1:210" s="2" customFormat="1" ht="17.149999999999999" customHeight="1">
      <c r="A333" s="14" t="s">
        <v>314</v>
      </c>
      <c r="B333" s="63">
        <v>219</v>
      </c>
      <c r="C333" s="63">
        <v>223</v>
      </c>
      <c r="D333" s="4">
        <f t="shared" si="89"/>
        <v>1.0182648401826484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695.5</v>
      </c>
      <c r="O333" s="35">
        <v>671</v>
      </c>
      <c r="P333" s="4">
        <f t="shared" si="90"/>
        <v>0.9647735442127966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82">
        <v>2463</v>
      </c>
      <c r="W333" s="82">
        <v>2237</v>
      </c>
      <c r="X333" s="4">
        <f t="shared" si="91"/>
        <v>0.90824198132358913</v>
      </c>
      <c r="Y333" s="5">
        <v>5</v>
      </c>
      <c r="Z333" s="5">
        <v>525</v>
      </c>
      <c r="AA333" s="5">
        <v>545</v>
      </c>
      <c r="AB333" s="4">
        <f t="shared" si="92"/>
        <v>1.0380952380952382</v>
      </c>
      <c r="AC333" s="5">
        <v>20</v>
      </c>
      <c r="AD333" s="5" t="s">
        <v>360</v>
      </c>
      <c r="AE333" s="5" t="s">
        <v>360</v>
      </c>
      <c r="AF333" s="5" t="s">
        <v>360</v>
      </c>
      <c r="AG333" s="5" t="s">
        <v>360</v>
      </c>
      <c r="AH333" s="5" t="s">
        <v>360</v>
      </c>
      <c r="AI333" s="5" t="s">
        <v>360</v>
      </c>
      <c r="AJ333" s="5" t="s">
        <v>360</v>
      </c>
      <c r="AK333" s="5" t="s">
        <v>360</v>
      </c>
      <c r="AL333" s="5" t="s">
        <v>360</v>
      </c>
      <c r="AM333" s="5" t="s">
        <v>360</v>
      </c>
      <c r="AN333" s="5" t="s">
        <v>360</v>
      </c>
      <c r="AO333" s="5" t="s">
        <v>360</v>
      </c>
      <c r="AP333" s="43">
        <f t="shared" si="100"/>
        <v>0.9937981950738376</v>
      </c>
      <c r="AQ333" s="44">
        <v>1621</v>
      </c>
      <c r="AR333" s="35">
        <f t="shared" si="93"/>
        <v>442.09090909090912</v>
      </c>
      <c r="AS333" s="35">
        <f t="shared" si="94"/>
        <v>439.3</v>
      </c>
      <c r="AT333" s="35">
        <f t="shared" si="95"/>
        <v>-2.7909090909091105</v>
      </c>
      <c r="AU333" s="35">
        <v>117.9</v>
      </c>
      <c r="AV333" s="35">
        <v>179.2</v>
      </c>
      <c r="AW333" s="35"/>
      <c r="AX333" s="35">
        <f t="shared" si="96"/>
        <v>142.19999999999999</v>
      </c>
      <c r="AY333" s="35"/>
      <c r="AZ333" s="35">
        <f t="shared" si="97"/>
        <v>142.19999999999999</v>
      </c>
      <c r="BA333" s="35">
        <v>0</v>
      </c>
      <c r="BB333" s="35">
        <f t="shared" si="101"/>
        <v>142.19999999999999</v>
      </c>
      <c r="BC333" s="35"/>
      <c r="BD333" s="35">
        <f t="shared" si="98"/>
        <v>142.19999999999999</v>
      </c>
      <c r="BE333" s="35">
        <v>146.5</v>
      </c>
      <c r="BF333" s="35">
        <f t="shared" si="99"/>
        <v>-4.3</v>
      </c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10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10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10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10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10"/>
      <c r="HA333" s="9"/>
      <c r="HB333" s="9"/>
    </row>
    <row r="334" spans="1:210" s="2" customFormat="1" ht="17.149999999999999" customHeight="1">
      <c r="A334" s="14" t="s">
        <v>267</v>
      </c>
      <c r="B334" s="63">
        <v>127</v>
      </c>
      <c r="C334" s="63">
        <v>152.4</v>
      </c>
      <c r="D334" s="4">
        <f t="shared" si="89"/>
        <v>1.2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17.899999999999999</v>
      </c>
      <c r="O334" s="35">
        <v>51.2</v>
      </c>
      <c r="P334" s="4">
        <f t="shared" si="90"/>
        <v>1.3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82">
        <v>709</v>
      </c>
      <c r="W334" s="82">
        <v>905</v>
      </c>
      <c r="X334" s="4">
        <f t="shared" si="91"/>
        <v>1.2076445698166431</v>
      </c>
      <c r="Y334" s="5">
        <v>5</v>
      </c>
      <c r="Z334" s="5">
        <v>280</v>
      </c>
      <c r="AA334" s="5">
        <v>312</v>
      </c>
      <c r="AB334" s="4">
        <f t="shared" si="92"/>
        <v>1.1142857142857143</v>
      </c>
      <c r="AC334" s="5">
        <v>20</v>
      </c>
      <c r="AD334" s="5" t="s">
        <v>360</v>
      </c>
      <c r="AE334" s="5" t="s">
        <v>360</v>
      </c>
      <c r="AF334" s="5" t="s">
        <v>360</v>
      </c>
      <c r="AG334" s="5" t="s">
        <v>360</v>
      </c>
      <c r="AH334" s="5" t="s">
        <v>360</v>
      </c>
      <c r="AI334" s="5" t="s">
        <v>360</v>
      </c>
      <c r="AJ334" s="5" t="s">
        <v>360</v>
      </c>
      <c r="AK334" s="5" t="s">
        <v>360</v>
      </c>
      <c r="AL334" s="5" t="s">
        <v>360</v>
      </c>
      <c r="AM334" s="5" t="s">
        <v>360</v>
      </c>
      <c r="AN334" s="5" t="s">
        <v>360</v>
      </c>
      <c r="AO334" s="5" t="s">
        <v>360</v>
      </c>
      <c r="AP334" s="43">
        <f t="shared" si="100"/>
        <v>1.20647874269595</v>
      </c>
      <c r="AQ334" s="44">
        <v>1333</v>
      </c>
      <c r="AR334" s="35">
        <f t="shared" si="93"/>
        <v>363.54545454545456</v>
      </c>
      <c r="AS334" s="35">
        <f t="shared" si="94"/>
        <v>438.6</v>
      </c>
      <c r="AT334" s="35">
        <f t="shared" si="95"/>
        <v>75.054545454545462</v>
      </c>
      <c r="AU334" s="35">
        <v>152.9</v>
      </c>
      <c r="AV334" s="35">
        <v>78.7</v>
      </c>
      <c r="AW334" s="35"/>
      <c r="AX334" s="35">
        <f t="shared" si="96"/>
        <v>207</v>
      </c>
      <c r="AY334" s="35"/>
      <c r="AZ334" s="35">
        <f t="shared" si="97"/>
        <v>207</v>
      </c>
      <c r="BA334" s="35">
        <v>0</v>
      </c>
      <c r="BB334" s="35">
        <f t="shared" si="101"/>
        <v>207</v>
      </c>
      <c r="BC334" s="35"/>
      <c r="BD334" s="35">
        <f t="shared" si="98"/>
        <v>207</v>
      </c>
      <c r="BE334" s="35">
        <v>207</v>
      </c>
      <c r="BF334" s="35">
        <f t="shared" si="99"/>
        <v>0</v>
      </c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10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10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10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10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10"/>
      <c r="HA334" s="9"/>
      <c r="HB334" s="9"/>
    </row>
    <row r="335" spans="1:210" s="2" customFormat="1" ht="17.149999999999999" customHeight="1">
      <c r="A335" s="14" t="s">
        <v>315</v>
      </c>
      <c r="B335" s="63">
        <v>364</v>
      </c>
      <c r="C335" s="63">
        <v>392</v>
      </c>
      <c r="D335" s="4">
        <f t="shared" si="89"/>
        <v>1.0769230769230769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131</v>
      </c>
      <c r="O335" s="35">
        <v>136.6</v>
      </c>
      <c r="P335" s="4">
        <f t="shared" si="90"/>
        <v>1.0427480916030534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82">
        <v>1632</v>
      </c>
      <c r="W335" s="82">
        <v>1888</v>
      </c>
      <c r="X335" s="4">
        <f t="shared" si="91"/>
        <v>1.1568627450980393</v>
      </c>
      <c r="Y335" s="5">
        <v>5</v>
      </c>
      <c r="Z335" s="5">
        <v>150</v>
      </c>
      <c r="AA335" s="5">
        <v>169</v>
      </c>
      <c r="AB335" s="4">
        <f t="shared" si="92"/>
        <v>1.1266666666666667</v>
      </c>
      <c r="AC335" s="5">
        <v>20</v>
      </c>
      <c r="AD335" s="5" t="s">
        <v>360</v>
      </c>
      <c r="AE335" s="5" t="s">
        <v>360</v>
      </c>
      <c r="AF335" s="5" t="s">
        <v>360</v>
      </c>
      <c r="AG335" s="5" t="s">
        <v>360</v>
      </c>
      <c r="AH335" s="5" t="s">
        <v>360</v>
      </c>
      <c r="AI335" s="5" t="s">
        <v>360</v>
      </c>
      <c r="AJ335" s="5" t="s">
        <v>360</v>
      </c>
      <c r="AK335" s="5" t="s">
        <v>360</v>
      </c>
      <c r="AL335" s="5" t="s">
        <v>360</v>
      </c>
      <c r="AM335" s="5" t="s">
        <v>360</v>
      </c>
      <c r="AN335" s="5" t="s">
        <v>360</v>
      </c>
      <c r="AO335" s="5" t="s">
        <v>360</v>
      </c>
      <c r="AP335" s="43">
        <f t="shared" si="100"/>
        <v>1.0911444855099994</v>
      </c>
      <c r="AQ335" s="44">
        <v>2240</v>
      </c>
      <c r="AR335" s="35">
        <f t="shared" si="93"/>
        <v>610.90909090909088</v>
      </c>
      <c r="AS335" s="35">
        <f t="shared" si="94"/>
        <v>666.6</v>
      </c>
      <c r="AT335" s="35">
        <f t="shared" si="95"/>
        <v>55.690909090909145</v>
      </c>
      <c r="AU335" s="35">
        <v>176</v>
      </c>
      <c r="AV335" s="35">
        <v>181.9</v>
      </c>
      <c r="AW335" s="35"/>
      <c r="AX335" s="35">
        <f t="shared" si="96"/>
        <v>308.7</v>
      </c>
      <c r="AY335" s="35"/>
      <c r="AZ335" s="35">
        <f t="shared" si="97"/>
        <v>308.7</v>
      </c>
      <c r="BA335" s="35">
        <v>0</v>
      </c>
      <c r="BB335" s="35">
        <f t="shared" si="101"/>
        <v>308.7</v>
      </c>
      <c r="BC335" s="35"/>
      <c r="BD335" s="35">
        <f t="shared" si="98"/>
        <v>308.7</v>
      </c>
      <c r="BE335" s="35">
        <v>304.2</v>
      </c>
      <c r="BF335" s="35">
        <f t="shared" si="99"/>
        <v>4.5</v>
      </c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10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10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10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10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10"/>
      <c r="HA335" s="9"/>
      <c r="HB335" s="9"/>
    </row>
    <row r="336" spans="1:210" s="2" customFormat="1" ht="17.149999999999999" customHeight="1">
      <c r="A336" s="14" t="s">
        <v>316</v>
      </c>
      <c r="B336" s="63">
        <v>0</v>
      </c>
      <c r="C336" s="63">
        <v>0</v>
      </c>
      <c r="D336" s="4">
        <f t="shared" si="89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527.29999999999995</v>
      </c>
      <c r="O336" s="35">
        <v>601.5</v>
      </c>
      <c r="P336" s="4">
        <f t="shared" si="90"/>
        <v>1.1407168594727859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82">
        <v>2127</v>
      </c>
      <c r="W336" s="82">
        <v>2883</v>
      </c>
      <c r="X336" s="4">
        <f t="shared" si="91"/>
        <v>1.2155430183356839</v>
      </c>
      <c r="Y336" s="5">
        <v>5</v>
      </c>
      <c r="Z336" s="5">
        <v>910</v>
      </c>
      <c r="AA336" s="5">
        <v>968</v>
      </c>
      <c r="AB336" s="4">
        <f t="shared" si="92"/>
        <v>1.0637362637362637</v>
      </c>
      <c r="AC336" s="5">
        <v>20</v>
      </c>
      <c r="AD336" s="5" t="s">
        <v>360</v>
      </c>
      <c r="AE336" s="5" t="s">
        <v>360</v>
      </c>
      <c r="AF336" s="5" t="s">
        <v>360</v>
      </c>
      <c r="AG336" s="5" t="s">
        <v>360</v>
      </c>
      <c r="AH336" s="5" t="s">
        <v>360</v>
      </c>
      <c r="AI336" s="5" t="s">
        <v>360</v>
      </c>
      <c r="AJ336" s="5" t="s">
        <v>360</v>
      </c>
      <c r="AK336" s="5" t="s">
        <v>360</v>
      </c>
      <c r="AL336" s="5" t="s">
        <v>360</v>
      </c>
      <c r="AM336" s="5" t="s">
        <v>360</v>
      </c>
      <c r="AN336" s="5" t="s">
        <v>360</v>
      </c>
      <c r="AO336" s="5" t="s">
        <v>360</v>
      </c>
      <c r="AP336" s="43">
        <f t="shared" si="100"/>
        <v>1.114817279019098</v>
      </c>
      <c r="AQ336" s="44">
        <v>2494</v>
      </c>
      <c r="AR336" s="35">
        <f t="shared" si="93"/>
        <v>680.18181818181813</v>
      </c>
      <c r="AS336" s="35">
        <f t="shared" si="94"/>
        <v>758.3</v>
      </c>
      <c r="AT336" s="35">
        <f t="shared" si="95"/>
        <v>78.118181818181824</v>
      </c>
      <c r="AU336" s="35">
        <v>111.2</v>
      </c>
      <c r="AV336" s="35">
        <v>273.2</v>
      </c>
      <c r="AW336" s="35"/>
      <c r="AX336" s="35">
        <f t="shared" si="96"/>
        <v>373.9</v>
      </c>
      <c r="AY336" s="35"/>
      <c r="AZ336" s="35">
        <f t="shared" si="97"/>
        <v>373.9</v>
      </c>
      <c r="BA336" s="35">
        <v>0</v>
      </c>
      <c r="BB336" s="35">
        <f t="shared" si="101"/>
        <v>373.9</v>
      </c>
      <c r="BC336" s="35"/>
      <c r="BD336" s="35">
        <f t="shared" si="98"/>
        <v>373.9</v>
      </c>
      <c r="BE336" s="35">
        <v>365.3</v>
      </c>
      <c r="BF336" s="35">
        <f t="shared" si="99"/>
        <v>8.6</v>
      </c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10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10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10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10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10"/>
      <c r="HA336" s="9"/>
      <c r="HB336" s="9"/>
    </row>
    <row r="337" spans="1:210" s="2" customFormat="1" ht="17.149999999999999" customHeight="1">
      <c r="A337" s="14" t="s">
        <v>317</v>
      </c>
      <c r="B337" s="63">
        <v>247</v>
      </c>
      <c r="C337" s="63">
        <v>263</v>
      </c>
      <c r="D337" s="4">
        <f t="shared" si="89"/>
        <v>1.0647773279352226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278.39999999999998</v>
      </c>
      <c r="O337" s="35">
        <v>355.7</v>
      </c>
      <c r="P337" s="4">
        <f t="shared" si="90"/>
        <v>1.2077658045977011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82">
        <v>2313</v>
      </c>
      <c r="W337" s="82">
        <v>3030</v>
      </c>
      <c r="X337" s="4">
        <f t="shared" si="91"/>
        <v>1.2109987029831388</v>
      </c>
      <c r="Y337" s="5">
        <v>5</v>
      </c>
      <c r="Z337" s="5">
        <v>315</v>
      </c>
      <c r="AA337" s="5">
        <v>316</v>
      </c>
      <c r="AB337" s="4">
        <f t="shared" si="92"/>
        <v>1.0031746031746032</v>
      </c>
      <c r="AC337" s="5">
        <v>20</v>
      </c>
      <c r="AD337" s="5" t="s">
        <v>360</v>
      </c>
      <c r="AE337" s="5" t="s">
        <v>360</v>
      </c>
      <c r="AF337" s="5" t="s">
        <v>360</v>
      </c>
      <c r="AG337" s="5" t="s">
        <v>360</v>
      </c>
      <c r="AH337" s="5" t="s">
        <v>360</v>
      </c>
      <c r="AI337" s="5" t="s">
        <v>360</v>
      </c>
      <c r="AJ337" s="5" t="s">
        <v>360</v>
      </c>
      <c r="AK337" s="5" t="s">
        <v>360</v>
      </c>
      <c r="AL337" s="5" t="s">
        <v>360</v>
      </c>
      <c r="AM337" s="5" t="s">
        <v>360</v>
      </c>
      <c r="AN337" s="5" t="s">
        <v>360</v>
      </c>
      <c r="AO337" s="5" t="s">
        <v>360</v>
      </c>
      <c r="AP337" s="43">
        <f t="shared" si="100"/>
        <v>1.1119537662007577</v>
      </c>
      <c r="AQ337" s="44">
        <v>1909</v>
      </c>
      <c r="AR337" s="35">
        <f t="shared" si="93"/>
        <v>520.63636363636363</v>
      </c>
      <c r="AS337" s="35">
        <f t="shared" si="94"/>
        <v>578.9</v>
      </c>
      <c r="AT337" s="35">
        <f t="shared" si="95"/>
        <v>58.263636363636351</v>
      </c>
      <c r="AU337" s="35">
        <v>220.4</v>
      </c>
      <c r="AV337" s="35">
        <v>77.099999999999994</v>
      </c>
      <c r="AW337" s="35"/>
      <c r="AX337" s="35">
        <f t="shared" si="96"/>
        <v>281.39999999999998</v>
      </c>
      <c r="AY337" s="35"/>
      <c r="AZ337" s="35">
        <f t="shared" si="97"/>
        <v>281.39999999999998</v>
      </c>
      <c r="BA337" s="35">
        <v>0</v>
      </c>
      <c r="BB337" s="35">
        <f t="shared" si="101"/>
        <v>281.39999999999998</v>
      </c>
      <c r="BC337" s="35"/>
      <c r="BD337" s="35">
        <f t="shared" si="98"/>
        <v>281.39999999999998</v>
      </c>
      <c r="BE337" s="35">
        <v>275.7</v>
      </c>
      <c r="BF337" s="35">
        <f t="shared" si="99"/>
        <v>5.7</v>
      </c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10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10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10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10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10"/>
      <c r="HA337" s="9"/>
      <c r="HB337" s="9"/>
    </row>
    <row r="338" spans="1:210" s="2" customFormat="1" ht="17.149999999999999" customHeight="1">
      <c r="A338" s="14" t="s">
        <v>318</v>
      </c>
      <c r="B338" s="63">
        <v>116</v>
      </c>
      <c r="C338" s="63">
        <v>125.5</v>
      </c>
      <c r="D338" s="4">
        <f t="shared" si="89"/>
        <v>1.0818965517241379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556.1</v>
      </c>
      <c r="O338" s="35">
        <v>608.4</v>
      </c>
      <c r="P338" s="4">
        <f t="shared" si="90"/>
        <v>1.0940478331235388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82">
        <v>4694</v>
      </c>
      <c r="W338" s="82">
        <v>4994</v>
      </c>
      <c r="X338" s="4">
        <f t="shared" si="91"/>
        <v>1.0639113762249681</v>
      </c>
      <c r="Y338" s="5">
        <v>5</v>
      </c>
      <c r="Z338" s="5">
        <v>270</v>
      </c>
      <c r="AA338" s="5">
        <v>340</v>
      </c>
      <c r="AB338" s="4">
        <f t="shared" si="92"/>
        <v>1.2059259259259258</v>
      </c>
      <c r="AC338" s="5">
        <v>20</v>
      </c>
      <c r="AD338" s="5" t="s">
        <v>360</v>
      </c>
      <c r="AE338" s="5" t="s">
        <v>360</v>
      </c>
      <c r="AF338" s="5" t="s">
        <v>360</v>
      </c>
      <c r="AG338" s="5" t="s">
        <v>360</v>
      </c>
      <c r="AH338" s="5" t="s">
        <v>360</v>
      </c>
      <c r="AI338" s="5" t="s">
        <v>360</v>
      </c>
      <c r="AJ338" s="5" t="s">
        <v>360</v>
      </c>
      <c r="AK338" s="5" t="s">
        <v>360</v>
      </c>
      <c r="AL338" s="5" t="s">
        <v>360</v>
      </c>
      <c r="AM338" s="5" t="s">
        <v>360</v>
      </c>
      <c r="AN338" s="5" t="s">
        <v>360</v>
      </c>
      <c r="AO338" s="5" t="s">
        <v>360</v>
      </c>
      <c r="AP338" s="43">
        <f t="shared" si="100"/>
        <v>1.1345702964146966</v>
      </c>
      <c r="AQ338" s="44">
        <v>1490</v>
      </c>
      <c r="AR338" s="35">
        <f t="shared" si="93"/>
        <v>406.36363636363637</v>
      </c>
      <c r="AS338" s="35">
        <f t="shared" si="94"/>
        <v>461</v>
      </c>
      <c r="AT338" s="35">
        <f t="shared" si="95"/>
        <v>54.636363636363626</v>
      </c>
      <c r="AU338" s="35">
        <v>165</v>
      </c>
      <c r="AV338" s="35">
        <v>49.9</v>
      </c>
      <c r="AW338" s="35">
        <v>35.799999999999997</v>
      </c>
      <c r="AX338" s="35">
        <f t="shared" si="96"/>
        <v>210.3</v>
      </c>
      <c r="AY338" s="35"/>
      <c r="AZ338" s="35">
        <f t="shared" si="97"/>
        <v>210.3</v>
      </c>
      <c r="BA338" s="35">
        <v>0</v>
      </c>
      <c r="BB338" s="35">
        <f t="shared" si="101"/>
        <v>210.3</v>
      </c>
      <c r="BC338" s="35"/>
      <c r="BD338" s="35">
        <f t="shared" si="98"/>
        <v>210.3</v>
      </c>
      <c r="BE338" s="35">
        <v>213.5</v>
      </c>
      <c r="BF338" s="35">
        <f t="shared" si="99"/>
        <v>-3.2</v>
      </c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10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10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10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10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10"/>
      <c r="HA338" s="9"/>
      <c r="HB338" s="9"/>
    </row>
    <row r="339" spans="1:210" s="2" customFormat="1" ht="17.149999999999999" customHeight="1">
      <c r="A339" s="14" t="s">
        <v>319</v>
      </c>
      <c r="B339" s="63">
        <v>269</v>
      </c>
      <c r="C339" s="63">
        <v>286.2</v>
      </c>
      <c r="D339" s="4">
        <f t="shared" si="89"/>
        <v>1.0639405204460965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96.9</v>
      </c>
      <c r="O339" s="35">
        <v>96.1</v>
      </c>
      <c r="P339" s="4">
        <f t="shared" si="90"/>
        <v>0.99174406604747145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82">
        <v>528</v>
      </c>
      <c r="W339" s="82">
        <v>695</v>
      </c>
      <c r="X339" s="4">
        <f t="shared" si="91"/>
        <v>1.2116287878787879</v>
      </c>
      <c r="Y339" s="5">
        <v>5</v>
      </c>
      <c r="Z339" s="5">
        <v>325</v>
      </c>
      <c r="AA339" s="5">
        <v>338</v>
      </c>
      <c r="AB339" s="4">
        <f t="shared" si="92"/>
        <v>1.04</v>
      </c>
      <c r="AC339" s="5">
        <v>20</v>
      </c>
      <c r="AD339" s="5" t="s">
        <v>360</v>
      </c>
      <c r="AE339" s="5" t="s">
        <v>360</v>
      </c>
      <c r="AF339" s="5" t="s">
        <v>360</v>
      </c>
      <c r="AG339" s="5" t="s">
        <v>360</v>
      </c>
      <c r="AH339" s="5" t="s">
        <v>360</v>
      </c>
      <c r="AI339" s="5" t="s">
        <v>360</v>
      </c>
      <c r="AJ339" s="5" t="s">
        <v>360</v>
      </c>
      <c r="AK339" s="5" t="s">
        <v>360</v>
      </c>
      <c r="AL339" s="5" t="s">
        <v>360</v>
      </c>
      <c r="AM339" s="5" t="s">
        <v>360</v>
      </c>
      <c r="AN339" s="5" t="s">
        <v>360</v>
      </c>
      <c r="AO339" s="5" t="s">
        <v>360</v>
      </c>
      <c r="AP339" s="43">
        <f t="shared" si="100"/>
        <v>1.040254557251477</v>
      </c>
      <c r="AQ339" s="44">
        <v>1352</v>
      </c>
      <c r="AR339" s="35">
        <f t="shared" si="93"/>
        <v>368.72727272727275</v>
      </c>
      <c r="AS339" s="35">
        <f t="shared" si="94"/>
        <v>383.6</v>
      </c>
      <c r="AT339" s="35">
        <f t="shared" si="95"/>
        <v>14.872727272727275</v>
      </c>
      <c r="AU339" s="35">
        <v>104.9</v>
      </c>
      <c r="AV339" s="35">
        <v>145.30000000000001</v>
      </c>
      <c r="AW339" s="35"/>
      <c r="AX339" s="35">
        <f t="shared" si="96"/>
        <v>133.4</v>
      </c>
      <c r="AY339" s="35"/>
      <c r="AZ339" s="35">
        <f t="shared" si="97"/>
        <v>133.4</v>
      </c>
      <c r="BA339" s="35">
        <v>0</v>
      </c>
      <c r="BB339" s="35">
        <f t="shared" si="101"/>
        <v>133.4</v>
      </c>
      <c r="BC339" s="35"/>
      <c r="BD339" s="35">
        <f t="shared" si="98"/>
        <v>133.4</v>
      </c>
      <c r="BE339" s="35">
        <v>126.3</v>
      </c>
      <c r="BF339" s="35">
        <f t="shared" si="99"/>
        <v>7.1</v>
      </c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10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10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10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10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10"/>
      <c r="HA339" s="9"/>
      <c r="HB339" s="9"/>
    </row>
    <row r="340" spans="1:210" s="2" customFormat="1" ht="17.149999999999999" customHeight="1">
      <c r="A340" s="14" t="s">
        <v>320</v>
      </c>
      <c r="B340" s="63">
        <v>138</v>
      </c>
      <c r="C340" s="63">
        <v>148.19999999999999</v>
      </c>
      <c r="D340" s="4">
        <f t="shared" si="89"/>
        <v>1.0739130434782609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7</v>
      </c>
      <c r="O340" s="35">
        <v>132.5</v>
      </c>
      <c r="P340" s="4">
        <f t="shared" si="90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82">
        <v>416</v>
      </c>
      <c r="W340" s="82">
        <v>505</v>
      </c>
      <c r="X340" s="4">
        <f t="shared" si="91"/>
        <v>1.2013942307692307</v>
      </c>
      <c r="Y340" s="5">
        <v>5</v>
      </c>
      <c r="Z340" s="5">
        <v>105</v>
      </c>
      <c r="AA340" s="5">
        <v>105</v>
      </c>
      <c r="AB340" s="4">
        <f t="shared" si="92"/>
        <v>1</v>
      </c>
      <c r="AC340" s="5">
        <v>20</v>
      </c>
      <c r="AD340" s="5" t="s">
        <v>360</v>
      </c>
      <c r="AE340" s="5" t="s">
        <v>360</v>
      </c>
      <c r="AF340" s="5" t="s">
        <v>360</v>
      </c>
      <c r="AG340" s="5" t="s">
        <v>360</v>
      </c>
      <c r="AH340" s="5" t="s">
        <v>360</v>
      </c>
      <c r="AI340" s="5" t="s">
        <v>360</v>
      </c>
      <c r="AJ340" s="5" t="s">
        <v>360</v>
      </c>
      <c r="AK340" s="5" t="s">
        <v>360</v>
      </c>
      <c r="AL340" s="5" t="s">
        <v>360</v>
      </c>
      <c r="AM340" s="5" t="s">
        <v>360</v>
      </c>
      <c r="AN340" s="5" t="s">
        <v>360</v>
      </c>
      <c r="AO340" s="5" t="s">
        <v>360</v>
      </c>
      <c r="AP340" s="43">
        <f t="shared" si="100"/>
        <v>1.147530727424749</v>
      </c>
      <c r="AQ340" s="44">
        <v>1291</v>
      </c>
      <c r="AR340" s="35">
        <f t="shared" si="93"/>
        <v>352.09090909090907</v>
      </c>
      <c r="AS340" s="35">
        <f t="shared" si="94"/>
        <v>404</v>
      </c>
      <c r="AT340" s="35">
        <f t="shared" si="95"/>
        <v>51.909090909090935</v>
      </c>
      <c r="AU340" s="35">
        <v>146.1</v>
      </c>
      <c r="AV340" s="35">
        <v>146.69999999999999</v>
      </c>
      <c r="AW340" s="35"/>
      <c r="AX340" s="35">
        <f t="shared" si="96"/>
        <v>111.2</v>
      </c>
      <c r="AY340" s="35"/>
      <c r="AZ340" s="35">
        <f t="shared" si="97"/>
        <v>111.2</v>
      </c>
      <c r="BA340" s="35">
        <v>0</v>
      </c>
      <c r="BB340" s="35">
        <f t="shared" si="101"/>
        <v>111.2</v>
      </c>
      <c r="BC340" s="35"/>
      <c r="BD340" s="35">
        <f t="shared" si="98"/>
        <v>111.2</v>
      </c>
      <c r="BE340" s="35">
        <v>109.1</v>
      </c>
      <c r="BF340" s="35">
        <f t="shared" si="99"/>
        <v>2.1</v>
      </c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10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10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10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10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10"/>
      <c r="HA340" s="9"/>
      <c r="HB340" s="9"/>
    </row>
    <row r="341" spans="1:210" s="2" customFormat="1" ht="17.149999999999999" customHeight="1">
      <c r="A341" s="14" t="s">
        <v>321</v>
      </c>
      <c r="B341" s="63">
        <v>244</v>
      </c>
      <c r="C341" s="63">
        <v>260.7</v>
      </c>
      <c r="D341" s="4">
        <f t="shared" si="89"/>
        <v>1.0684426229508197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209.9</v>
      </c>
      <c r="O341" s="35">
        <v>233.6</v>
      </c>
      <c r="P341" s="4">
        <f t="shared" si="90"/>
        <v>1.1129109099571224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82">
        <v>2240</v>
      </c>
      <c r="W341" s="82">
        <v>2643</v>
      </c>
      <c r="X341" s="4">
        <f t="shared" si="91"/>
        <v>1.1799107142857144</v>
      </c>
      <c r="Y341" s="5">
        <v>5</v>
      </c>
      <c r="Z341" s="5">
        <v>2800</v>
      </c>
      <c r="AA341" s="5">
        <v>1939</v>
      </c>
      <c r="AB341" s="4">
        <f t="shared" si="92"/>
        <v>0.6925</v>
      </c>
      <c r="AC341" s="5">
        <v>20</v>
      </c>
      <c r="AD341" s="5" t="s">
        <v>360</v>
      </c>
      <c r="AE341" s="5" t="s">
        <v>360</v>
      </c>
      <c r="AF341" s="5" t="s">
        <v>360</v>
      </c>
      <c r="AG341" s="5" t="s">
        <v>360</v>
      </c>
      <c r="AH341" s="5" t="s">
        <v>360</v>
      </c>
      <c r="AI341" s="5" t="s">
        <v>360</v>
      </c>
      <c r="AJ341" s="5" t="s">
        <v>360</v>
      </c>
      <c r="AK341" s="5" t="s">
        <v>360</v>
      </c>
      <c r="AL341" s="5" t="s">
        <v>360</v>
      </c>
      <c r="AM341" s="5" t="s">
        <v>360</v>
      </c>
      <c r="AN341" s="5" t="s">
        <v>360</v>
      </c>
      <c r="AO341" s="5" t="s">
        <v>360</v>
      </c>
      <c r="AP341" s="43">
        <f t="shared" si="100"/>
        <v>0.94699969770650239</v>
      </c>
      <c r="AQ341" s="44">
        <v>1826</v>
      </c>
      <c r="AR341" s="35">
        <f t="shared" si="93"/>
        <v>498</v>
      </c>
      <c r="AS341" s="35">
        <f t="shared" si="94"/>
        <v>471.6</v>
      </c>
      <c r="AT341" s="35">
        <f t="shared" si="95"/>
        <v>-26.399999999999977</v>
      </c>
      <c r="AU341" s="35">
        <v>203.9</v>
      </c>
      <c r="AV341" s="35">
        <v>204.9</v>
      </c>
      <c r="AW341" s="35">
        <v>2.5</v>
      </c>
      <c r="AX341" s="35">
        <f t="shared" si="96"/>
        <v>60.3</v>
      </c>
      <c r="AY341" s="35"/>
      <c r="AZ341" s="35">
        <f t="shared" si="97"/>
        <v>60.3</v>
      </c>
      <c r="BA341" s="35">
        <v>0</v>
      </c>
      <c r="BB341" s="35">
        <f t="shared" si="101"/>
        <v>60.3</v>
      </c>
      <c r="BC341" s="35"/>
      <c r="BD341" s="35">
        <f t="shared" si="98"/>
        <v>60.3</v>
      </c>
      <c r="BE341" s="35">
        <v>47.4</v>
      </c>
      <c r="BF341" s="35">
        <f t="shared" si="99"/>
        <v>12.9</v>
      </c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10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10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10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10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10"/>
      <c r="HA341" s="9"/>
      <c r="HB341" s="9"/>
    </row>
    <row r="342" spans="1:210" s="2" customFormat="1" ht="17.149999999999999" customHeight="1">
      <c r="A342" s="14" t="s">
        <v>322</v>
      </c>
      <c r="B342" s="63">
        <v>35975</v>
      </c>
      <c r="C342" s="63">
        <v>42629.599999999999</v>
      </c>
      <c r="D342" s="4">
        <f t="shared" si="89"/>
        <v>1.1849784572619875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1944</v>
      </c>
      <c r="O342" s="35">
        <v>2293.1999999999998</v>
      </c>
      <c r="P342" s="4">
        <f t="shared" si="90"/>
        <v>1.1796296296296296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82">
        <v>67410</v>
      </c>
      <c r="W342" s="82">
        <v>76924</v>
      </c>
      <c r="X342" s="4">
        <f t="shared" si="91"/>
        <v>1.1411363299213766</v>
      </c>
      <c r="Y342" s="5">
        <v>5</v>
      </c>
      <c r="Z342" s="5">
        <v>860</v>
      </c>
      <c r="AA342" s="5">
        <v>917</v>
      </c>
      <c r="AB342" s="4">
        <f t="shared" si="92"/>
        <v>1.0662790697674418</v>
      </c>
      <c r="AC342" s="5">
        <v>20</v>
      </c>
      <c r="AD342" s="5" t="s">
        <v>360</v>
      </c>
      <c r="AE342" s="5" t="s">
        <v>360</v>
      </c>
      <c r="AF342" s="5" t="s">
        <v>360</v>
      </c>
      <c r="AG342" s="5" t="s">
        <v>360</v>
      </c>
      <c r="AH342" s="5" t="s">
        <v>360</v>
      </c>
      <c r="AI342" s="5" t="s">
        <v>360</v>
      </c>
      <c r="AJ342" s="5" t="s">
        <v>360</v>
      </c>
      <c r="AK342" s="5" t="s">
        <v>360</v>
      </c>
      <c r="AL342" s="5" t="s">
        <v>360</v>
      </c>
      <c r="AM342" s="5" t="s">
        <v>360</v>
      </c>
      <c r="AN342" s="5" t="s">
        <v>360</v>
      </c>
      <c r="AO342" s="5" t="s">
        <v>360</v>
      </c>
      <c r="AP342" s="43">
        <f t="shared" si="100"/>
        <v>1.1309749584771649</v>
      </c>
      <c r="AQ342" s="44">
        <v>3723</v>
      </c>
      <c r="AR342" s="35">
        <f t="shared" si="93"/>
        <v>1015.3636363636363</v>
      </c>
      <c r="AS342" s="35">
        <f t="shared" si="94"/>
        <v>1148.4000000000001</v>
      </c>
      <c r="AT342" s="35">
        <f t="shared" si="95"/>
        <v>133.03636363636383</v>
      </c>
      <c r="AU342" s="35">
        <v>280.8</v>
      </c>
      <c r="AV342" s="35">
        <v>363.9</v>
      </c>
      <c r="AW342" s="35">
        <v>10.7</v>
      </c>
      <c r="AX342" s="35">
        <f t="shared" si="96"/>
        <v>493</v>
      </c>
      <c r="AY342" s="35"/>
      <c r="AZ342" s="35">
        <f t="shared" si="97"/>
        <v>493</v>
      </c>
      <c r="BA342" s="35">
        <v>0</v>
      </c>
      <c r="BB342" s="35">
        <f t="shared" si="101"/>
        <v>493</v>
      </c>
      <c r="BC342" s="35"/>
      <c r="BD342" s="35">
        <f t="shared" si="98"/>
        <v>493</v>
      </c>
      <c r="BE342" s="35">
        <v>491.8</v>
      </c>
      <c r="BF342" s="35">
        <f t="shared" si="99"/>
        <v>1.2</v>
      </c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10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10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10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10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10"/>
      <c r="HA342" s="9"/>
      <c r="HB342" s="9"/>
    </row>
    <row r="343" spans="1:210" s="2" customFormat="1" ht="17.149999999999999" customHeight="1">
      <c r="A343" s="18" t="s">
        <v>323</v>
      </c>
      <c r="B343" s="59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83"/>
      <c r="W343" s="83"/>
      <c r="X343" s="11"/>
      <c r="Y343" s="11"/>
      <c r="Z343" s="11"/>
      <c r="AA343" s="11"/>
      <c r="AB343" s="11"/>
      <c r="AC343" s="11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35"/>
      <c r="BB343" s="35"/>
      <c r="BC343" s="35"/>
      <c r="BD343" s="35"/>
      <c r="BE343" s="35"/>
      <c r="BF343" s="35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10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10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10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10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10"/>
      <c r="HA343" s="9"/>
      <c r="HB343" s="9"/>
    </row>
    <row r="344" spans="1:210" s="2" customFormat="1" ht="17.149999999999999" customHeight="1">
      <c r="A344" s="45" t="s">
        <v>324</v>
      </c>
      <c r="B344" s="63">
        <v>90</v>
      </c>
      <c r="C344" s="63">
        <v>91</v>
      </c>
      <c r="D344" s="4">
        <f t="shared" si="89"/>
        <v>1.0111111111111111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301.89999999999998</v>
      </c>
      <c r="O344" s="35">
        <v>198.9</v>
      </c>
      <c r="P344" s="4">
        <f t="shared" si="90"/>
        <v>0.65882742630009949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82">
        <v>1265</v>
      </c>
      <c r="W344" s="82">
        <v>1285</v>
      </c>
      <c r="X344" s="4">
        <f t="shared" si="91"/>
        <v>1.0158102766798418</v>
      </c>
      <c r="Y344" s="5">
        <v>5</v>
      </c>
      <c r="Z344" s="5">
        <v>300</v>
      </c>
      <c r="AA344" s="5">
        <v>300</v>
      </c>
      <c r="AB344" s="4">
        <f t="shared" si="92"/>
        <v>1</v>
      </c>
      <c r="AC344" s="5">
        <v>20</v>
      </c>
      <c r="AD344" s="5" t="s">
        <v>360</v>
      </c>
      <c r="AE344" s="5" t="s">
        <v>360</v>
      </c>
      <c r="AF344" s="5" t="s">
        <v>360</v>
      </c>
      <c r="AG344" s="5" t="s">
        <v>360</v>
      </c>
      <c r="AH344" s="5" t="s">
        <v>360</v>
      </c>
      <c r="AI344" s="5" t="s">
        <v>360</v>
      </c>
      <c r="AJ344" s="5" t="s">
        <v>360</v>
      </c>
      <c r="AK344" s="5" t="s">
        <v>360</v>
      </c>
      <c r="AL344" s="5" t="s">
        <v>360</v>
      </c>
      <c r="AM344" s="5" t="s">
        <v>360</v>
      </c>
      <c r="AN344" s="5" t="s">
        <v>360</v>
      </c>
      <c r="AO344" s="5" t="s">
        <v>360</v>
      </c>
      <c r="AP344" s="43">
        <f t="shared" si="100"/>
        <v>0.86622310929913515</v>
      </c>
      <c r="AQ344" s="44">
        <v>1275</v>
      </c>
      <c r="AR344" s="35">
        <f t="shared" si="93"/>
        <v>347.72727272727275</v>
      </c>
      <c r="AS344" s="35">
        <f t="shared" si="94"/>
        <v>301.2</v>
      </c>
      <c r="AT344" s="35">
        <f t="shared" si="95"/>
        <v>-46.527272727272759</v>
      </c>
      <c r="AU344" s="35">
        <v>84</v>
      </c>
      <c r="AV344" s="35">
        <v>110.9</v>
      </c>
      <c r="AW344" s="35"/>
      <c r="AX344" s="35">
        <f t="shared" si="96"/>
        <v>106.3</v>
      </c>
      <c r="AY344" s="35"/>
      <c r="AZ344" s="35">
        <f t="shared" si="97"/>
        <v>106.3</v>
      </c>
      <c r="BA344" s="35">
        <v>0</v>
      </c>
      <c r="BB344" s="35">
        <f t="shared" si="101"/>
        <v>106.3</v>
      </c>
      <c r="BC344" s="35"/>
      <c r="BD344" s="35">
        <f t="shared" si="98"/>
        <v>106.3</v>
      </c>
      <c r="BE344" s="35">
        <v>100.5</v>
      </c>
      <c r="BF344" s="35">
        <f t="shared" si="99"/>
        <v>5.8</v>
      </c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10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10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10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10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10"/>
      <c r="HA344" s="9"/>
      <c r="HB344" s="9"/>
    </row>
    <row r="345" spans="1:210" s="2" customFormat="1" ht="17.149999999999999" customHeight="1">
      <c r="A345" s="45" t="s">
        <v>325</v>
      </c>
      <c r="B345" s="63">
        <v>95</v>
      </c>
      <c r="C345" s="63">
        <v>147.30000000000001</v>
      </c>
      <c r="D345" s="4">
        <f t="shared" si="89"/>
        <v>1.2350526315789474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149.69999999999999</v>
      </c>
      <c r="O345" s="35">
        <v>82.9</v>
      </c>
      <c r="P345" s="4">
        <f t="shared" si="90"/>
        <v>0.55377421509686042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82">
        <v>2778</v>
      </c>
      <c r="W345" s="82">
        <v>1838</v>
      </c>
      <c r="X345" s="4">
        <f t="shared" si="91"/>
        <v>0.66162706983441322</v>
      </c>
      <c r="Y345" s="5">
        <v>5</v>
      </c>
      <c r="Z345" s="5">
        <v>359</v>
      </c>
      <c r="AA345" s="5">
        <v>409</v>
      </c>
      <c r="AB345" s="4">
        <f t="shared" si="92"/>
        <v>1.139275766016713</v>
      </c>
      <c r="AC345" s="5">
        <v>20</v>
      </c>
      <c r="AD345" s="5" t="s">
        <v>360</v>
      </c>
      <c r="AE345" s="5" t="s">
        <v>360</v>
      </c>
      <c r="AF345" s="5" t="s">
        <v>360</v>
      </c>
      <c r="AG345" s="5" t="s">
        <v>360</v>
      </c>
      <c r="AH345" s="5" t="s">
        <v>360</v>
      </c>
      <c r="AI345" s="5" t="s">
        <v>360</v>
      </c>
      <c r="AJ345" s="5" t="s">
        <v>360</v>
      </c>
      <c r="AK345" s="5" t="s">
        <v>360</v>
      </c>
      <c r="AL345" s="5" t="s">
        <v>360</v>
      </c>
      <c r="AM345" s="5" t="s">
        <v>360</v>
      </c>
      <c r="AN345" s="5" t="s">
        <v>360</v>
      </c>
      <c r="AO345" s="5" t="s">
        <v>360</v>
      </c>
      <c r="AP345" s="43">
        <f t="shared" si="100"/>
        <v>0.86688796258676548</v>
      </c>
      <c r="AQ345" s="44">
        <v>1049</v>
      </c>
      <c r="AR345" s="35">
        <f t="shared" si="93"/>
        <v>286.09090909090907</v>
      </c>
      <c r="AS345" s="35">
        <f t="shared" si="94"/>
        <v>248</v>
      </c>
      <c r="AT345" s="35">
        <f t="shared" si="95"/>
        <v>-38.090909090909065</v>
      </c>
      <c r="AU345" s="35">
        <v>47.9</v>
      </c>
      <c r="AV345" s="35">
        <v>94.9</v>
      </c>
      <c r="AW345" s="35">
        <v>1.2</v>
      </c>
      <c r="AX345" s="35">
        <f t="shared" si="96"/>
        <v>104</v>
      </c>
      <c r="AY345" s="35"/>
      <c r="AZ345" s="35">
        <f t="shared" si="97"/>
        <v>104</v>
      </c>
      <c r="BA345" s="35">
        <v>0</v>
      </c>
      <c r="BB345" s="35">
        <f t="shared" si="101"/>
        <v>104</v>
      </c>
      <c r="BC345" s="35"/>
      <c r="BD345" s="35">
        <f t="shared" si="98"/>
        <v>104</v>
      </c>
      <c r="BE345" s="35">
        <v>110.5</v>
      </c>
      <c r="BF345" s="35">
        <f t="shared" si="99"/>
        <v>-6.5</v>
      </c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10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10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10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10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10"/>
      <c r="HA345" s="9"/>
      <c r="HB345" s="9"/>
    </row>
    <row r="346" spans="1:210" s="2" customFormat="1" ht="17.149999999999999" customHeight="1">
      <c r="A346" s="45" t="s">
        <v>326</v>
      </c>
      <c r="B346" s="63">
        <v>164</v>
      </c>
      <c r="C346" s="63">
        <v>174.4</v>
      </c>
      <c r="D346" s="4">
        <f t="shared" si="89"/>
        <v>1.0634146341463415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329.4</v>
      </c>
      <c r="O346" s="35">
        <v>147</v>
      </c>
      <c r="P346" s="4">
        <f t="shared" si="90"/>
        <v>0.44626593806921677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82">
        <v>1193</v>
      </c>
      <c r="W346" s="82">
        <v>1371</v>
      </c>
      <c r="X346" s="4">
        <f t="shared" si="91"/>
        <v>1.1492036881810561</v>
      </c>
      <c r="Y346" s="5">
        <v>5</v>
      </c>
      <c r="Z346" s="5">
        <v>590</v>
      </c>
      <c r="AA346" s="5">
        <v>590</v>
      </c>
      <c r="AB346" s="4">
        <f t="shared" si="92"/>
        <v>1</v>
      </c>
      <c r="AC346" s="5">
        <v>20</v>
      </c>
      <c r="AD346" s="5" t="s">
        <v>360</v>
      </c>
      <c r="AE346" s="5" t="s">
        <v>360</v>
      </c>
      <c r="AF346" s="5" t="s">
        <v>360</v>
      </c>
      <c r="AG346" s="5" t="s">
        <v>360</v>
      </c>
      <c r="AH346" s="5" t="s">
        <v>360</v>
      </c>
      <c r="AI346" s="5" t="s">
        <v>360</v>
      </c>
      <c r="AJ346" s="5" t="s">
        <v>360</v>
      </c>
      <c r="AK346" s="5" t="s">
        <v>360</v>
      </c>
      <c r="AL346" s="5" t="s">
        <v>360</v>
      </c>
      <c r="AM346" s="5" t="s">
        <v>360</v>
      </c>
      <c r="AN346" s="5" t="s">
        <v>360</v>
      </c>
      <c r="AO346" s="5" t="s">
        <v>360</v>
      </c>
      <c r="AP346" s="43">
        <f t="shared" si="100"/>
        <v>0.79976820746042643</v>
      </c>
      <c r="AQ346" s="44">
        <v>1408</v>
      </c>
      <c r="AR346" s="35">
        <f t="shared" si="93"/>
        <v>384</v>
      </c>
      <c r="AS346" s="35">
        <f t="shared" si="94"/>
        <v>307.10000000000002</v>
      </c>
      <c r="AT346" s="35">
        <f t="shared" si="95"/>
        <v>-76.899999999999977</v>
      </c>
      <c r="AU346" s="35">
        <v>109.8</v>
      </c>
      <c r="AV346" s="35">
        <v>78.099999999999994</v>
      </c>
      <c r="AW346" s="35"/>
      <c r="AX346" s="35">
        <f t="shared" si="96"/>
        <v>119.2</v>
      </c>
      <c r="AY346" s="35"/>
      <c r="AZ346" s="35">
        <f t="shared" si="97"/>
        <v>119.2</v>
      </c>
      <c r="BA346" s="35">
        <v>0</v>
      </c>
      <c r="BB346" s="35">
        <f t="shared" si="101"/>
        <v>119.2</v>
      </c>
      <c r="BC346" s="35"/>
      <c r="BD346" s="35">
        <f t="shared" si="98"/>
        <v>119.2</v>
      </c>
      <c r="BE346" s="35">
        <v>104.3</v>
      </c>
      <c r="BF346" s="35">
        <f t="shared" si="99"/>
        <v>14.9</v>
      </c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10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10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10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10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10"/>
      <c r="HA346" s="9"/>
      <c r="HB346" s="9"/>
    </row>
    <row r="347" spans="1:210" s="2" customFormat="1" ht="17.149999999999999" customHeight="1">
      <c r="A347" s="45" t="s">
        <v>327</v>
      </c>
      <c r="B347" s="63">
        <v>444</v>
      </c>
      <c r="C347" s="63">
        <v>431</v>
      </c>
      <c r="D347" s="4">
        <f t="shared" si="89"/>
        <v>0.97072072072072069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275.60000000000002</v>
      </c>
      <c r="O347" s="35">
        <v>102.6</v>
      </c>
      <c r="P347" s="4">
        <f t="shared" si="90"/>
        <v>0.37227866473149485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82">
        <v>4450</v>
      </c>
      <c r="W347" s="82">
        <v>3008</v>
      </c>
      <c r="X347" s="4">
        <f t="shared" si="91"/>
        <v>0.67595505617977525</v>
      </c>
      <c r="Y347" s="5">
        <v>5</v>
      </c>
      <c r="Z347" s="5">
        <v>80</v>
      </c>
      <c r="AA347" s="5">
        <v>80</v>
      </c>
      <c r="AB347" s="4">
        <f t="shared" si="92"/>
        <v>1</v>
      </c>
      <c r="AC347" s="5">
        <v>20</v>
      </c>
      <c r="AD347" s="5" t="s">
        <v>360</v>
      </c>
      <c r="AE347" s="5" t="s">
        <v>360</v>
      </c>
      <c r="AF347" s="5" t="s">
        <v>360</v>
      </c>
      <c r="AG347" s="5" t="s">
        <v>360</v>
      </c>
      <c r="AH347" s="5" t="s">
        <v>360</v>
      </c>
      <c r="AI347" s="5" t="s">
        <v>360</v>
      </c>
      <c r="AJ347" s="5" t="s">
        <v>360</v>
      </c>
      <c r="AK347" s="5" t="s">
        <v>360</v>
      </c>
      <c r="AL347" s="5" t="s">
        <v>360</v>
      </c>
      <c r="AM347" s="5" t="s">
        <v>360</v>
      </c>
      <c r="AN347" s="5" t="s">
        <v>360</v>
      </c>
      <c r="AO347" s="5" t="s">
        <v>360</v>
      </c>
      <c r="AP347" s="43">
        <f t="shared" si="100"/>
        <v>0.71357904358264757</v>
      </c>
      <c r="AQ347" s="44">
        <v>1292</v>
      </c>
      <c r="AR347" s="35">
        <f t="shared" si="93"/>
        <v>352.36363636363637</v>
      </c>
      <c r="AS347" s="35">
        <f t="shared" si="94"/>
        <v>251.4</v>
      </c>
      <c r="AT347" s="35">
        <f t="shared" si="95"/>
        <v>-100.96363636363637</v>
      </c>
      <c r="AU347" s="35">
        <v>43.4</v>
      </c>
      <c r="AV347" s="35">
        <v>68.3</v>
      </c>
      <c r="AW347" s="35">
        <v>15.1</v>
      </c>
      <c r="AX347" s="35">
        <f t="shared" si="96"/>
        <v>124.6</v>
      </c>
      <c r="AY347" s="35"/>
      <c r="AZ347" s="35">
        <f t="shared" si="97"/>
        <v>124.6</v>
      </c>
      <c r="BA347" s="35">
        <v>0</v>
      </c>
      <c r="BB347" s="35">
        <f t="shared" si="101"/>
        <v>124.6</v>
      </c>
      <c r="BC347" s="35"/>
      <c r="BD347" s="35">
        <f t="shared" si="98"/>
        <v>124.6</v>
      </c>
      <c r="BE347" s="35">
        <v>126.1</v>
      </c>
      <c r="BF347" s="35">
        <f t="shared" si="99"/>
        <v>-1.5</v>
      </c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10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10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10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10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10"/>
      <c r="HA347" s="9"/>
      <c r="HB347" s="9"/>
    </row>
    <row r="348" spans="1:210" s="2" customFormat="1" ht="17.149999999999999" customHeight="1">
      <c r="A348" s="45" t="s">
        <v>328</v>
      </c>
      <c r="B348" s="63">
        <v>145</v>
      </c>
      <c r="C348" s="63">
        <v>145.30000000000001</v>
      </c>
      <c r="D348" s="4">
        <f t="shared" si="89"/>
        <v>1.0020689655172415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181.2</v>
      </c>
      <c r="O348" s="35">
        <v>205.3</v>
      </c>
      <c r="P348" s="4">
        <f t="shared" si="90"/>
        <v>1.1330022075055188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82">
        <v>2443</v>
      </c>
      <c r="W348" s="82">
        <v>1780</v>
      </c>
      <c r="X348" s="4">
        <f t="shared" si="91"/>
        <v>0.72861236185018419</v>
      </c>
      <c r="Y348" s="5">
        <v>5</v>
      </c>
      <c r="Z348" s="5">
        <v>96</v>
      </c>
      <c r="AA348" s="5">
        <v>96</v>
      </c>
      <c r="AB348" s="4">
        <f t="shared" si="92"/>
        <v>1</v>
      </c>
      <c r="AC348" s="5">
        <v>20</v>
      </c>
      <c r="AD348" s="5" t="s">
        <v>360</v>
      </c>
      <c r="AE348" s="5" t="s">
        <v>360</v>
      </c>
      <c r="AF348" s="5" t="s">
        <v>360</v>
      </c>
      <c r="AG348" s="5" t="s">
        <v>360</v>
      </c>
      <c r="AH348" s="5" t="s">
        <v>360</v>
      </c>
      <c r="AI348" s="5" t="s">
        <v>360</v>
      </c>
      <c r="AJ348" s="5" t="s">
        <v>360</v>
      </c>
      <c r="AK348" s="5" t="s">
        <v>360</v>
      </c>
      <c r="AL348" s="5" t="s">
        <v>360</v>
      </c>
      <c r="AM348" s="5" t="s">
        <v>360</v>
      </c>
      <c r="AN348" s="5" t="s">
        <v>360</v>
      </c>
      <c r="AO348" s="5" t="s">
        <v>360</v>
      </c>
      <c r="AP348" s="43">
        <f t="shared" si="100"/>
        <v>1.02626901573895</v>
      </c>
      <c r="AQ348" s="44">
        <v>552</v>
      </c>
      <c r="AR348" s="35">
        <f t="shared" si="93"/>
        <v>150.54545454545453</v>
      </c>
      <c r="AS348" s="35">
        <f t="shared" si="94"/>
        <v>154.5</v>
      </c>
      <c r="AT348" s="35">
        <f t="shared" si="95"/>
        <v>3.9545454545454675</v>
      </c>
      <c r="AU348" s="35">
        <v>55.8</v>
      </c>
      <c r="AV348" s="35">
        <v>53.9</v>
      </c>
      <c r="AW348" s="35"/>
      <c r="AX348" s="35">
        <f t="shared" si="96"/>
        <v>44.8</v>
      </c>
      <c r="AY348" s="35"/>
      <c r="AZ348" s="35">
        <f t="shared" si="97"/>
        <v>44.8</v>
      </c>
      <c r="BA348" s="35">
        <v>0</v>
      </c>
      <c r="BB348" s="35">
        <f t="shared" si="101"/>
        <v>44.8</v>
      </c>
      <c r="BC348" s="35"/>
      <c r="BD348" s="35">
        <f t="shared" si="98"/>
        <v>44.8</v>
      </c>
      <c r="BE348" s="35">
        <v>49.8</v>
      </c>
      <c r="BF348" s="35">
        <f t="shared" si="99"/>
        <v>-5</v>
      </c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10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10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10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10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10"/>
      <c r="HA348" s="9"/>
      <c r="HB348" s="9"/>
    </row>
    <row r="349" spans="1:210" s="2" customFormat="1" ht="17.149999999999999" customHeight="1">
      <c r="A349" s="45" t="s">
        <v>329</v>
      </c>
      <c r="B349" s="63">
        <v>213</v>
      </c>
      <c r="C349" s="63">
        <v>213</v>
      </c>
      <c r="D349" s="4">
        <f t="shared" si="89"/>
        <v>1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319.7</v>
      </c>
      <c r="O349" s="35">
        <v>683.9</v>
      </c>
      <c r="P349" s="4">
        <f t="shared" si="90"/>
        <v>1.2939192993431341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82">
        <v>1963</v>
      </c>
      <c r="W349" s="82">
        <v>1993</v>
      </c>
      <c r="X349" s="4">
        <f t="shared" si="91"/>
        <v>1.0152827305145187</v>
      </c>
      <c r="Y349" s="5">
        <v>5</v>
      </c>
      <c r="Z349" s="5">
        <v>176</v>
      </c>
      <c r="AA349" s="5">
        <v>186</v>
      </c>
      <c r="AB349" s="4">
        <f t="shared" si="92"/>
        <v>1.0568181818181819</v>
      </c>
      <c r="AC349" s="5">
        <v>20</v>
      </c>
      <c r="AD349" s="5" t="s">
        <v>360</v>
      </c>
      <c r="AE349" s="5" t="s">
        <v>360</v>
      </c>
      <c r="AF349" s="5" t="s">
        <v>360</v>
      </c>
      <c r="AG349" s="5" t="s">
        <v>360</v>
      </c>
      <c r="AH349" s="5" t="s">
        <v>360</v>
      </c>
      <c r="AI349" s="5" t="s">
        <v>360</v>
      </c>
      <c r="AJ349" s="5" t="s">
        <v>360</v>
      </c>
      <c r="AK349" s="5" t="s">
        <v>360</v>
      </c>
      <c r="AL349" s="5" t="s">
        <v>360</v>
      </c>
      <c r="AM349" s="5" t="s">
        <v>360</v>
      </c>
      <c r="AN349" s="5" t="s">
        <v>360</v>
      </c>
      <c r="AO349" s="5" t="s">
        <v>360</v>
      </c>
      <c r="AP349" s="43">
        <f t="shared" si="100"/>
        <v>1.1418232655159783</v>
      </c>
      <c r="AQ349" s="44">
        <v>1167</v>
      </c>
      <c r="AR349" s="35">
        <f t="shared" si="93"/>
        <v>318.27272727272725</v>
      </c>
      <c r="AS349" s="35">
        <f t="shared" si="94"/>
        <v>363.4</v>
      </c>
      <c r="AT349" s="35">
        <f t="shared" si="95"/>
        <v>45.127272727272725</v>
      </c>
      <c r="AU349" s="35">
        <v>65.7</v>
      </c>
      <c r="AV349" s="35">
        <v>131.6</v>
      </c>
      <c r="AW349" s="35"/>
      <c r="AX349" s="35">
        <f t="shared" si="96"/>
        <v>166.1</v>
      </c>
      <c r="AY349" s="35"/>
      <c r="AZ349" s="35">
        <f t="shared" si="97"/>
        <v>166.1</v>
      </c>
      <c r="BA349" s="35">
        <v>0</v>
      </c>
      <c r="BB349" s="35">
        <f t="shared" si="101"/>
        <v>166.1</v>
      </c>
      <c r="BC349" s="35"/>
      <c r="BD349" s="35">
        <f t="shared" si="98"/>
        <v>166.1</v>
      </c>
      <c r="BE349" s="35">
        <v>170.6</v>
      </c>
      <c r="BF349" s="35">
        <f t="shared" si="99"/>
        <v>-4.5</v>
      </c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10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10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10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10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10"/>
      <c r="HA349" s="9"/>
      <c r="HB349" s="9"/>
    </row>
    <row r="350" spans="1:210" s="2" customFormat="1" ht="17.149999999999999" customHeight="1">
      <c r="A350" s="45" t="s">
        <v>330</v>
      </c>
      <c r="B350" s="63">
        <v>0</v>
      </c>
      <c r="C350" s="63">
        <v>0</v>
      </c>
      <c r="D350" s="4">
        <f t="shared" si="89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218.3</v>
      </c>
      <c r="O350" s="35">
        <v>146.9</v>
      </c>
      <c r="P350" s="4">
        <f t="shared" si="90"/>
        <v>0.67292716445258816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82">
        <v>3272</v>
      </c>
      <c r="W350" s="82">
        <v>2107</v>
      </c>
      <c r="X350" s="4">
        <f t="shared" si="91"/>
        <v>0.64394865525672373</v>
      </c>
      <c r="Y350" s="5">
        <v>5</v>
      </c>
      <c r="Z350" s="5">
        <v>407</v>
      </c>
      <c r="AA350" s="5">
        <v>407</v>
      </c>
      <c r="AB350" s="4">
        <f t="shared" si="92"/>
        <v>1</v>
      </c>
      <c r="AC350" s="5">
        <v>20</v>
      </c>
      <c r="AD350" s="5" t="s">
        <v>360</v>
      </c>
      <c r="AE350" s="5" t="s">
        <v>360</v>
      </c>
      <c r="AF350" s="5" t="s">
        <v>360</v>
      </c>
      <c r="AG350" s="5" t="s">
        <v>360</v>
      </c>
      <c r="AH350" s="5" t="s">
        <v>360</v>
      </c>
      <c r="AI350" s="5" t="s">
        <v>360</v>
      </c>
      <c r="AJ350" s="5" t="s">
        <v>360</v>
      </c>
      <c r="AK350" s="5" t="s">
        <v>360</v>
      </c>
      <c r="AL350" s="5" t="s">
        <v>360</v>
      </c>
      <c r="AM350" s="5" t="s">
        <v>360</v>
      </c>
      <c r="AN350" s="5" t="s">
        <v>360</v>
      </c>
      <c r="AO350" s="5" t="s">
        <v>360</v>
      </c>
      <c r="AP350" s="43">
        <f t="shared" si="100"/>
        <v>0.81507303478523074</v>
      </c>
      <c r="AQ350" s="44">
        <v>1291</v>
      </c>
      <c r="AR350" s="35">
        <f t="shared" si="93"/>
        <v>352.09090909090907</v>
      </c>
      <c r="AS350" s="35">
        <f t="shared" si="94"/>
        <v>287</v>
      </c>
      <c r="AT350" s="35">
        <f t="shared" si="95"/>
        <v>-65.090909090909065</v>
      </c>
      <c r="AU350" s="35">
        <v>53.4</v>
      </c>
      <c r="AV350" s="35">
        <v>133.80000000000001</v>
      </c>
      <c r="AW350" s="35"/>
      <c r="AX350" s="35">
        <f t="shared" si="96"/>
        <v>99.8</v>
      </c>
      <c r="AY350" s="35"/>
      <c r="AZ350" s="35">
        <f t="shared" si="97"/>
        <v>99.8</v>
      </c>
      <c r="BA350" s="35">
        <v>0</v>
      </c>
      <c r="BB350" s="35">
        <f t="shared" si="101"/>
        <v>99.8</v>
      </c>
      <c r="BC350" s="35"/>
      <c r="BD350" s="35">
        <f t="shared" si="98"/>
        <v>99.8</v>
      </c>
      <c r="BE350" s="35">
        <v>107.3</v>
      </c>
      <c r="BF350" s="35">
        <f t="shared" si="99"/>
        <v>-7.5</v>
      </c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10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10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10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10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10"/>
      <c r="HA350" s="9"/>
      <c r="HB350" s="9"/>
    </row>
    <row r="351" spans="1:210" s="2" customFormat="1" ht="17.149999999999999" customHeight="1">
      <c r="A351" s="45" t="s">
        <v>331</v>
      </c>
      <c r="B351" s="63">
        <v>101</v>
      </c>
      <c r="C351" s="63">
        <v>107</v>
      </c>
      <c r="D351" s="4">
        <f t="shared" si="89"/>
        <v>1.0594059405940595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94.7</v>
      </c>
      <c r="O351" s="35">
        <v>85.4</v>
      </c>
      <c r="P351" s="4">
        <f t="shared" si="90"/>
        <v>0.90179514255543824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82">
        <v>1920</v>
      </c>
      <c r="W351" s="82">
        <v>854</v>
      </c>
      <c r="X351" s="4">
        <f t="shared" si="91"/>
        <v>0.44479166666666664</v>
      </c>
      <c r="Y351" s="5">
        <v>5</v>
      </c>
      <c r="Z351" s="5">
        <v>207</v>
      </c>
      <c r="AA351" s="5">
        <v>207</v>
      </c>
      <c r="AB351" s="4">
        <f t="shared" si="92"/>
        <v>1</v>
      </c>
      <c r="AC351" s="5">
        <v>20</v>
      </c>
      <c r="AD351" s="5" t="s">
        <v>360</v>
      </c>
      <c r="AE351" s="5" t="s">
        <v>360</v>
      </c>
      <c r="AF351" s="5" t="s">
        <v>360</v>
      </c>
      <c r="AG351" s="5" t="s">
        <v>360</v>
      </c>
      <c r="AH351" s="5" t="s">
        <v>360</v>
      </c>
      <c r="AI351" s="5" t="s">
        <v>360</v>
      </c>
      <c r="AJ351" s="5" t="s">
        <v>360</v>
      </c>
      <c r="AK351" s="5" t="s">
        <v>360</v>
      </c>
      <c r="AL351" s="5" t="s">
        <v>360</v>
      </c>
      <c r="AM351" s="5" t="s">
        <v>360</v>
      </c>
      <c r="AN351" s="5" t="s">
        <v>360</v>
      </c>
      <c r="AO351" s="5" t="s">
        <v>360</v>
      </c>
      <c r="AP351" s="43">
        <f t="shared" si="100"/>
        <v>0.91113781774824787</v>
      </c>
      <c r="AQ351" s="44">
        <v>671</v>
      </c>
      <c r="AR351" s="35">
        <f t="shared" si="93"/>
        <v>183</v>
      </c>
      <c r="AS351" s="35">
        <f t="shared" si="94"/>
        <v>166.7</v>
      </c>
      <c r="AT351" s="35">
        <f t="shared" si="95"/>
        <v>-16.300000000000011</v>
      </c>
      <c r="AU351" s="35">
        <v>59.1</v>
      </c>
      <c r="AV351" s="35">
        <v>43.6</v>
      </c>
      <c r="AW351" s="35"/>
      <c r="AX351" s="35">
        <f t="shared" si="96"/>
        <v>64</v>
      </c>
      <c r="AY351" s="35"/>
      <c r="AZ351" s="35">
        <f t="shared" si="97"/>
        <v>64</v>
      </c>
      <c r="BA351" s="35">
        <v>0</v>
      </c>
      <c r="BB351" s="35">
        <f t="shared" si="101"/>
        <v>64</v>
      </c>
      <c r="BC351" s="35"/>
      <c r="BD351" s="35">
        <f t="shared" si="98"/>
        <v>64</v>
      </c>
      <c r="BE351" s="35">
        <v>73.5</v>
      </c>
      <c r="BF351" s="35">
        <f t="shared" si="99"/>
        <v>-9.5</v>
      </c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10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10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10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10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10"/>
      <c r="HA351" s="9"/>
      <c r="HB351" s="9"/>
    </row>
    <row r="352" spans="1:210" s="2" customFormat="1" ht="17.149999999999999" customHeight="1">
      <c r="A352" s="45" t="s">
        <v>332</v>
      </c>
      <c r="B352" s="63">
        <v>78038</v>
      </c>
      <c r="C352" s="63">
        <v>91836.4</v>
      </c>
      <c r="D352" s="4">
        <f t="shared" si="89"/>
        <v>1.1768164227683948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1813.6</v>
      </c>
      <c r="O352" s="35">
        <v>1860.5</v>
      </c>
      <c r="P352" s="4">
        <f t="shared" si="90"/>
        <v>1.0258601676224086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82">
        <v>120292</v>
      </c>
      <c r="W352" s="82">
        <v>126784</v>
      </c>
      <c r="X352" s="4">
        <f t="shared" si="91"/>
        <v>1.0539686762211951</v>
      </c>
      <c r="Y352" s="5">
        <v>5</v>
      </c>
      <c r="Z352" s="5">
        <v>310</v>
      </c>
      <c r="AA352" s="5">
        <v>310</v>
      </c>
      <c r="AB352" s="4">
        <f t="shared" si="92"/>
        <v>1</v>
      </c>
      <c r="AC352" s="5">
        <v>20</v>
      </c>
      <c r="AD352" s="5" t="s">
        <v>360</v>
      </c>
      <c r="AE352" s="5" t="s">
        <v>360</v>
      </c>
      <c r="AF352" s="5" t="s">
        <v>360</v>
      </c>
      <c r="AG352" s="5" t="s">
        <v>360</v>
      </c>
      <c r="AH352" s="5" t="s">
        <v>360</v>
      </c>
      <c r="AI352" s="5" t="s">
        <v>360</v>
      </c>
      <c r="AJ352" s="5" t="s">
        <v>360</v>
      </c>
      <c r="AK352" s="5" t="s">
        <v>360</v>
      </c>
      <c r="AL352" s="5" t="s">
        <v>360</v>
      </c>
      <c r="AM352" s="5" t="s">
        <v>360</v>
      </c>
      <c r="AN352" s="5" t="s">
        <v>360</v>
      </c>
      <c r="AO352" s="5" t="s">
        <v>360</v>
      </c>
      <c r="AP352" s="43">
        <f t="shared" si="100"/>
        <v>1.0334225769479224</v>
      </c>
      <c r="AQ352" s="44">
        <v>1923</v>
      </c>
      <c r="AR352" s="35">
        <f t="shared" si="93"/>
        <v>524.4545454545455</v>
      </c>
      <c r="AS352" s="35">
        <f t="shared" si="94"/>
        <v>542</v>
      </c>
      <c r="AT352" s="35">
        <f t="shared" si="95"/>
        <v>17.545454545454504</v>
      </c>
      <c r="AU352" s="35">
        <v>190.5</v>
      </c>
      <c r="AV352" s="35">
        <v>210.2</v>
      </c>
      <c r="AW352" s="35"/>
      <c r="AX352" s="35">
        <f t="shared" si="96"/>
        <v>141.30000000000001</v>
      </c>
      <c r="AY352" s="35"/>
      <c r="AZ352" s="35">
        <f t="shared" si="97"/>
        <v>141.30000000000001</v>
      </c>
      <c r="BA352" s="35">
        <v>0</v>
      </c>
      <c r="BB352" s="35">
        <f t="shared" si="101"/>
        <v>141.30000000000001</v>
      </c>
      <c r="BC352" s="35"/>
      <c r="BD352" s="35">
        <f t="shared" si="98"/>
        <v>141.30000000000001</v>
      </c>
      <c r="BE352" s="35">
        <v>140.1</v>
      </c>
      <c r="BF352" s="35">
        <f t="shared" si="99"/>
        <v>1.2</v>
      </c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10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10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10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10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10"/>
      <c r="HA352" s="9"/>
      <c r="HB352" s="9"/>
    </row>
    <row r="353" spans="1:72" s="2" customFormat="1" ht="17.149999999999999" customHeight="1">
      <c r="A353" s="45" t="s">
        <v>333</v>
      </c>
      <c r="B353" s="63">
        <v>90</v>
      </c>
      <c r="C353" s="63">
        <v>86.1</v>
      </c>
      <c r="D353" s="4">
        <f t="shared" si="89"/>
        <v>0.95666666666666655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114.3</v>
      </c>
      <c r="O353" s="35">
        <v>127.8</v>
      </c>
      <c r="P353" s="4">
        <f t="shared" si="90"/>
        <v>1.1181102362204725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82">
        <v>815</v>
      </c>
      <c r="W353" s="82">
        <v>687</v>
      </c>
      <c r="X353" s="4">
        <f t="shared" si="91"/>
        <v>0.84294478527607364</v>
      </c>
      <c r="Y353" s="5">
        <v>5</v>
      </c>
      <c r="Z353" s="5">
        <v>545</v>
      </c>
      <c r="AA353" s="5">
        <v>560</v>
      </c>
      <c r="AB353" s="4">
        <f t="shared" si="92"/>
        <v>1.0275229357798166</v>
      </c>
      <c r="AC353" s="5">
        <v>20</v>
      </c>
      <c r="AD353" s="5" t="s">
        <v>360</v>
      </c>
      <c r="AE353" s="5" t="s">
        <v>360</v>
      </c>
      <c r="AF353" s="5" t="s">
        <v>360</v>
      </c>
      <c r="AG353" s="5" t="s">
        <v>360</v>
      </c>
      <c r="AH353" s="5" t="s">
        <v>360</v>
      </c>
      <c r="AI353" s="5" t="s">
        <v>360</v>
      </c>
      <c r="AJ353" s="5" t="s">
        <v>360</v>
      </c>
      <c r="AK353" s="5" t="s">
        <v>360</v>
      </c>
      <c r="AL353" s="5" t="s">
        <v>360</v>
      </c>
      <c r="AM353" s="5" t="s">
        <v>360</v>
      </c>
      <c r="AN353" s="5" t="s">
        <v>360</v>
      </c>
      <c r="AO353" s="5" t="s">
        <v>360</v>
      </c>
      <c r="AP353" s="43">
        <f t="shared" si="100"/>
        <v>1.0382144139943896</v>
      </c>
      <c r="AQ353" s="44">
        <v>630</v>
      </c>
      <c r="AR353" s="35">
        <f t="shared" si="93"/>
        <v>171.81818181818181</v>
      </c>
      <c r="AS353" s="35">
        <f t="shared" si="94"/>
        <v>178.4</v>
      </c>
      <c r="AT353" s="35">
        <f t="shared" si="95"/>
        <v>6.5818181818181927</v>
      </c>
      <c r="AU353" s="35">
        <v>38.9</v>
      </c>
      <c r="AV353" s="35">
        <v>31.2</v>
      </c>
      <c r="AW353" s="35"/>
      <c r="AX353" s="35">
        <f t="shared" si="96"/>
        <v>108.3</v>
      </c>
      <c r="AY353" s="35"/>
      <c r="AZ353" s="35">
        <f t="shared" si="97"/>
        <v>108.3</v>
      </c>
      <c r="BA353" s="35">
        <v>0</v>
      </c>
      <c r="BB353" s="35">
        <f t="shared" si="101"/>
        <v>108.3</v>
      </c>
      <c r="BC353" s="35"/>
      <c r="BD353" s="35">
        <f t="shared" si="98"/>
        <v>108.3</v>
      </c>
      <c r="BE353" s="35">
        <v>112</v>
      </c>
      <c r="BF353" s="35">
        <f t="shared" si="99"/>
        <v>-3.7</v>
      </c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s="2" customFormat="1" ht="17.149999999999999" customHeight="1">
      <c r="A354" s="45" t="s">
        <v>334</v>
      </c>
      <c r="B354" s="63">
        <v>80</v>
      </c>
      <c r="C354" s="63">
        <v>68</v>
      </c>
      <c r="D354" s="4">
        <f t="shared" si="89"/>
        <v>0.85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115.5</v>
      </c>
      <c r="O354" s="35">
        <v>124.9</v>
      </c>
      <c r="P354" s="4">
        <f t="shared" si="90"/>
        <v>1.0813852813852813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82">
        <v>5047</v>
      </c>
      <c r="W354" s="82">
        <v>4794</v>
      </c>
      <c r="X354" s="4">
        <f t="shared" si="91"/>
        <v>0.94987121062017044</v>
      </c>
      <c r="Y354" s="5">
        <v>5</v>
      </c>
      <c r="Z354" s="5">
        <v>355</v>
      </c>
      <c r="AA354" s="5">
        <v>355</v>
      </c>
      <c r="AB354" s="4">
        <f t="shared" si="92"/>
        <v>1</v>
      </c>
      <c r="AC354" s="5">
        <v>20</v>
      </c>
      <c r="AD354" s="5" t="s">
        <v>360</v>
      </c>
      <c r="AE354" s="5" t="s">
        <v>360</v>
      </c>
      <c r="AF354" s="5" t="s">
        <v>360</v>
      </c>
      <c r="AG354" s="5" t="s">
        <v>360</v>
      </c>
      <c r="AH354" s="5" t="s">
        <v>360</v>
      </c>
      <c r="AI354" s="5" t="s">
        <v>360</v>
      </c>
      <c r="AJ354" s="5" t="s">
        <v>360</v>
      </c>
      <c r="AK354" s="5" t="s">
        <v>360</v>
      </c>
      <c r="AL354" s="5" t="s">
        <v>360</v>
      </c>
      <c r="AM354" s="5" t="s">
        <v>360</v>
      </c>
      <c r="AN354" s="5" t="s">
        <v>360</v>
      </c>
      <c r="AO354" s="5" t="s">
        <v>360</v>
      </c>
      <c r="AP354" s="43">
        <f t="shared" si="100"/>
        <v>1.0125412336161295</v>
      </c>
      <c r="AQ354" s="44">
        <v>1316</v>
      </c>
      <c r="AR354" s="35">
        <f t="shared" si="93"/>
        <v>358.90909090909093</v>
      </c>
      <c r="AS354" s="35">
        <f t="shared" si="94"/>
        <v>363.4</v>
      </c>
      <c r="AT354" s="35">
        <f t="shared" si="95"/>
        <v>4.4909090909090423</v>
      </c>
      <c r="AU354" s="35">
        <v>84.2</v>
      </c>
      <c r="AV354" s="35">
        <v>118.2</v>
      </c>
      <c r="AW354" s="35"/>
      <c r="AX354" s="35">
        <f t="shared" si="96"/>
        <v>161</v>
      </c>
      <c r="AY354" s="35"/>
      <c r="AZ354" s="35">
        <f t="shared" si="97"/>
        <v>161</v>
      </c>
      <c r="BA354" s="35">
        <v>0</v>
      </c>
      <c r="BB354" s="35">
        <f t="shared" si="101"/>
        <v>161</v>
      </c>
      <c r="BC354" s="35"/>
      <c r="BD354" s="35">
        <f t="shared" si="98"/>
        <v>161</v>
      </c>
      <c r="BE354" s="35">
        <v>163.5</v>
      </c>
      <c r="BF354" s="35">
        <f t="shared" si="99"/>
        <v>-2.5</v>
      </c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s="2" customFormat="1" ht="17.149999999999999" customHeight="1">
      <c r="A355" s="18" t="s">
        <v>335</v>
      </c>
      <c r="B355" s="59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83"/>
      <c r="W355" s="83"/>
      <c r="X355" s="11"/>
      <c r="Y355" s="11"/>
      <c r="Z355" s="11"/>
      <c r="AA355" s="11"/>
      <c r="AB355" s="11"/>
      <c r="AC355" s="11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35"/>
      <c r="BB355" s="35"/>
      <c r="BC355" s="35"/>
      <c r="BD355" s="35"/>
      <c r="BE355" s="35"/>
      <c r="BF355" s="35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s="2" customFormat="1" ht="17.149999999999999" customHeight="1">
      <c r="A356" s="45" t="s">
        <v>336</v>
      </c>
      <c r="B356" s="63">
        <v>102</v>
      </c>
      <c r="C356" s="63">
        <v>103.2</v>
      </c>
      <c r="D356" s="4">
        <f t="shared" si="89"/>
        <v>1.0117647058823529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45.8</v>
      </c>
      <c r="O356" s="35">
        <v>56.6</v>
      </c>
      <c r="P356" s="4">
        <f t="shared" si="90"/>
        <v>1.2035807860262009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63">
        <v>829.8</v>
      </c>
      <c r="W356" s="82">
        <v>884</v>
      </c>
      <c r="X356" s="4">
        <f t="shared" si="91"/>
        <v>1.0653169438418897</v>
      </c>
      <c r="Y356" s="5">
        <v>5</v>
      </c>
      <c r="Z356" s="5">
        <v>120</v>
      </c>
      <c r="AA356" s="5">
        <v>120</v>
      </c>
      <c r="AB356" s="4">
        <f t="shared" si="92"/>
        <v>1</v>
      </c>
      <c r="AC356" s="5">
        <v>20</v>
      </c>
      <c r="AD356" s="5" t="s">
        <v>360</v>
      </c>
      <c r="AE356" s="5" t="s">
        <v>360</v>
      </c>
      <c r="AF356" s="5" t="s">
        <v>360</v>
      </c>
      <c r="AG356" s="5" t="s">
        <v>360</v>
      </c>
      <c r="AH356" s="5" t="s">
        <v>360</v>
      </c>
      <c r="AI356" s="5" t="s">
        <v>360</v>
      </c>
      <c r="AJ356" s="5" t="s">
        <v>360</v>
      </c>
      <c r="AK356" s="5" t="s">
        <v>360</v>
      </c>
      <c r="AL356" s="5" t="s">
        <v>360</v>
      </c>
      <c r="AM356" s="5" t="s">
        <v>360</v>
      </c>
      <c r="AN356" s="5" t="s">
        <v>360</v>
      </c>
      <c r="AO356" s="5" t="s">
        <v>360</v>
      </c>
      <c r="AP356" s="43">
        <f t="shared" si="100"/>
        <v>1.0891404793829047</v>
      </c>
      <c r="AQ356" s="44">
        <v>822</v>
      </c>
      <c r="AR356" s="35">
        <f t="shared" si="93"/>
        <v>224.18181818181819</v>
      </c>
      <c r="AS356" s="35">
        <f t="shared" si="94"/>
        <v>244.2</v>
      </c>
      <c r="AT356" s="35">
        <f t="shared" si="95"/>
        <v>20.018181818181802</v>
      </c>
      <c r="AU356" s="35">
        <v>54.5</v>
      </c>
      <c r="AV356" s="35">
        <v>67.099999999999994</v>
      </c>
      <c r="AW356" s="35"/>
      <c r="AX356" s="35">
        <f t="shared" si="96"/>
        <v>122.6</v>
      </c>
      <c r="AY356" s="35"/>
      <c r="AZ356" s="35">
        <f t="shared" si="97"/>
        <v>122.6</v>
      </c>
      <c r="BA356" s="35">
        <v>0</v>
      </c>
      <c r="BB356" s="35">
        <f t="shared" si="101"/>
        <v>122.6</v>
      </c>
      <c r="BC356" s="35"/>
      <c r="BD356" s="35">
        <f t="shared" si="98"/>
        <v>122.6</v>
      </c>
      <c r="BE356" s="35">
        <v>123.2</v>
      </c>
      <c r="BF356" s="35">
        <f t="shared" si="99"/>
        <v>-0.6</v>
      </c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s="2" customFormat="1" ht="17.149999999999999" customHeight="1">
      <c r="A357" s="45" t="s">
        <v>51</v>
      </c>
      <c r="B357" s="63">
        <v>77</v>
      </c>
      <c r="C357" s="63">
        <v>84.1</v>
      </c>
      <c r="D357" s="4">
        <f t="shared" si="89"/>
        <v>1.0922077922077922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203</v>
      </c>
      <c r="O357" s="35">
        <v>168.2</v>
      </c>
      <c r="P357" s="4">
        <f t="shared" si="90"/>
        <v>0.82857142857142851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63">
        <v>2133.9</v>
      </c>
      <c r="W357" s="82">
        <v>2272</v>
      </c>
      <c r="X357" s="4">
        <f t="shared" si="91"/>
        <v>1.0647171844978678</v>
      </c>
      <c r="Y357" s="5">
        <v>5</v>
      </c>
      <c r="Z357" s="5">
        <v>258</v>
      </c>
      <c r="AA357" s="5">
        <v>258</v>
      </c>
      <c r="AB357" s="4">
        <f t="shared" si="92"/>
        <v>1</v>
      </c>
      <c r="AC357" s="5">
        <v>20</v>
      </c>
      <c r="AD357" s="5" t="s">
        <v>360</v>
      </c>
      <c r="AE357" s="5" t="s">
        <v>360</v>
      </c>
      <c r="AF357" s="5" t="s">
        <v>360</v>
      </c>
      <c r="AG357" s="5" t="s">
        <v>360</v>
      </c>
      <c r="AH357" s="5" t="s">
        <v>360</v>
      </c>
      <c r="AI357" s="5" t="s">
        <v>360</v>
      </c>
      <c r="AJ357" s="5" t="s">
        <v>360</v>
      </c>
      <c r="AK357" s="5" t="s">
        <v>360</v>
      </c>
      <c r="AL357" s="5" t="s">
        <v>360</v>
      </c>
      <c r="AM357" s="5" t="s">
        <v>360</v>
      </c>
      <c r="AN357" s="5" t="s">
        <v>360</v>
      </c>
      <c r="AO357" s="5" t="s">
        <v>360</v>
      </c>
      <c r="AP357" s="43">
        <f t="shared" si="100"/>
        <v>0.94712106909913729</v>
      </c>
      <c r="AQ357" s="44">
        <v>2927</v>
      </c>
      <c r="AR357" s="35">
        <f t="shared" si="93"/>
        <v>798.27272727272725</v>
      </c>
      <c r="AS357" s="35">
        <f t="shared" si="94"/>
        <v>756.1</v>
      </c>
      <c r="AT357" s="35">
        <f t="shared" si="95"/>
        <v>-42.172727272727229</v>
      </c>
      <c r="AU357" s="35">
        <v>177.8</v>
      </c>
      <c r="AV357" s="35">
        <v>267.10000000000002</v>
      </c>
      <c r="AW357" s="35"/>
      <c r="AX357" s="35">
        <f t="shared" si="96"/>
        <v>311.2</v>
      </c>
      <c r="AY357" s="35"/>
      <c r="AZ357" s="35">
        <f t="shared" si="97"/>
        <v>311.2</v>
      </c>
      <c r="BA357" s="35">
        <v>0</v>
      </c>
      <c r="BB357" s="35">
        <f t="shared" si="101"/>
        <v>311.2</v>
      </c>
      <c r="BC357" s="35"/>
      <c r="BD357" s="35">
        <f t="shared" si="98"/>
        <v>311.2</v>
      </c>
      <c r="BE357" s="35">
        <v>300.7</v>
      </c>
      <c r="BF357" s="35">
        <f t="shared" si="99"/>
        <v>10.5</v>
      </c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s="2" customFormat="1" ht="17.149999999999999" customHeight="1">
      <c r="A358" s="45" t="s">
        <v>337</v>
      </c>
      <c r="B358" s="63">
        <v>249</v>
      </c>
      <c r="C358" s="63">
        <v>249</v>
      </c>
      <c r="D358" s="4">
        <f t="shared" si="89"/>
        <v>1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171.1</v>
      </c>
      <c r="O358" s="35">
        <v>160.5</v>
      </c>
      <c r="P358" s="4">
        <f t="shared" si="90"/>
        <v>0.9380479251899474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63">
        <v>3402.3</v>
      </c>
      <c r="W358" s="82">
        <v>3632</v>
      </c>
      <c r="X358" s="4">
        <f t="shared" si="91"/>
        <v>1.067513152867178</v>
      </c>
      <c r="Y358" s="5">
        <v>5</v>
      </c>
      <c r="Z358" s="5">
        <v>220</v>
      </c>
      <c r="AA358" s="5">
        <v>220</v>
      </c>
      <c r="AB358" s="4">
        <f t="shared" si="92"/>
        <v>1</v>
      </c>
      <c r="AC358" s="5">
        <v>20</v>
      </c>
      <c r="AD358" s="5" t="s">
        <v>360</v>
      </c>
      <c r="AE358" s="5" t="s">
        <v>360</v>
      </c>
      <c r="AF358" s="5" t="s">
        <v>360</v>
      </c>
      <c r="AG358" s="5" t="s">
        <v>360</v>
      </c>
      <c r="AH358" s="5" t="s">
        <v>360</v>
      </c>
      <c r="AI358" s="5" t="s">
        <v>360</v>
      </c>
      <c r="AJ358" s="5" t="s">
        <v>360</v>
      </c>
      <c r="AK358" s="5" t="s">
        <v>360</v>
      </c>
      <c r="AL358" s="5" t="s">
        <v>360</v>
      </c>
      <c r="AM358" s="5" t="s">
        <v>360</v>
      </c>
      <c r="AN358" s="5" t="s">
        <v>360</v>
      </c>
      <c r="AO358" s="5" t="s">
        <v>360</v>
      </c>
      <c r="AP358" s="43">
        <f t="shared" si="100"/>
        <v>0.98197048536269671</v>
      </c>
      <c r="AQ358" s="44">
        <v>931</v>
      </c>
      <c r="AR358" s="35">
        <f t="shared" si="93"/>
        <v>253.90909090909093</v>
      </c>
      <c r="AS358" s="35">
        <f t="shared" si="94"/>
        <v>249.3</v>
      </c>
      <c r="AT358" s="35">
        <f t="shared" si="95"/>
        <v>-4.6090909090909236</v>
      </c>
      <c r="AU358" s="35">
        <v>89</v>
      </c>
      <c r="AV358" s="35">
        <v>80</v>
      </c>
      <c r="AW358" s="35"/>
      <c r="AX358" s="35">
        <f t="shared" si="96"/>
        <v>80.3</v>
      </c>
      <c r="AY358" s="35"/>
      <c r="AZ358" s="35">
        <f t="shared" si="97"/>
        <v>80.3</v>
      </c>
      <c r="BA358" s="35">
        <v>0</v>
      </c>
      <c r="BB358" s="35">
        <f t="shared" si="101"/>
        <v>80.3</v>
      </c>
      <c r="BC358" s="35"/>
      <c r="BD358" s="35">
        <f t="shared" si="98"/>
        <v>80.3</v>
      </c>
      <c r="BE358" s="35">
        <v>77.900000000000006</v>
      </c>
      <c r="BF358" s="35">
        <f t="shared" si="99"/>
        <v>2.4</v>
      </c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s="2" customFormat="1" ht="17.149999999999999" customHeight="1">
      <c r="A359" s="45" t="s">
        <v>338</v>
      </c>
      <c r="B359" s="63">
        <v>16009</v>
      </c>
      <c r="C359" s="63">
        <v>16010</v>
      </c>
      <c r="D359" s="4">
        <f t="shared" si="89"/>
        <v>1.0000624648635144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217.6</v>
      </c>
      <c r="O359" s="35">
        <v>233.6</v>
      </c>
      <c r="P359" s="4">
        <f t="shared" si="90"/>
        <v>1.0735294117647058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63">
        <v>1659.7</v>
      </c>
      <c r="W359" s="82">
        <v>1789</v>
      </c>
      <c r="X359" s="4">
        <f t="shared" si="91"/>
        <v>1.077905645598602</v>
      </c>
      <c r="Y359" s="5">
        <v>5</v>
      </c>
      <c r="Z359" s="5">
        <v>1069</v>
      </c>
      <c r="AA359" s="5">
        <v>1071</v>
      </c>
      <c r="AB359" s="4">
        <f t="shared" si="92"/>
        <v>1.0018709073900842</v>
      </c>
      <c r="AC359" s="5">
        <v>20</v>
      </c>
      <c r="AD359" s="5" t="s">
        <v>360</v>
      </c>
      <c r="AE359" s="5" t="s">
        <v>360</v>
      </c>
      <c r="AF359" s="5" t="s">
        <v>360</v>
      </c>
      <c r="AG359" s="5" t="s">
        <v>360</v>
      </c>
      <c r="AH359" s="5" t="s">
        <v>360</v>
      </c>
      <c r="AI359" s="5" t="s">
        <v>360</v>
      </c>
      <c r="AJ359" s="5" t="s">
        <v>360</v>
      </c>
      <c r="AK359" s="5" t="s">
        <v>360</v>
      </c>
      <c r="AL359" s="5" t="s">
        <v>360</v>
      </c>
      <c r="AM359" s="5" t="s">
        <v>360</v>
      </c>
      <c r="AN359" s="5" t="s">
        <v>360</v>
      </c>
      <c r="AO359" s="5" t="s">
        <v>360</v>
      </c>
      <c r="AP359" s="43">
        <f t="shared" si="100"/>
        <v>1.0379569387081276</v>
      </c>
      <c r="AQ359" s="44">
        <v>1462</v>
      </c>
      <c r="AR359" s="35">
        <f t="shared" si="93"/>
        <v>398.72727272727275</v>
      </c>
      <c r="AS359" s="35">
        <f t="shared" si="94"/>
        <v>413.9</v>
      </c>
      <c r="AT359" s="35">
        <f t="shared" si="95"/>
        <v>15.172727272727229</v>
      </c>
      <c r="AU359" s="35">
        <v>81.2</v>
      </c>
      <c r="AV359" s="35">
        <v>156.4</v>
      </c>
      <c r="AW359" s="35"/>
      <c r="AX359" s="35">
        <f t="shared" si="96"/>
        <v>176.3</v>
      </c>
      <c r="AY359" s="35"/>
      <c r="AZ359" s="35">
        <f t="shared" si="97"/>
        <v>176.3</v>
      </c>
      <c r="BA359" s="35">
        <v>0</v>
      </c>
      <c r="BB359" s="35">
        <f t="shared" si="101"/>
        <v>176.3</v>
      </c>
      <c r="BC359" s="35"/>
      <c r="BD359" s="35">
        <f t="shared" si="98"/>
        <v>176.3</v>
      </c>
      <c r="BE359" s="35">
        <v>174.5</v>
      </c>
      <c r="BF359" s="35">
        <f t="shared" si="99"/>
        <v>1.8</v>
      </c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s="2" customFormat="1" ht="17.149999999999999" customHeight="1">
      <c r="A360" s="45" t="s">
        <v>339</v>
      </c>
      <c r="B360" s="63">
        <v>124375</v>
      </c>
      <c r="C360" s="63">
        <v>120397</v>
      </c>
      <c r="D360" s="4">
        <f t="shared" si="89"/>
        <v>0.96801608040201004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267.2</v>
      </c>
      <c r="O360" s="35">
        <v>194.8</v>
      </c>
      <c r="P360" s="4">
        <f t="shared" si="90"/>
        <v>0.72904191616766478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63">
        <v>3390.5</v>
      </c>
      <c r="W360" s="82">
        <v>3618</v>
      </c>
      <c r="X360" s="4">
        <f t="shared" si="91"/>
        <v>1.0670992478985399</v>
      </c>
      <c r="Y360" s="5">
        <v>5</v>
      </c>
      <c r="Z360" s="5">
        <v>41</v>
      </c>
      <c r="AA360" s="5">
        <v>42</v>
      </c>
      <c r="AB360" s="4">
        <f t="shared" si="92"/>
        <v>1.024390243902439</v>
      </c>
      <c r="AC360" s="5">
        <v>20</v>
      </c>
      <c r="AD360" s="5" t="s">
        <v>360</v>
      </c>
      <c r="AE360" s="5" t="s">
        <v>360</v>
      </c>
      <c r="AF360" s="5" t="s">
        <v>360</v>
      </c>
      <c r="AG360" s="5" t="s">
        <v>360</v>
      </c>
      <c r="AH360" s="5" t="s">
        <v>360</v>
      </c>
      <c r="AI360" s="5" t="s">
        <v>360</v>
      </c>
      <c r="AJ360" s="5" t="s">
        <v>360</v>
      </c>
      <c r="AK360" s="5" t="s">
        <v>360</v>
      </c>
      <c r="AL360" s="5" t="s">
        <v>360</v>
      </c>
      <c r="AM360" s="5" t="s">
        <v>360</v>
      </c>
      <c r="AN360" s="5" t="s">
        <v>360</v>
      </c>
      <c r="AO360" s="5" t="s">
        <v>360</v>
      </c>
      <c r="AP360" s="43">
        <f t="shared" si="100"/>
        <v>0.90488439685809652</v>
      </c>
      <c r="AQ360" s="44">
        <v>655</v>
      </c>
      <c r="AR360" s="35">
        <f t="shared" si="93"/>
        <v>178.63636363636363</v>
      </c>
      <c r="AS360" s="35">
        <f t="shared" si="94"/>
        <v>161.6</v>
      </c>
      <c r="AT360" s="35">
        <f t="shared" si="95"/>
        <v>-17.036363636363632</v>
      </c>
      <c r="AU360" s="35">
        <v>37.9</v>
      </c>
      <c r="AV360" s="35">
        <v>52.2</v>
      </c>
      <c r="AW360" s="35">
        <v>0.1</v>
      </c>
      <c r="AX360" s="35">
        <f t="shared" si="96"/>
        <v>71.400000000000006</v>
      </c>
      <c r="AY360" s="35"/>
      <c r="AZ360" s="35">
        <f t="shared" si="97"/>
        <v>71.400000000000006</v>
      </c>
      <c r="BA360" s="35">
        <v>0</v>
      </c>
      <c r="BB360" s="35">
        <f t="shared" si="101"/>
        <v>71.400000000000006</v>
      </c>
      <c r="BC360" s="35"/>
      <c r="BD360" s="35">
        <f t="shared" si="98"/>
        <v>71.400000000000006</v>
      </c>
      <c r="BE360" s="35">
        <v>68.2</v>
      </c>
      <c r="BF360" s="35">
        <f t="shared" si="99"/>
        <v>3.2</v>
      </c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s="2" customFormat="1" ht="17.149999999999999" customHeight="1">
      <c r="A361" s="45" t="s">
        <v>340</v>
      </c>
      <c r="B361" s="63">
        <v>107</v>
      </c>
      <c r="C361" s="63">
        <v>115</v>
      </c>
      <c r="D361" s="4">
        <f t="shared" si="89"/>
        <v>1.0747663551401869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833.6</v>
      </c>
      <c r="O361" s="35">
        <v>1385.1</v>
      </c>
      <c r="P361" s="4">
        <f t="shared" si="90"/>
        <v>1.2461588291746641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63">
        <v>1185.4000000000001</v>
      </c>
      <c r="W361" s="82">
        <v>1308</v>
      </c>
      <c r="X361" s="4">
        <f t="shared" si="91"/>
        <v>1.1034250042179854</v>
      </c>
      <c r="Y361" s="5">
        <v>5</v>
      </c>
      <c r="Z361" s="5">
        <v>719</v>
      </c>
      <c r="AA361" s="5">
        <v>719</v>
      </c>
      <c r="AB361" s="4">
        <f t="shared" si="92"/>
        <v>1</v>
      </c>
      <c r="AC361" s="5">
        <v>20</v>
      </c>
      <c r="AD361" s="5" t="s">
        <v>360</v>
      </c>
      <c r="AE361" s="5" t="s">
        <v>360</v>
      </c>
      <c r="AF361" s="5" t="s">
        <v>360</v>
      </c>
      <c r="AG361" s="5" t="s">
        <v>360</v>
      </c>
      <c r="AH361" s="5" t="s">
        <v>360</v>
      </c>
      <c r="AI361" s="5" t="s">
        <v>360</v>
      </c>
      <c r="AJ361" s="5" t="s">
        <v>360</v>
      </c>
      <c r="AK361" s="5" t="s">
        <v>360</v>
      </c>
      <c r="AL361" s="5" t="s">
        <v>360</v>
      </c>
      <c r="AM361" s="5" t="s">
        <v>360</v>
      </c>
      <c r="AN361" s="5" t="s">
        <v>360</v>
      </c>
      <c r="AO361" s="5" t="s">
        <v>360</v>
      </c>
      <c r="AP361" s="43">
        <f t="shared" si="100"/>
        <v>1.116282667605683</v>
      </c>
      <c r="AQ361" s="44">
        <v>1071</v>
      </c>
      <c r="AR361" s="35">
        <f t="shared" si="93"/>
        <v>292.09090909090907</v>
      </c>
      <c r="AS361" s="35">
        <f t="shared" si="94"/>
        <v>326.10000000000002</v>
      </c>
      <c r="AT361" s="35">
        <f t="shared" si="95"/>
        <v>34.009090909090958</v>
      </c>
      <c r="AU361" s="35">
        <v>32.9</v>
      </c>
      <c r="AV361" s="35">
        <v>116</v>
      </c>
      <c r="AW361" s="35"/>
      <c r="AX361" s="35">
        <f t="shared" si="96"/>
        <v>177.2</v>
      </c>
      <c r="AY361" s="35"/>
      <c r="AZ361" s="35">
        <f t="shared" si="97"/>
        <v>177.2</v>
      </c>
      <c r="BA361" s="35">
        <v>0</v>
      </c>
      <c r="BB361" s="35">
        <f t="shared" si="101"/>
        <v>177.2</v>
      </c>
      <c r="BC361" s="35"/>
      <c r="BD361" s="35">
        <f t="shared" si="98"/>
        <v>177.2</v>
      </c>
      <c r="BE361" s="35">
        <v>177.6</v>
      </c>
      <c r="BF361" s="35">
        <f t="shared" si="99"/>
        <v>-0.4</v>
      </c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s="2" customFormat="1" ht="17.149999999999999" customHeight="1">
      <c r="A362" s="45" t="s">
        <v>341</v>
      </c>
      <c r="B362" s="63">
        <v>87</v>
      </c>
      <c r="C362" s="63">
        <v>90.7</v>
      </c>
      <c r="D362" s="4">
        <f t="shared" si="89"/>
        <v>1.042528735632184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297.2</v>
      </c>
      <c r="O362" s="35">
        <v>244.4</v>
      </c>
      <c r="P362" s="4">
        <f t="shared" si="90"/>
        <v>0.82234185733512788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63">
        <v>1659.7</v>
      </c>
      <c r="W362" s="82">
        <v>1772</v>
      </c>
      <c r="X362" s="4">
        <f t="shared" si="91"/>
        <v>1.0676628306320419</v>
      </c>
      <c r="Y362" s="5">
        <v>5</v>
      </c>
      <c r="Z362" s="5">
        <v>110</v>
      </c>
      <c r="AA362" s="5">
        <v>110</v>
      </c>
      <c r="AB362" s="4">
        <f t="shared" si="92"/>
        <v>1</v>
      </c>
      <c r="AC362" s="5">
        <v>20</v>
      </c>
      <c r="AD362" s="5" t="s">
        <v>360</v>
      </c>
      <c r="AE362" s="5" t="s">
        <v>360</v>
      </c>
      <c r="AF362" s="5" t="s">
        <v>360</v>
      </c>
      <c r="AG362" s="5" t="s">
        <v>360</v>
      </c>
      <c r="AH362" s="5" t="s">
        <v>360</v>
      </c>
      <c r="AI362" s="5" t="s">
        <v>360</v>
      </c>
      <c r="AJ362" s="5" t="s">
        <v>360</v>
      </c>
      <c r="AK362" s="5" t="s">
        <v>360</v>
      </c>
      <c r="AL362" s="5" t="s">
        <v>360</v>
      </c>
      <c r="AM362" s="5" t="s">
        <v>360</v>
      </c>
      <c r="AN362" s="5" t="s">
        <v>360</v>
      </c>
      <c r="AO362" s="5" t="s">
        <v>360</v>
      </c>
      <c r="AP362" s="43">
        <f t="shared" si="100"/>
        <v>0.93995589956047365</v>
      </c>
      <c r="AQ362" s="44">
        <v>1395</v>
      </c>
      <c r="AR362" s="35">
        <f t="shared" si="93"/>
        <v>380.45454545454544</v>
      </c>
      <c r="AS362" s="35">
        <f t="shared" si="94"/>
        <v>357.6</v>
      </c>
      <c r="AT362" s="35">
        <f t="shared" si="95"/>
        <v>-22.854545454545416</v>
      </c>
      <c r="AU362" s="35">
        <v>142.80000000000001</v>
      </c>
      <c r="AV362" s="35">
        <v>82.8</v>
      </c>
      <c r="AW362" s="35"/>
      <c r="AX362" s="35">
        <f t="shared" si="96"/>
        <v>132</v>
      </c>
      <c r="AY362" s="35"/>
      <c r="AZ362" s="35">
        <f t="shared" si="97"/>
        <v>132</v>
      </c>
      <c r="BA362" s="35">
        <v>0</v>
      </c>
      <c r="BB362" s="35">
        <f t="shared" si="101"/>
        <v>132</v>
      </c>
      <c r="BC362" s="35"/>
      <c r="BD362" s="35">
        <f t="shared" si="98"/>
        <v>132</v>
      </c>
      <c r="BE362" s="35">
        <v>126.6</v>
      </c>
      <c r="BF362" s="35">
        <f t="shared" si="99"/>
        <v>5.4</v>
      </c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s="2" customFormat="1" ht="17.149999999999999" customHeight="1">
      <c r="A363" s="45" t="s">
        <v>342</v>
      </c>
      <c r="B363" s="63">
        <v>132</v>
      </c>
      <c r="C363" s="63">
        <v>132.1</v>
      </c>
      <c r="D363" s="4">
        <f t="shared" si="89"/>
        <v>1.0007575757575757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214.2</v>
      </c>
      <c r="O363" s="35">
        <v>174.9</v>
      </c>
      <c r="P363" s="4">
        <f t="shared" si="90"/>
        <v>0.8165266106442578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63">
        <v>2133.9</v>
      </c>
      <c r="W363" s="82">
        <v>2276</v>
      </c>
      <c r="X363" s="4">
        <f t="shared" si="91"/>
        <v>1.0665916865832512</v>
      </c>
      <c r="Y363" s="5">
        <v>5</v>
      </c>
      <c r="Z363" s="5">
        <v>205</v>
      </c>
      <c r="AA363" s="5">
        <v>206</v>
      </c>
      <c r="AB363" s="4">
        <f t="shared" si="92"/>
        <v>1.0048780487804878</v>
      </c>
      <c r="AC363" s="5">
        <v>20</v>
      </c>
      <c r="AD363" s="5" t="s">
        <v>360</v>
      </c>
      <c r="AE363" s="5" t="s">
        <v>360</v>
      </c>
      <c r="AF363" s="5" t="s">
        <v>360</v>
      </c>
      <c r="AG363" s="5" t="s">
        <v>360</v>
      </c>
      <c r="AH363" s="5" t="s">
        <v>360</v>
      </c>
      <c r="AI363" s="5" t="s">
        <v>360</v>
      </c>
      <c r="AJ363" s="5" t="s">
        <v>360</v>
      </c>
      <c r="AK363" s="5" t="s">
        <v>360</v>
      </c>
      <c r="AL363" s="5" t="s">
        <v>360</v>
      </c>
      <c r="AM363" s="5" t="s">
        <v>360</v>
      </c>
      <c r="AN363" s="5" t="s">
        <v>360</v>
      </c>
      <c r="AO363" s="5" t="s">
        <v>360</v>
      </c>
      <c r="AP363" s="43">
        <f t="shared" si="100"/>
        <v>0.93529679000398092</v>
      </c>
      <c r="AQ363" s="44">
        <v>1309</v>
      </c>
      <c r="AR363" s="35">
        <f t="shared" si="93"/>
        <v>357</v>
      </c>
      <c r="AS363" s="35">
        <f t="shared" si="94"/>
        <v>333.9</v>
      </c>
      <c r="AT363" s="35">
        <f t="shared" si="95"/>
        <v>-23.100000000000023</v>
      </c>
      <c r="AU363" s="35">
        <v>82.8</v>
      </c>
      <c r="AV363" s="35">
        <v>57.8</v>
      </c>
      <c r="AW363" s="35"/>
      <c r="AX363" s="35">
        <f t="shared" si="96"/>
        <v>193.3</v>
      </c>
      <c r="AY363" s="35"/>
      <c r="AZ363" s="35">
        <f t="shared" si="97"/>
        <v>193.3</v>
      </c>
      <c r="BA363" s="35">
        <v>0</v>
      </c>
      <c r="BB363" s="35">
        <f t="shared" si="101"/>
        <v>193.3</v>
      </c>
      <c r="BC363" s="35"/>
      <c r="BD363" s="35">
        <f t="shared" si="98"/>
        <v>193.3</v>
      </c>
      <c r="BE363" s="35">
        <v>188.1</v>
      </c>
      <c r="BF363" s="35">
        <f t="shared" si="99"/>
        <v>5.2</v>
      </c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s="2" customFormat="1" ht="17.149999999999999" customHeight="1">
      <c r="A364" s="45" t="s">
        <v>343</v>
      </c>
      <c r="B364" s="63">
        <v>31</v>
      </c>
      <c r="C364" s="63">
        <v>32.700000000000003</v>
      </c>
      <c r="D364" s="4">
        <f t="shared" si="89"/>
        <v>1.0548387096774194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58.8</v>
      </c>
      <c r="O364" s="35">
        <v>72.400000000000006</v>
      </c>
      <c r="P364" s="4">
        <f t="shared" si="90"/>
        <v>1.2031292517006802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63">
        <v>948.4</v>
      </c>
      <c r="W364" s="82">
        <v>1019</v>
      </c>
      <c r="X364" s="4">
        <f t="shared" si="91"/>
        <v>1.0744411640657952</v>
      </c>
      <c r="Y364" s="5">
        <v>5</v>
      </c>
      <c r="Z364" s="5">
        <v>185</v>
      </c>
      <c r="AA364" s="5">
        <v>185</v>
      </c>
      <c r="AB364" s="4">
        <f t="shared" si="92"/>
        <v>1</v>
      </c>
      <c r="AC364" s="5">
        <v>20</v>
      </c>
      <c r="AD364" s="5" t="s">
        <v>360</v>
      </c>
      <c r="AE364" s="5" t="s">
        <v>360</v>
      </c>
      <c r="AF364" s="5" t="s">
        <v>360</v>
      </c>
      <c r="AG364" s="5" t="s">
        <v>360</v>
      </c>
      <c r="AH364" s="5" t="s">
        <v>360</v>
      </c>
      <c r="AI364" s="5" t="s">
        <v>360</v>
      </c>
      <c r="AJ364" s="5" t="s">
        <v>360</v>
      </c>
      <c r="AK364" s="5" t="s">
        <v>360</v>
      </c>
      <c r="AL364" s="5" t="s">
        <v>360</v>
      </c>
      <c r="AM364" s="5" t="s">
        <v>360</v>
      </c>
      <c r="AN364" s="5" t="s">
        <v>360</v>
      </c>
      <c r="AO364" s="5" t="s">
        <v>360</v>
      </c>
      <c r="AP364" s="43">
        <f t="shared" si="100"/>
        <v>1.0941796880545935</v>
      </c>
      <c r="AQ364" s="44">
        <v>885</v>
      </c>
      <c r="AR364" s="35">
        <f t="shared" si="93"/>
        <v>241.36363636363637</v>
      </c>
      <c r="AS364" s="35">
        <f t="shared" si="94"/>
        <v>264.10000000000002</v>
      </c>
      <c r="AT364" s="35">
        <f t="shared" si="95"/>
        <v>22.736363636363649</v>
      </c>
      <c r="AU364" s="35">
        <v>77.8</v>
      </c>
      <c r="AV364" s="35">
        <v>96.4</v>
      </c>
      <c r="AW364" s="35"/>
      <c r="AX364" s="35">
        <f t="shared" si="96"/>
        <v>89.9</v>
      </c>
      <c r="AY364" s="35"/>
      <c r="AZ364" s="35">
        <f t="shared" si="97"/>
        <v>89.9</v>
      </c>
      <c r="BA364" s="35">
        <v>0</v>
      </c>
      <c r="BB364" s="35">
        <f t="shared" si="101"/>
        <v>89.9</v>
      </c>
      <c r="BC364" s="35"/>
      <c r="BD364" s="35">
        <f t="shared" si="98"/>
        <v>89.9</v>
      </c>
      <c r="BE364" s="35">
        <v>90.4</v>
      </c>
      <c r="BF364" s="35">
        <f t="shared" si="99"/>
        <v>-0.5</v>
      </c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s="2" customFormat="1" ht="17.149999999999999" customHeight="1">
      <c r="A365" s="45" t="s">
        <v>344</v>
      </c>
      <c r="B365" s="63">
        <v>25013</v>
      </c>
      <c r="C365" s="63">
        <v>26821</v>
      </c>
      <c r="D365" s="4">
        <f t="shared" si="89"/>
        <v>1.0722824131451645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1387.5</v>
      </c>
      <c r="O365" s="35">
        <v>1372</v>
      </c>
      <c r="P365" s="4">
        <f t="shared" si="90"/>
        <v>0.98882882882882883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63">
        <v>171018.6</v>
      </c>
      <c r="W365" s="82">
        <v>150935</v>
      </c>
      <c r="X365" s="4">
        <f t="shared" si="91"/>
        <v>0.88256482043473627</v>
      </c>
      <c r="Y365" s="5">
        <v>5</v>
      </c>
      <c r="Z365" s="5">
        <v>73</v>
      </c>
      <c r="AA365" s="5">
        <v>73</v>
      </c>
      <c r="AB365" s="4">
        <f t="shared" si="92"/>
        <v>1</v>
      </c>
      <c r="AC365" s="5">
        <v>20</v>
      </c>
      <c r="AD365" s="5" t="s">
        <v>360</v>
      </c>
      <c r="AE365" s="5" t="s">
        <v>360</v>
      </c>
      <c r="AF365" s="5" t="s">
        <v>360</v>
      </c>
      <c r="AG365" s="5" t="s">
        <v>360</v>
      </c>
      <c r="AH365" s="5" t="s">
        <v>360</v>
      </c>
      <c r="AI365" s="5" t="s">
        <v>360</v>
      </c>
      <c r="AJ365" s="5" t="s">
        <v>360</v>
      </c>
      <c r="AK365" s="5" t="s">
        <v>360</v>
      </c>
      <c r="AL365" s="5" t="s">
        <v>360</v>
      </c>
      <c r="AM365" s="5" t="s">
        <v>360</v>
      </c>
      <c r="AN365" s="5" t="s">
        <v>360</v>
      </c>
      <c r="AO365" s="5" t="s">
        <v>360</v>
      </c>
      <c r="AP365" s="43">
        <f t="shared" si="100"/>
        <v>0.99101625488952161</v>
      </c>
      <c r="AQ365" s="44">
        <v>1691</v>
      </c>
      <c r="AR365" s="35">
        <f t="shared" si="93"/>
        <v>461.18181818181813</v>
      </c>
      <c r="AS365" s="35">
        <f t="shared" si="94"/>
        <v>457</v>
      </c>
      <c r="AT365" s="35">
        <f t="shared" si="95"/>
        <v>-4.1818181818181301</v>
      </c>
      <c r="AU365" s="35">
        <v>163.6</v>
      </c>
      <c r="AV365" s="35">
        <v>140.6</v>
      </c>
      <c r="AW365" s="35"/>
      <c r="AX365" s="35">
        <f t="shared" si="96"/>
        <v>152.80000000000001</v>
      </c>
      <c r="AY365" s="35"/>
      <c r="AZ365" s="35">
        <f t="shared" si="97"/>
        <v>152.80000000000001</v>
      </c>
      <c r="BA365" s="35">
        <v>0</v>
      </c>
      <c r="BB365" s="35">
        <f t="shared" si="101"/>
        <v>152.80000000000001</v>
      </c>
      <c r="BC365" s="35"/>
      <c r="BD365" s="35">
        <f t="shared" si="98"/>
        <v>152.80000000000001</v>
      </c>
      <c r="BE365" s="35">
        <v>158.4</v>
      </c>
      <c r="BF365" s="35">
        <f t="shared" si="99"/>
        <v>-5.6</v>
      </c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s="2" customFormat="1" ht="17.149999999999999" customHeight="1">
      <c r="A366" s="18" t="s">
        <v>345</v>
      </c>
      <c r="B366" s="59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83"/>
      <c r="W366" s="83"/>
      <c r="X366" s="11"/>
      <c r="Y366" s="11"/>
      <c r="Z366" s="11"/>
      <c r="AA366" s="11"/>
      <c r="AB366" s="11"/>
      <c r="AC366" s="11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35"/>
      <c r="BB366" s="35"/>
      <c r="BC366" s="35"/>
      <c r="BD366" s="35"/>
      <c r="BE366" s="35"/>
      <c r="BF366" s="35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s="2" customFormat="1" ht="17.149999999999999" customHeight="1">
      <c r="A367" s="14" t="s">
        <v>346</v>
      </c>
      <c r="B367" s="63">
        <v>2497</v>
      </c>
      <c r="C367" s="63">
        <v>2358</v>
      </c>
      <c r="D367" s="4">
        <f t="shared" si="89"/>
        <v>0.94433319983980779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208.4</v>
      </c>
      <c r="O367" s="35">
        <v>169.3</v>
      </c>
      <c r="P367" s="4">
        <f t="shared" si="90"/>
        <v>0.812380038387716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82">
        <v>1880</v>
      </c>
      <c r="W367" s="82">
        <v>1871</v>
      </c>
      <c r="X367" s="4">
        <f t="shared" si="91"/>
        <v>0.99521276595744679</v>
      </c>
      <c r="Y367" s="5">
        <v>5</v>
      </c>
      <c r="Z367" s="5">
        <v>1049</v>
      </c>
      <c r="AA367" s="5">
        <v>940</v>
      </c>
      <c r="AB367" s="4">
        <f t="shared" si="92"/>
        <v>0.89609151572926593</v>
      </c>
      <c r="AC367" s="5">
        <v>20</v>
      </c>
      <c r="AD367" s="5" t="s">
        <v>360</v>
      </c>
      <c r="AE367" s="5" t="s">
        <v>360</v>
      </c>
      <c r="AF367" s="5" t="s">
        <v>360</v>
      </c>
      <c r="AG367" s="5" t="s">
        <v>360</v>
      </c>
      <c r="AH367" s="5" t="s">
        <v>360</v>
      </c>
      <c r="AI367" s="5" t="s">
        <v>360</v>
      </c>
      <c r="AJ367" s="5" t="s">
        <v>360</v>
      </c>
      <c r="AK367" s="5" t="s">
        <v>360</v>
      </c>
      <c r="AL367" s="5" t="s">
        <v>360</v>
      </c>
      <c r="AM367" s="5" t="s">
        <v>360</v>
      </c>
      <c r="AN367" s="5" t="s">
        <v>360</v>
      </c>
      <c r="AO367" s="5" t="s">
        <v>360</v>
      </c>
      <c r="AP367" s="43">
        <f t="shared" si="100"/>
        <v>0.87734321822651817</v>
      </c>
      <c r="AQ367" s="44">
        <v>1910</v>
      </c>
      <c r="AR367" s="35">
        <f t="shared" si="93"/>
        <v>520.90909090909088</v>
      </c>
      <c r="AS367" s="35">
        <f t="shared" si="94"/>
        <v>457</v>
      </c>
      <c r="AT367" s="35">
        <f t="shared" si="95"/>
        <v>-63.909090909090878</v>
      </c>
      <c r="AU367" s="35">
        <v>180.4</v>
      </c>
      <c r="AV367" s="35">
        <v>199.3</v>
      </c>
      <c r="AW367" s="35"/>
      <c r="AX367" s="35">
        <f t="shared" si="96"/>
        <v>77.3</v>
      </c>
      <c r="AY367" s="35"/>
      <c r="AZ367" s="35">
        <f t="shared" si="97"/>
        <v>77.3</v>
      </c>
      <c r="BA367" s="35">
        <v>0</v>
      </c>
      <c r="BB367" s="35">
        <f t="shared" si="101"/>
        <v>77.3</v>
      </c>
      <c r="BC367" s="35"/>
      <c r="BD367" s="35">
        <f t="shared" si="98"/>
        <v>77.3</v>
      </c>
      <c r="BE367" s="35">
        <v>70.5</v>
      </c>
      <c r="BF367" s="35">
        <f t="shared" si="99"/>
        <v>6.8</v>
      </c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s="2" customFormat="1" ht="17.149999999999999" customHeight="1">
      <c r="A368" s="14" t="s">
        <v>347</v>
      </c>
      <c r="B368" s="63">
        <v>0</v>
      </c>
      <c r="C368" s="63">
        <v>0</v>
      </c>
      <c r="D368" s="4">
        <f t="shared" si="89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123.1</v>
      </c>
      <c r="O368" s="35">
        <v>131.9</v>
      </c>
      <c r="P368" s="4">
        <f t="shared" si="90"/>
        <v>1.0714865962632008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82">
        <v>1800</v>
      </c>
      <c r="W368" s="82">
        <v>1491</v>
      </c>
      <c r="X368" s="4">
        <f t="shared" si="91"/>
        <v>0.82833333333333337</v>
      </c>
      <c r="Y368" s="5">
        <v>5</v>
      </c>
      <c r="Z368" s="5">
        <v>83</v>
      </c>
      <c r="AA368" s="5">
        <v>83</v>
      </c>
      <c r="AB368" s="4">
        <f t="shared" si="92"/>
        <v>1</v>
      </c>
      <c r="AC368" s="5">
        <v>20</v>
      </c>
      <c r="AD368" s="5" t="s">
        <v>360</v>
      </c>
      <c r="AE368" s="5" t="s">
        <v>360</v>
      </c>
      <c r="AF368" s="5" t="s">
        <v>360</v>
      </c>
      <c r="AG368" s="5" t="s">
        <v>360</v>
      </c>
      <c r="AH368" s="5" t="s">
        <v>360</v>
      </c>
      <c r="AI368" s="5" t="s">
        <v>360</v>
      </c>
      <c r="AJ368" s="5" t="s">
        <v>360</v>
      </c>
      <c r="AK368" s="5" t="s">
        <v>360</v>
      </c>
      <c r="AL368" s="5" t="s">
        <v>360</v>
      </c>
      <c r="AM368" s="5" t="s">
        <v>360</v>
      </c>
      <c r="AN368" s="5" t="s">
        <v>360</v>
      </c>
      <c r="AO368" s="5" t="s">
        <v>360</v>
      </c>
      <c r="AP368" s="43">
        <f t="shared" si="100"/>
        <v>1.0126977464873486</v>
      </c>
      <c r="AQ368" s="44">
        <v>1537</v>
      </c>
      <c r="AR368" s="35">
        <f t="shared" si="93"/>
        <v>419.18181818181813</v>
      </c>
      <c r="AS368" s="35">
        <f t="shared" si="94"/>
        <v>424.5</v>
      </c>
      <c r="AT368" s="35">
        <f t="shared" si="95"/>
        <v>5.3181818181818699</v>
      </c>
      <c r="AU368" s="35">
        <v>135.69999999999999</v>
      </c>
      <c r="AV368" s="35">
        <v>101.1</v>
      </c>
      <c r="AW368" s="35"/>
      <c r="AX368" s="35">
        <f t="shared" si="96"/>
        <v>187.7</v>
      </c>
      <c r="AY368" s="35"/>
      <c r="AZ368" s="35">
        <f t="shared" si="97"/>
        <v>187.7</v>
      </c>
      <c r="BA368" s="35">
        <v>0</v>
      </c>
      <c r="BB368" s="35">
        <f t="shared" si="101"/>
        <v>187.7</v>
      </c>
      <c r="BC368" s="35"/>
      <c r="BD368" s="35">
        <f t="shared" si="98"/>
        <v>187.7</v>
      </c>
      <c r="BE368" s="35">
        <v>197.4</v>
      </c>
      <c r="BF368" s="35">
        <f t="shared" si="99"/>
        <v>-9.6999999999999993</v>
      </c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s="2" customFormat="1" ht="17.149999999999999" customHeight="1">
      <c r="A369" s="45" t="s">
        <v>348</v>
      </c>
      <c r="B369" s="63">
        <v>4800</v>
      </c>
      <c r="C369" s="63">
        <v>6791.6</v>
      </c>
      <c r="D369" s="4">
        <f t="shared" si="89"/>
        <v>1.2214916666666666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519.20000000000005</v>
      </c>
      <c r="O369" s="35">
        <v>1297.5</v>
      </c>
      <c r="P369" s="4">
        <f t="shared" si="90"/>
        <v>1.3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82">
        <v>18900</v>
      </c>
      <c r="W369" s="82">
        <v>18130</v>
      </c>
      <c r="X369" s="4">
        <f t="shared" si="91"/>
        <v>0.95925925925925926</v>
      </c>
      <c r="Y369" s="5">
        <v>5</v>
      </c>
      <c r="Z369" s="5">
        <v>17</v>
      </c>
      <c r="AA369" s="5">
        <v>17</v>
      </c>
      <c r="AB369" s="4">
        <f t="shared" si="92"/>
        <v>1</v>
      </c>
      <c r="AC369" s="5">
        <v>20</v>
      </c>
      <c r="AD369" s="5" t="s">
        <v>360</v>
      </c>
      <c r="AE369" s="5" t="s">
        <v>360</v>
      </c>
      <c r="AF369" s="5" t="s">
        <v>360</v>
      </c>
      <c r="AG369" s="5" t="s">
        <v>360</v>
      </c>
      <c r="AH369" s="5" t="s">
        <v>360</v>
      </c>
      <c r="AI369" s="5" t="s">
        <v>360</v>
      </c>
      <c r="AJ369" s="5" t="s">
        <v>360</v>
      </c>
      <c r="AK369" s="5" t="s">
        <v>360</v>
      </c>
      <c r="AL369" s="5" t="s">
        <v>360</v>
      </c>
      <c r="AM369" s="5" t="s">
        <v>360</v>
      </c>
      <c r="AN369" s="5" t="s">
        <v>360</v>
      </c>
      <c r="AO369" s="5" t="s">
        <v>360</v>
      </c>
      <c r="AP369" s="43">
        <f t="shared" si="100"/>
        <v>1.1380750925925927</v>
      </c>
      <c r="AQ369" s="44">
        <v>16</v>
      </c>
      <c r="AR369" s="35">
        <f t="shared" si="93"/>
        <v>4.3636363636363633</v>
      </c>
      <c r="AS369" s="35">
        <f t="shared" si="94"/>
        <v>5</v>
      </c>
      <c r="AT369" s="35">
        <f t="shared" si="95"/>
        <v>0.63636363636363669</v>
      </c>
      <c r="AU369" s="35">
        <v>1.9</v>
      </c>
      <c r="AV369" s="35">
        <v>0.4</v>
      </c>
      <c r="AW369" s="35">
        <v>1.5</v>
      </c>
      <c r="AX369" s="35">
        <f t="shared" si="96"/>
        <v>1.2</v>
      </c>
      <c r="AY369" s="35"/>
      <c r="AZ369" s="35">
        <f t="shared" si="97"/>
        <v>1.2</v>
      </c>
      <c r="BA369" s="35">
        <v>0</v>
      </c>
      <c r="BB369" s="35">
        <f t="shared" si="101"/>
        <v>1.2</v>
      </c>
      <c r="BC369" s="35">
        <f>MIN(BB369,1.5)</f>
        <v>1.2</v>
      </c>
      <c r="BD369" s="35">
        <f t="shared" si="98"/>
        <v>0</v>
      </c>
      <c r="BE369" s="35">
        <v>0</v>
      </c>
      <c r="BF369" s="35">
        <f t="shared" si="99"/>
        <v>0</v>
      </c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s="2" customFormat="1" ht="17.149999999999999" customHeight="1">
      <c r="A370" s="14" t="s">
        <v>349</v>
      </c>
      <c r="B370" s="63">
        <v>0</v>
      </c>
      <c r="C370" s="63">
        <v>0</v>
      </c>
      <c r="D370" s="4">
        <f t="shared" si="89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52.7</v>
      </c>
      <c r="O370" s="35">
        <v>54.6</v>
      </c>
      <c r="P370" s="4">
        <f t="shared" si="90"/>
        <v>1.0360531309297913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82">
        <v>5100</v>
      </c>
      <c r="W370" s="82">
        <v>6252</v>
      </c>
      <c r="X370" s="4">
        <f t="shared" si="91"/>
        <v>1.2025882352941175</v>
      </c>
      <c r="Y370" s="5">
        <v>5</v>
      </c>
      <c r="Z370" s="5">
        <v>78</v>
      </c>
      <c r="AA370" s="5">
        <v>85</v>
      </c>
      <c r="AB370" s="4">
        <f t="shared" si="92"/>
        <v>1.0897435897435896</v>
      </c>
      <c r="AC370" s="5">
        <v>20</v>
      </c>
      <c r="AD370" s="5" t="s">
        <v>360</v>
      </c>
      <c r="AE370" s="5" t="s">
        <v>360</v>
      </c>
      <c r="AF370" s="5" t="s">
        <v>360</v>
      </c>
      <c r="AG370" s="5" t="s">
        <v>360</v>
      </c>
      <c r="AH370" s="5" t="s">
        <v>360</v>
      </c>
      <c r="AI370" s="5" t="s">
        <v>360</v>
      </c>
      <c r="AJ370" s="5" t="s">
        <v>360</v>
      </c>
      <c r="AK370" s="5" t="s">
        <v>360</v>
      </c>
      <c r="AL370" s="5" t="s">
        <v>360</v>
      </c>
      <c r="AM370" s="5" t="s">
        <v>360</v>
      </c>
      <c r="AN370" s="5" t="s">
        <v>360</v>
      </c>
      <c r="AO370" s="5" t="s">
        <v>360</v>
      </c>
      <c r="AP370" s="43">
        <f t="shared" si="100"/>
        <v>1.0784194575541823</v>
      </c>
      <c r="AQ370" s="44">
        <v>1011</v>
      </c>
      <c r="AR370" s="35">
        <f t="shared" si="93"/>
        <v>275.72727272727275</v>
      </c>
      <c r="AS370" s="35">
        <f t="shared" si="94"/>
        <v>297.3</v>
      </c>
      <c r="AT370" s="35">
        <f t="shared" si="95"/>
        <v>21.572727272727263</v>
      </c>
      <c r="AU370" s="35">
        <v>98.2</v>
      </c>
      <c r="AV370" s="35">
        <v>81.400000000000006</v>
      </c>
      <c r="AW370" s="35"/>
      <c r="AX370" s="35">
        <f t="shared" si="96"/>
        <v>117.7</v>
      </c>
      <c r="AY370" s="35"/>
      <c r="AZ370" s="35">
        <f t="shared" si="97"/>
        <v>117.7</v>
      </c>
      <c r="BA370" s="35">
        <v>0</v>
      </c>
      <c r="BB370" s="35">
        <f t="shared" si="101"/>
        <v>117.7</v>
      </c>
      <c r="BC370" s="35"/>
      <c r="BD370" s="35">
        <f t="shared" si="98"/>
        <v>117.7</v>
      </c>
      <c r="BE370" s="35">
        <v>113.5</v>
      </c>
      <c r="BF370" s="35">
        <f t="shared" si="99"/>
        <v>4.2</v>
      </c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s="2" customFormat="1" ht="17.149999999999999" customHeight="1">
      <c r="A371" s="14" t="s">
        <v>350</v>
      </c>
      <c r="B371" s="63">
        <v>8430</v>
      </c>
      <c r="C371" s="63">
        <v>9729.7000000000007</v>
      </c>
      <c r="D371" s="4">
        <f t="shared" si="89"/>
        <v>1.1541755634638198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545</v>
      </c>
      <c r="O371" s="35">
        <v>650.29999999999995</v>
      </c>
      <c r="P371" s="4">
        <f t="shared" si="90"/>
        <v>1.1932110091743118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82">
        <v>4000</v>
      </c>
      <c r="W371" s="82">
        <v>2820</v>
      </c>
      <c r="X371" s="4">
        <f t="shared" si="91"/>
        <v>0.70499999999999996</v>
      </c>
      <c r="Y371" s="5">
        <v>5</v>
      </c>
      <c r="Z371" s="5">
        <v>130</v>
      </c>
      <c r="AA371" s="5">
        <v>146</v>
      </c>
      <c r="AB371" s="4">
        <f t="shared" si="92"/>
        <v>1.1230769230769231</v>
      </c>
      <c r="AC371" s="5">
        <v>20</v>
      </c>
      <c r="AD371" s="5" t="s">
        <v>360</v>
      </c>
      <c r="AE371" s="5" t="s">
        <v>360</v>
      </c>
      <c r="AF371" s="5" t="s">
        <v>360</v>
      </c>
      <c r="AG371" s="5" t="s">
        <v>360</v>
      </c>
      <c r="AH371" s="5" t="s">
        <v>360</v>
      </c>
      <c r="AI371" s="5" t="s">
        <v>360</v>
      </c>
      <c r="AJ371" s="5" t="s">
        <v>360</v>
      </c>
      <c r="AK371" s="5" t="s">
        <v>360</v>
      </c>
      <c r="AL371" s="5" t="s">
        <v>360</v>
      </c>
      <c r="AM371" s="5" t="s">
        <v>360</v>
      </c>
      <c r="AN371" s="5" t="s">
        <v>360</v>
      </c>
      <c r="AO371" s="5" t="s">
        <v>360</v>
      </c>
      <c r="AP371" s="43">
        <f t="shared" si="100"/>
        <v>1.1124327292468759</v>
      </c>
      <c r="AQ371" s="44">
        <v>2626</v>
      </c>
      <c r="AR371" s="35">
        <f t="shared" si="93"/>
        <v>716.18181818181813</v>
      </c>
      <c r="AS371" s="35">
        <f t="shared" si="94"/>
        <v>796.7</v>
      </c>
      <c r="AT371" s="35">
        <f t="shared" si="95"/>
        <v>80.518181818181915</v>
      </c>
      <c r="AU371" s="35">
        <v>219.5</v>
      </c>
      <c r="AV371" s="35">
        <v>289.2</v>
      </c>
      <c r="AW371" s="35"/>
      <c r="AX371" s="35">
        <f t="shared" si="96"/>
        <v>288</v>
      </c>
      <c r="AY371" s="35"/>
      <c r="AZ371" s="35">
        <f t="shared" si="97"/>
        <v>288</v>
      </c>
      <c r="BA371" s="35">
        <v>0</v>
      </c>
      <c r="BB371" s="35">
        <f t="shared" si="101"/>
        <v>288</v>
      </c>
      <c r="BC371" s="35"/>
      <c r="BD371" s="35">
        <f t="shared" si="98"/>
        <v>288</v>
      </c>
      <c r="BE371" s="35">
        <v>320.39999999999998</v>
      </c>
      <c r="BF371" s="35">
        <f t="shared" si="99"/>
        <v>-32.4</v>
      </c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s="2" customFormat="1" ht="17.149999999999999" customHeight="1">
      <c r="A372" s="14" t="s">
        <v>351</v>
      </c>
      <c r="B372" s="63">
        <v>425</v>
      </c>
      <c r="C372" s="63">
        <v>175.3</v>
      </c>
      <c r="D372" s="4">
        <f t="shared" si="89"/>
        <v>0.41247058823529414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108</v>
      </c>
      <c r="O372" s="35">
        <v>399.6</v>
      </c>
      <c r="P372" s="4">
        <f t="shared" si="90"/>
        <v>1.3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82">
        <v>3900</v>
      </c>
      <c r="W372" s="82">
        <v>3415</v>
      </c>
      <c r="X372" s="4">
        <f t="shared" si="91"/>
        <v>0.87564102564102564</v>
      </c>
      <c r="Y372" s="5">
        <v>5</v>
      </c>
      <c r="Z372" s="5">
        <v>262</v>
      </c>
      <c r="AA372" s="5">
        <v>262</v>
      </c>
      <c r="AB372" s="4">
        <f t="shared" si="92"/>
        <v>1</v>
      </c>
      <c r="AC372" s="5">
        <v>20</v>
      </c>
      <c r="AD372" s="5" t="s">
        <v>360</v>
      </c>
      <c r="AE372" s="5" t="s">
        <v>360</v>
      </c>
      <c r="AF372" s="5" t="s">
        <v>360</v>
      </c>
      <c r="AG372" s="5" t="s">
        <v>360</v>
      </c>
      <c r="AH372" s="5" t="s">
        <v>360</v>
      </c>
      <c r="AI372" s="5" t="s">
        <v>360</v>
      </c>
      <c r="AJ372" s="5" t="s">
        <v>360</v>
      </c>
      <c r="AK372" s="5" t="s">
        <v>360</v>
      </c>
      <c r="AL372" s="5" t="s">
        <v>360</v>
      </c>
      <c r="AM372" s="5" t="s">
        <v>360</v>
      </c>
      <c r="AN372" s="5" t="s">
        <v>360</v>
      </c>
      <c r="AO372" s="5" t="s">
        <v>360</v>
      </c>
      <c r="AP372" s="43">
        <f t="shared" si="100"/>
        <v>1.0488111613876319</v>
      </c>
      <c r="AQ372" s="44">
        <v>2608</v>
      </c>
      <c r="AR372" s="35">
        <f t="shared" si="93"/>
        <v>711.27272727272725</v>
      </c>
      <c r="AS372" s="35">
        <f t="shared" si="94"/>
        <v>746</v>
      </c>
      <c r="AT372" s="35">
        <f t="shared" si="95"/>
        <v>34.727272727272748</v>
      </c>
      <c r="AU372" s="35">
        <v>276.89999999999998</v>
      </c>
      <c r="AV372" s="35">
        <v>256.39999999999998</v>
      </c>
      <c r="AW372" s="35">
        <v>2</v>
      </c>
      <c r="AX372" s="35">
        <f t="shared" si="96"/>
        <v>210.7</v>
      </c>
      <c r="AY372" s="35"/>
      <c r="AZ372" s="35">
        <f t="shared" si="97"/>
        <v>210.7</v>
      </c>
      <c r="BA372" s="35">
        <v>0</v>
      </c>
      <c r="BB372" s="35">
        <f t="shared" si="101"/>
        <v>210.7</v>
      </c>
      <c r="BC372" s="35"/>
      <c r="BD372" s="35">
        <f t="shared" si="98"/>
        <v>210.7</v>
      </c>
      <c r="BE372" s="35">
        <v>224.4</v>
      </c>
      <c r="BF372" s="35">
        <f t="shared" si="99"/>
        <v>-13.7</v>
      </c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s="2" customFormat="1" ht="17.149999999999999" customHeight="1">
      <c r="A373" s="14" t="s">
        <v>352</v>
      </c>
      <c r="B373" s="63">
        <v>0</v>
      </c>
      <c r="C373" s="63">
        <v>0</v>
      </c>
      <c r="D373" s="4">
        <f t="shared" si="89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146.69999999999999</v>
      </c>
      <c r="O373" s="35">
        <v>156.4</v>
      </c>
      <c r="P373" s="4">
        <f t="shared" si="90"/>
        <v>1.0661213360599864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82">
        <v>8000</v>
      </c>
      <c r="W373" s="82">
        <v>10109</v>
      </c>
      <c r="X373" s="4">
        <f t="shared" si="91"/>
        <v>1.2063625</v>
      </c>
      <c r="Y373" s="5">
        <v>5</v>
      </c>
      <c r="Z373" s="5">
        <v>52</v>
      </c>
      <c r="AA373" s="5">
        <v>52</v>
      </c>
      <c r="AB373" s="4">
        <f t="shared" si="92"/>
        <v>1</v>
      </c>
      <c r="AC373" s="5">
        <v>20</v>
      </c>
      <c r="AD373" s="5" t="s">
        <v>360</v>
      </c>
      <c r="AE373" s="5" t="s">
        <v>360</v>
      </c>
      <c r="AF373" s="5" t="s">
        <v>360</v>
      </c>
      <c r="AG373" s="5" t="s">
        <v>360</v>
      </c>
      <c r="AH373" s="5" t="s">
        <v>360</v>
      </c>
      <c r="AI373" s="5" t="s">
        <v>360</v>
      </c>
      <c r="AJ373" s="5" t="s">
        <v>360</v>
      </c>
      <c r="AK373" s="5" t="s">
        <v>360</v>
      </c>
      <c r="AL373" s="5" t="s">
        <v>360</v>
      </c>
      <c r="AM373" s="5" t="s">
        <v>360</v>
      </c>
      <c r="AN373" s="5" t="s">
        <v>360</v>
      </c>
      <c r="AO373" s="5" t="s">
        <v>360</v>
      </c>
      <c r="AP373" s="43">
        <f t="shared" si="100"/>
        <v>1.0523164271377716</v>
      </c>
      <c r="AQ373" s="44">
        <v>1031</v>
      </c>
      <c r="AR373" s="35">
        <f t="shared" si="93"/>
        <v>281.18181818181819</v>
      </c>
      <c r="AS373" s="35">
        <f t="shared" si="94"/>
        <v>295.89999999999998</v>
      </c>
      <c r="AT373" s="35">
        <f t="shared" si="95"/>
        <v>14.71818181818179</v>
      </c>
      <c r="AU373" s="35">
        <v>114.5</v>
      </c>
      <c r="AV373" s="35">
        <v>108.3</v>
      </c>
      <c r="AW373" s="35"/>
      <c r="AX373" s="35">
        <f t="shared" si="96"/>
        <v>73.099999999999994</v>
      </c>
      <c r="AY373" s="35"/>
      <c r="AZ373" s="35">
        <f t="shared" si="97"/>
        <v>73.099999999999994</v>
      </c>
      <c r="BA373" s="35">
        <v>0</v>
      </c>
      <c r="BB373" s="35">
        <f t="shared" si="101"/>
        <v>73.099999999999994</v>
      </c>
      <c r="BC373" s="35"/>
      <c r="BD373" s="35">
        <f t="shared" si="98"/>
        <v>73.099999999999994</v>
      </c>
      <c r="BE373" s="35">
        <v>67.7</v>
      </c>
      <c r="BF373" s="35">
        <f t="shared" si="99"/>
        <v>5.4</v>
      </c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s="2" customFormat="1" ht="17.149999999999999" customHeight="1">
      <c r="A374" s="14" t="s">
        <v>353</v>
      </c>
      <c r="B374" s="63">
        <v>0</v>
      </c>
      <c r="C374" s="63">
        <v>0</v>
      </c>
      <c r="D374" s="4">
        <f t="shared" si="89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125.9</v>
      </c>
      <c r="O374" s="35">
        <v>76.3</v>
      </c>
      <c r="P374" s="4">
        <f t="shared" si="90"/>
        <v>0.60603653693407467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82">
        <v>500</v>
      </c>
      <c r="W374" s="82">
        <v>440</v>
      </c>
      <c r="X374" s="4">
        <f t="shared" si="91"/>
        <v>0.88</v>
      </c>
      <c r="Y374" s="5">
        <v>5</v>
      </c>
      <c r="Z374" s="5">
        <v>74</v>
      </c>
      <c r="AA374" s="5">
        <v>58</v>
      </c>
      <c r="AB374" s="4">
        <f t="shared" si="92"/>
        <v>0.78378378378378377</v>
      </c>
      <c r="AC374" s="5">
        <v>20</v>
      </c>
      <c r="AD374" s="5" t="s">
        <v>360</v>
      </c>
      <c r="AE374" s="5" t="s">
        <v>360</v>
      </c>
      <c r="AF374" s="5" t="s">
        <v>360</v>
      </c>
      <c r="AG374" s="5" t="s">
        <v>360</v>
      </c>
      <c r="AH374" s="5" t="s">
        <v>360</v>
      </c>
      <c r="AI374" s="5" t="s">
        <v>360</v>
      </c>
      <c r="AJ374" s="5" t="s">
        <v>360</v>
      </c>
      <c r="AK374" s="5" t="s">
        <v>360</v>
      </c>
      <c r="AL374" s="5" t="s">
        <v>360</v>
      </c>
      <c r="AM374" s="5" t="s">
        <v>360</v>
      </c>
      <c r="AN374" s="5" t="s">
        <v>360</v>
      </c>
      <c r="AO374" s="5" t="s">
        <v>360</v>
      </c>
      <c r="AP374" s="43">
        <f t="shared" si="100"/>
        <v>0.71547569809682598</v>
      </c>
      <c r="AQ374" s="44">
        <v>1336</v>
      </c>
      <c r="AR374" s="35">
        <f t="shared" si="93"/>
        <v>364.36363636363637</v>
      </c>
      <c r="AS374" s="35">
        <f t="shared" si="94"/>
        <v>260.7</v>
      </c>
      <c r="AT374" s="35">
        <f t="shared" si="95"/>
        <v>-103.66363636363639</v>
      </c>
      <c r="AU374" s="35">
        <v>126.9</v>
      </c>
      <c r="AV374" s="35">
        <v>26</v>
      </c>
      <c r="AW374" s="35"/>
      <c r="AX374" s="35">
        <f>ROUND(AS374-SUM(AU374:AW374),1)</f>
        <v>107.8</v>
      </c>
      <c r="AY374" s="35"/>
      <c r="AZ374" s="35">
        <f t="shared" si="97"/>
        <v>107.8</v>
      </c>
      <c r="BA374" s="35">
        <v>0</v>
      </c>
      <c r="BB374" s="35">
        <f t="shared" si="101"/>
        <v>107.8</v>
      </c>
      <c r="BC374" s="35"/>
      <c r="BD374" s="35">
        <f t="shared" si="98"/>
        <v>107.8</v>
      </c>
      <c r="BE374" s="35">
        <v>100.3</v>
      </c>
      <c r="BF374" s="35">
        <f t="shared" si="99"/>
        <v>7.5</v>
      </c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s="2" customFormat="1" ht="17.149999999999999" customHeight="1">
      <c r="A375" s="14" t="s">
        <v>354</v>
      </c>
      <c r="B375" s="63">
        <v>0</v>
      </c>
      <c r="C375" s="63">
        <v>0</v>
      </c>
      <c r="D375" s="4">
        <f t="shared" si="89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97.6</v>
      </c>
      <c r="O375" s="35">
        <v>94.4</v>
      </c>
      <c r="P375" s="4">
        <f t="shared" si="90"/>
        <v>0.96721311475409844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82">
        <v>4700</v>
      </c>
      <c r="W375" s="82">
        <v>4469</v>
      </c>
      <c r="X375" s="4">
        <f t="shared" si="91"/>
        <v>0.95085106382978724</v>
      </c>
      <c r="Y375" s="5">
        <v>5</v>
      </c>
      <c r="Z375" s="5">
        <v>74</v>
      </c>
      <c r="AA375" s="5">
        <v>97</v>
      </c>
      <c r="AB375" s="4">
        <f t="shared" si="92"/>
        <v>1.211081081081081</v>
      </c>
      <c r="AC375" s="5">
        <v>20</v>
      </c>
      <c r="AD375" s="5" t="s">
        <v>360</v>
      </c>
      <c r="AE375" s="5" t="s">
        <v>360</v>
      </c>
      <c r="AF375" s="5" t="s">
        <v>360</v>
      </c>
      <c r="AG375" s="5" t="s">
        <v>360</v>
      </c>
      <c r="AH375" s="5" t="s">
        <v>360</v>
      </c>
      <c r="AI375" s="5" t="s">
        <v>360</v>
      </c>
      <c r="AJ375" s="5" t="s">
        <v>360</v>
      </c>
      <c r="AK375" s="5" t="s">
        <v>360</v>
      </c>
      <c r="AL375" s="5" t="s">
        <v>360</v>
      </c>
      <c r="AM375" s="5" t="s">
        <v>360</v>
      </c>
      <c r="AN375" s="5" t="s">
        <v>360</v>
      </c>
      <c r="AO375" s="5" t="s">
        <v>360</v>
      </c>
      <c r="AP375" s="43">
        <f t="shared" si="100"/>
        <v>1.0737808719078339</v>
      </c>
      <c r="AQ375" s="44">
        <v>1987</v>
      </c>
      <c r="AR375" s="35">
        <f t="shared" si="93"/>
        <v>541.90909090909088</v>
      </c>
      <c r="AS375" s="35">
        <f t="shared" si="94"/>
        <v>581.9</v>
      </c>
      <c r="AT375" s="35">
        <f t="shared" si="95"/>
        <v>39.990909090909099</v>
      </c>
      <c r="AU375" s="35">
        <v>45.3</v>
      </c>
      <c r="AV375" s="35">
        <v>222</v>
      </c>
      <c r="AW375" s="35"/>
      <c r="AX375" s="35">
        <f>ROUND(AS375-SUM(AU375:AW375),1)</f>
        <v>314.60000000000002</v>
      </c>
      <c r="AY375" s="35"/>
      <c r="AZ375" s="35">
        <f t="shared" si="97"/>
        <v>314.60000000000002</v>
      </c>
      <c r="BA375" s="35">
        <v>0</v>
      </c>
      <c r="BB375" s="35">
        <f t="shared" si="101"/>
        <v>314.60000000000002</v>
      </c>
      <c r="BC375" s="35"/>
      <c r="BD375" s="35">
        <f t="shared" si="98"/>
        <v>314.60000000000002</v>
      </c>
      <c r="BE375" s="35">
        <v>322.89999999999998</v>
      </c>
      <c r="BF375" s="35">
        <f t="shared" si="99"/>
        <v>-8.3000000000000007</v>
      </c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s="2" customFormat="1" ht="17.149999999999999" customHeight="1">
      <c r="A376" s="14" t="s">
        <v>355</v>
      </c>
      <c r="B376" s="63">
        <v>0</v>
      </c>
      <c r="C376" s="63">
        <v>0</v>
      </c>
      <c r="D376" s="4">
        <f t="shared" si="89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123.2</v>
      </c>
      <c r="O376" s="35">
        <v>59.5</v>
      </c>
      <c r="P376" s="4">
        <f t="shared" si="90"/>
        <v>0.48295454545454547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82">
        <v>1150</v>
      </c>
      <c r="W376" s="82">
        <v>1037</v>
      </c>
      <c r="X376" s="4">
        <f t="shared" si="91"/>
        <v>0.9017391304347826</v>
      </c>
      <c r="Y376" s="5">
        <v>5</v>
      </c>
      <c r="Z376" s="5">
        <v>290</v>
      </c>
      <c r="AA376" s="5">
        <v>314</v>
      </c>
      <c r="AB376" s="4">
        <f t="shared" si="92"/>
        <v>1.0827586206896551</v>
      </c>
      <c r="AC376" s="5">
        <v>20</v>
      </c>
      <c r="AD376" s="5" t="s">
        <v>360</v>
      </c>
      <c r="AE376" s="5" t="s">
        <v>360</v>
      </c>
      <c r="AF376" s="5" t="s">
        <v>360</v>
      </c>
      <c r="AG376" s="5" t="s">
        <v>360</v>
      </c>
      <c r="AH376" s="5" t="s">
        <v>360</v>
      </c>
      <c r="AI376" s="5" t="s">
        <v>360</v>
      </c>
      <c r="AJ376" s="5" t="s">
        <v>360</v>
      </c>
      <c r="AK376" s="5" t="s">
        <v>360</v>
      </c>
      <c r="AL376" s="5" t="s">
        <v>360</v>
      </c>
      <c r="AM376" s="5" t="s">
        <v>360</v>
      </c>
      <c r="AN376" s="5" t="s">
        <v>360</v>
      </c>
      <c r="AO376" s="5" t="s">
        <v>360</v>
      </c>
      <c r="AP376" s="43">
        <f t="shared" si="100"/>
        <v>0.79606575500128729</v>
      </c>
      <c r="AQ376" s="44">
        <v>1685</v>
      </c>
      <c r="AR376" s="35">
        <f t="shared" si="93"/>
        <v>459.54545454545456</v>
      </c>
      <c r="AS376" s="35">
        <f t="shared" si="94"/>
        <v>365.8</v>
      </c>
      <c r="AT376" s="35">
        <f t="shared" si="95"/>
        <v>-93.74545454545455</v>
      </c>
      <c r="AU376" s="35">
        <v>190</v>
      </c>
      <c r="AV376" s="35">
        <v>21.2</v>
      </c>
      <c r="AW376" s="35"/>
      <c r="AX376" s="35">
        <f>ROUND(AS376-SUM(AU376:AW376),1)</f>
        <v>154.6</v>
      </c>
      <c r="AY376" s="35"/>
      <c r="AZ376" s="35">
        <f t="shared" si="97"/>
        <v>154.6</v>
      </c>
      <c r="BA376" s="35">
        <v>0</v>
      </c>
      <c r="BB376" s="35">
        <f t="shared" si="101"/>
        <v>154.6</v>
      </c>
      <c r="BC376" s="35"/>
      <c r="BD376" s="35">
        <f t="shared" si="98"/>
        <v>154.6</v>
      </c>
      <c r="BE376" s="35">
        <v>148.6</v>
      </c>
      <c r="BF376" s="35">
        <f t="shared" si="99"/>
        <v>6</v>
      </c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s="2" customFormat="1" ht="17.149999999999999" customHeight="1">
      <c r="A377" s="14" t="s">
        <v>356</v>
      </c>
      <c r="B377" s="63">
        <v>6950</v>
      </c>
      <c r="C377" s="63">
        <v>6910</v>
      </c>
      <c r="D377" s="4">
        <f t="shared" ref="D377:D378" si="102">IF(E377=0,0,IF(B377=0,1,IF(C377&lt;0,0,IF(C377/B377&gt;1.2,IF((C377/B377-1.2)*0.1+1.2&gt;1.3,1.3,(C377/B377-1.2)*0.1+1.2),C377/B377))))</f>
        <v>0.99424460431654671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267.39999999999998</v>
      </c>
      <c r="O377" s="35">
        <v>258.89999999999998</v>
      </c>
      <c r="P377" s="4">
        <f t="shared" ref="P377:P378" si="103">IF(Q377=0,0,IF(N377=0,1,IF(O377&lt;0,0,IF(O377/N377&gt;1.2,IF((O377/N377-1.2)*0.1+1.2&gt;1.3,1.3,(O377/N377-1.2)*0.1+1.2),O377/N377))))</f>
        <v>0.96821241585639495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82">
        <v>5700</v>
      </c>
      <c r="W377" s="82">
        <v>3770</v>
      </c>
      <c r="X377" s="4">
        <f t="shared" ref="X377" si="104">IF(Y377=0,0,IF(V377=0,1,IF(W377&lt;0,0,IF(W377/V377&gt;1.2,IF((W377/V377-1.2)*0.1+1.2&gt;1.3,1.3,(W377/V377-1.2)*0.1+1.2),W377/V377))))</f>
        <v>0.66140350877192977</v>
      </c>
      <c r="Y377" s="5">
        <v>5</v>
      </c>
      <c r="Z377" s="5">
        <v>69</v>
      </c>
      <c r="AA377" s="5">
        <v>70</v>
      </c>
      <c r="AB377" s="4">
        <f t="shared" ref="AB377:AB378" si="105">IF(AC377=0,0,IF(Z377=0,1,IF(AA377&lt;0,0,IF(AA377/Z377&gt;1.2,IF((AA377/Z377-1.2)*0.1+1.2&gt;1.3,1.3,(AA377/Z377-1.2)*0.1+1.2),AA377/Z377))))</f>
        <v>1.0144927536231885</v>
      </c>
      <c r="AC377" s="5">
        <v>20</v>
      </c>
      <c r="AD377" s="5" t="s">
        <v>360</v>
      </c>
      <c r="AE377" s="5" t="s">
        <v>360</v>
      </c>
      <c r="AF377" s="5" t="s">
        <v>360</v>
      </c>
      <c r="AG377" s="5" t="s">
        <v>360</v>
      </c>
      <c r="AH377" s="5" t="s">
        <v>360</v>
      </c>
      <c r="AI377" s="5" t="s">
        <v>360</v>
      </c>
      <c r="AJ377" s="5" t="s">
        <v>360</v>
      </c>
      <c r="AK377" s="5" t="s">
        <v>360</v>
      </c>
      <c r="AL377" s="5" t="s">
        <v>360</v>
      </c>
      <c r="AM377" s="5" t="s">
        <v>360</v>
      </c>
      <c r="AN377" s="5" t="s">
        <v>360</v>
      </c>
      <c r="AO377" s="5" t="s">
        <v>360</v>
      </c>
      <c r="AP377" s="43">
        <f t="shared" si="100"/>
        <v>0.95864687910068114</v>
      </c>
      <c r="AQ377" s="44">
        <v>1400</v>
      </c>
      <c r="AR377" s="35">
        <f t="shared" ref="AR377:AR378" si="106">AQ377/11*3</f>
        <v>381.81818181818181</v>
      </c>
      <c r="AS377" s="35">
        <f t="shared" ref="AS377:AS378" si="107">ROUND(AP377*AR377,1)</f>
        <v>366</v>
      </c>
      <c r="AT377" s="35">
        <f t="shared" ref="AT377:AT378" si="108">AS377-AR377</f>
        <v>-15.818181818181813</v>
      </c>
      <c r="AU377" s="35">
        <v>153.30000000000001</v>
      </c>
      <c r="AV377" s="35">
        <v>39.299999999999997</v>
      </c>
      <c r="AW377" s="35">
        <v>44.9</v>
      </c>
      <c r="AX377" s="35">
        <f>ROUND(AS377-SUM(AU377:AW377),1)</f>
        <v>128.5</v>
      </c>
      <c r="AY377" s="35"/>
      <c r="AZ377" s="35">
        <f t="shared" ref="AZ377" si="109">IF(OR(AX377&lt;0,AY377="+"),0,AX377)</f>
        <v>128.5</v>
      </c>
      <c r="BA377" s="35">
        <v>0</v>
      </c>
      <c r="BB377" s="35">
        <f t="shared" si="101"/>
        <v>128.5</v>
      </c>
      <c r="BC377" s="35"/>
      <c r="BD377" s="35">
        <f t="shared" ref="BD377:BD378" si="110">IF((BB377-BC377)&gt;0,ROUND(BB377-BC377,1),0)</f>
        <v>128.5</v>
      </c>
      <c r="BE377" s="35">
        <v>141.1</v>
      </c>
      <c r="BF377" s="35">
        <f t="shared" ref="BF377:BF378" si="111">ROUND(BD377-BE377,1)</f>
        <v>-12.6</v>
      </c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s="2" customFormat="1" ht="17.149999999999999" customHeight="1">
      <c r="A378" s="14" t="s">
        <v>357</v>
      </c>
      <c r="B378" s="63">
        <v>37635</v>
      </c>
      <c r="C378" s="63">
        <v>36407.300000000003</v>
      </c>
      <c r="D378" s="4">
        <f t="shared" si="102"/>
        <v>0.96737876976218951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1994.2</v>
      </c>
      <c r="O378" s="35">
        <v>1562.4</v>
      </c>
      <c r="P378" s="4">
        <f t="shared" si="103"/>
        <v>0.78347206900010036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82">
        <v>139370</v>
      </c>
      <c r="W378" s="82">
        <v>141606</v>
      </c>
      <c r="X378" s="4">
        <f>IF(Y378=0,0,IF(V378=0,1,IF(W378&lt;0,0,IF(W378/V378&gt;1.2,IF((W378/V378-1.2)*0.1+1.2&gt;1.3,1.3,(W378/V378-1.2)*0.1+1.2),W378/V378))))</f>
        <v>1.0160436248834039</v>
      </c>
      <c r="Y378" s="5">
        <v>5</v>
      </c>
      <c r="Z378" s="5">
        <v>51</v>
      </c>
      <c r="AA378" s="5">
        <v>54</v>
      </c>
      <c r="AB378" s="4">
        <f t="shared" si="105"/>
        <v>1.0588235294117647</v>
      </c>
      <c r="AC378" s="5">
        <v>20</v>
      </c>
      <c r="AD378" s="5" t="s">
        <v>360</v>
      </c>
      <c r="AE378" s="5" t="s">
        <v>360</v>
      </c>
      <c r="AF378" s="5" t="s">
        <v>360</v>
      </c>
      <c r="AG378" s="5" t="s">
        <v>360</v>
      </c>
      <c r="AH378" s="5" t="s">
        <v>360</v>
      </c>
      <c r="AI378" s="5" t="s">
        <v>360</v>
      </c>
      <c r="AJ378" s="5" t="s">
        <v>360</v>
      </c>
      <c r="AK378" s="5" t="s">
        <v>360</v>
      </c>
      <c r="AL378" s="5" t="s">
        <v>360</v>
      </c>
      <c r="AM378" s="5" t="s">
        <v>360</v>
      </c>
      <c r="AN378" s="5" t="s">
        <v>360</v>
      </c>
      <c r="AO378" s="5" t="s">
        <v>360</v>
      </c>
      <c r="AP378" s="43">
        <f>(D378*E378+P378*Q378+X378*Y378+AB378*AC378)/(E378+Q378+Y378+AC378)</f>
        <v>0.9352604788293053</v>
      </c>
      <c r="AQ378" s="44">
        <v>1036</v>
      </c>
      <c r="AR378" s="35">
        <f t="shared" si="106"/>
        <v>282.54545454545456</v>
      </c>
      <c r="AS378" s="35">
        <f t="shared" si="107"/>
        <v>264.3</v>
      </c>
      <c r="AT378" s="35">
        <f t="shared" si="108"/>
        <v>-18.24545454545455</v>
      </c>
      <c r="AU378" s="35">
        <v>85.3</v>
      </c>
      <c r="AV378" s="35">
        <v>71.5</v>
      </c>
      <c r="AW378" s="35"/>
      <c r="AX378" s="35">
        <f>ROUND(AS378-SUM(AU378:AW378),1)</f>
        <v>107.5</v>
      </c>
      <c r="AY378" s="35"/>
      <c r="AZ378" s="35">
        <f>IF(OR(AX378&lt;0,AY378="+"),0,AX378)</f>
        <v>107.5</v>
      </c>
      <c r="BA378" s="35">
        <v>0</v>
      </c>
      <c r="BB378" s="35">
        <f t="shared" ref="BB378" si="112">ROUND(AZ378+BA378,1)</f>
        <v>107.5</v>
      </c>
      <c r="BC378" s="35"/>
      <c r="BD378" s="35">
        <f t="shared" si="110"/>
        <v>107.5</v>
      </c>
      <c r="BE378" s="35">
        <v>104.9</v>
      </c>
      <c r="BF378" s="35">
        <f t="shared" si="111"/>
        <v>2.6</v>
      </c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s="40" customFormat="1" ht="17.149999999999999" customHeight="1">
      <c r="A379" s="39" t="s">
        <v>367</v>
      </c>
      <c r="B379" s="41">
        <f>B6+B27</f>
        <v>230291245</v>
      </c>
      <c r="C379" s="41">
        <f>C6+C27</f>
        <v>231305348.90000001</v>
      </c>
      <c r="D379" s="42">
        <f>IF(C379/B379&gt;1.2,IF((C379/B379-1.2)*0.1+1.2&gt;1.3,1.3,(C379/B379-1.2)*0.1+1.2),C379/B379)</f>
        <v>1.0044035712256452</v>
      </c>
      <c r="E379" s="39"/>
      <c r="F379" s="39"/>
      <c r="G379" s="39"/>
      <c r="H379" s="39"/>
      <c r="I379" s="39"/>
      <c r="J379" s="41">
        <f>J6+J27</f>
        <v>26815</v>
      </c>
      <c r="K379" s="41">
        <f>K6+K27</f>
        <v>21876</v>
      </c>
      <c r="L379" s="42">
        <f>IF(J379/K379&gt;1.2,IF((J379/K379-1.2)*0.1+1.2&gt;1.3,1.3,(J379/K379-1.2)*0.1+1.2),J379/K379)</f>
        <v>1.2025772536112633</v>
      </c>
      <c r="M379" s="39"/>
      <c r="N379" s="41">
        <f>N6+N27</f>
        <v>6013997.9000000004</v>
      </c>
      <c r="O379" s="41">
        <f>O6+O27</f>
        <v>6218883.5000000009</v>
      </c>
      <c r="P379" s="42">
        <f>IF(O379/N379&gt;1.2,IF((O379/N379-1.2)*0.1+1.2&gt;1.3,1.3,(O379/N379-1.2)*0.1+1.2),O379/N379)</f>
        <v>1.034068119644671</v>
      </c>
      <c r="Q379" s="39"/>
      <c r="R379" s="41">
        <f>R17</f>
        <v>28825</v>
      </c>
      <c r="S379" s="41">
        <f>S17</f>
        <v>94428.799999999988</v>
      </c>
      <c r="T379" s="42">
        <f>IF(S379/R379&gt;1.2,IF((S379/R379-1.2)*0.1+1.2&gt;1.3,1.3,(S379/R379-1.2)*0.1+1.2),S379/R379)</f>
        <v>1.3</v>
      </c>
      <c r="U379" s="39"/>
      <c r="V379" s="84">
        <f>V6+V27</f>
        <v>125512756</v>
      </c>
      <c r="W379" s="84">
        <f>W6+W27</f>
        <v>125715540</v>
      </c>
      <c r="X379" s="42">
        <f>IF(W379/V379&gt;1.2,IF((W379/V379-1.2)*0.1+1.2&gt;1.3,1.3,(W379/V379-1.2)*0.1+1.2),W379/V379)</f>
        <v>1.0016156445485112</v>
      </c>
      <c r="Y379" s="39"/>
      <c r="Z379" s="60">
        <f>Z27</f>
        <v>106983</v>
      </c>
      <c r="AA379" s="60">
        <f>AA27</f>
        <v>108327</v>
      </c>
      <c r="AB379" s="42">
        <f>IF(AA379/Z379&gt;1.2,IF((AA379/Z379-1.2)*0.1+1.2&gt;1.3,1.3,(AA379/Z379-1.2)*0.1+1.2),AA379/Z379)</f>
        <v>1.0125627436134712</v>
      </c>
      <c r="AC379" s="39"/>
      <c r="AD379" s="60">
        <f>AD27</f>
        <v>93500.5</v>
      </c>
      <c r="AE379" s="60">
        <f>AE27</f>
        <v>99005.799999999988</v>
      </c>
      <c r="AF379" s="42">
        <f>IF(AE379/AD379&gt;1.2,IF((AE379/AD379-1.2)*0.1+1.2&gt;1.3,1.3,(AE379/AD379-1.2)*0.1+1.2),AE379/AD379)</f>
        <v>1.0588798990379729</v>
      </c>
      <c r="AG379" s="39"/>
      <c r="AH379" s="60">
        <f>AH27</f>
        <v>33629.899999999994</v>
      </c>
      <c r="AI379" s="60">
        <f>AI27</f>
        <v>41425.599999999999</v>
      </c>
      <c r="AJ379" s="42">
        <f>IF(AI379/AH379&gt;1.2,IF((AI379/AH379-1.2)*0.1+1.2&gt;1.3,1.3,(AI379/AH379-1.2)*0.1+1.2),AI379/AH379)</f>
        <v>1.2031808598895626</v>
      </c>
      <c r="AK379" s="39"/>
      <c r="AL379" s="41">
        <f>AL6+AL17+AL27</f>
        <v>29764</v>
      </c>
      <c r="AM379" s="41">
        <f>AM6+AM17+AM27</f>
        <v>30114</v>
      </c>
      <c r="AN379" s="42">
        <f>IF(AM379/AL379&gt;1.2,IF((AM379/AL379-1.2)*0.1+1.2&gt;1.3,1.3,(AM379/AL379-1.2)*0.1+1.2),AM379/AL379)</f>
        <v>1.0117591721542802</v>
      </c>
      <c r="AO379" s="39"/>
      <c r="AP379" s="39"/>
      <c r="AQ379" s="60">
        <f>SUM(AQ7:AQ378)-AQ17-AQ27-AQ55</f>
        <v>2873841</v>
      </c>
      <c r="AR379" s="41">
        <f>SUM(AR7:AR378)-AR17-AR27-AR55</f>
        <v>783774.8181818166</v>
      </c>
      <c r="AS379" s="41">
        <f t="shared" ref="AS379" si="113">SUM(AS7:AS378)-AS17-AS27-AS55</f>
        <v>799118.60000000172</v>
      </c>
      <c r="AT379" s="41">
        <f>SUM(AT7:AT378)-AT17-AT27-AT55</f>
        <v>15343.7818181818</v>
      </c>
      <c r="AU379" s="41">
        <f t="shared" ref="AU379:AV379" si="114">SUM(AU7:AU378)-AU17-AU27-AU55</f>
        <v>268998.40000000049</v>
      </c>
      <c r="AV379" s="41">
        <f t="shared" si="114"/>
        <v>239525.60000000018</v>
      </c>
      <c r="AW379" s="41">
        <f>SUM(AW7:AW378)-AW17-AW27-AW55</f>
        <v>7985.4000000000005</v>
      </c>
      <c r="AX379" s="41">
        <f>SUM(AX7:AX378)-AX17-AX27-AX55</f>
        <v>282609.19999999995</v>
      </c>
      <c r="AY379" s="73">
        <f>COUNTIF(AY7:AY378,"+")</f>
        <v>0</v>
      </c>
      <c r="AZ379" s="41">
        <f>SUM(AZ7:AZ378)-AZ17-AZ27-AZ55</f>
        <v>282686.89999999997</v>
      </c>
      <c r="BA379" s="41">
        <f t="shared" ref="BA379:BF379" si="115">SUM(BA7:BA378)-BA17-BA27-BA55</f>
        <v>-1326.9</v>
      </c>
      <c r="BB379" s="41">
        <f t="shared" si="115"/>
        <v>281360.00000000017</v>
      </c>
      <c r="BC379" s="41">
        <f t="shared" si="115"/>
        <v>3137.8999999999996</v>
      </c>
      <c r="BD379" s="41">
        <f t="shared" si="115"/>
        <v>278222.10000000003</v>
      </c>
      <c r="BE379" s="41">
        <f t="shared" si="115"/>
        <v>283358.80000000034</v>
      </c>
      <c r="BF379" s="41">
        <f t="shared" si="115"/>
        <v>-5136.7000000000107</v>
      </c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ht="6.95" customHeight="1"/>
    <row r="381" spans="1:72" ht="15" customHeight="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69"/>
      <c r="AV381" s="69"/>
      <c r="AW381" s="69"/>
      <c r="AX381" s="69"/>
      <c r="AY381" s="69"/>
      <c r="AZ381" s="69"/>
    </row>
    <row r="384" spans="1:72" ht="15" customHeight="1"/>
  </sheetData>
  <mergeCells count="28">
    <mergeCell ref="R3:U3"/>
    <mergeCell ref="F3:I3"/>
    <mergeCell ref="B3:E3"/>
    <mergeCell ref="J3:M3"/>
    <mergeCell ref="A3:A4"/>
    <mergeCell ref="N3:Q3"/>
    <mergeCell ref="BB3:BB4"/>
    <mergeCell ref="AQ3:AQ4"/>
    <mergeCell ref="AT3:AT4"/>
    <mergeCell ref="AS3:AS4"/>
    <mergeCell ref="AP3:AP4"/>
    <mergeCell ref="AR3:AR4"/>
    <mergeCell ref="BE3:BE4"/>
    <mergeCell ref="BF3:BF4"/>
    <mergeCell ref="A1:AG1"/>
    <mergeCell ref="BA3:BA4"/>
    <mergeCell ref="V3:Y3"/>
    <mergeCell ref="Z3:AC3"/>
    <mergeCell ref="AD3:AG3"/>
    <mergeCell ref="AH3:AK3"/>
    <mergeCell ref="AL3:AO3"/>
    <mergeCell ref="AU3:AV3"/>
    <mergeCell ref="AW3:AW4"/>
    <mergeCell ref="AX3:AX4"/>
    <mergeCell ref="AY3:AY4"/>
    <mergeCell ref="AZ3:AZ4"/>
    <mergeCell ref="BD3:BD4"/>
    <mergeCell ref="BC3:BC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4" fitToHeight="0" pageOrder="overThenDown" orientation="landscape" r:id="rId1"/>
  <headerFooter alignWithMargins="0"/>
  <colBreaks count="1" manualBreakCount="1">
    <brk id="33" max="3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7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G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3.6640625" style="23" customWidth="1"/>
    <col min="6" max="6" width="11" style="23" customWidth="1"/>
    <col min="7" max="7" width="11.44140625" style="23" customWidth="1"/>
    <col min="8" max="8" width="13.33203125" style="23" customWidth="1"/>
    <col min="9" max="9" width="10.88671875" style="23" customWidth="1"/>
    <col min="10" max="10" width="11.33203125" style="23" customWidth="1"/>
    <col min="11" max="11" width="15.109375" style="23" customWidth="1"/>
    <col min="12" max="12" width="10.6640625" style="23" customWidth="1"/>
    <col min="13" max="13" width="11.33203125" style="23" customWidth="1"/>
    <col min="14" max="14" width="16.33203125" style="23" customWidth="1"/>
    <col min="15" max="15" width="10.6640625" style="23" customWidth="1"/>
    <col min="16" max="16" width="11.5546875" style="23" customWidth="1"/>
    <col min="17" max="17" width="15.109375" style="23" customWidth="1"/>
    <col min="18" max="19" width="14.44140625" style="23" customWidth="1"/>
    <col min="20" max="20" width="15.6640625" style="23" customWidth="1"/>
    <col min="21" max="22" width="14.44140625" style="23" customWidth="1"/>
    <col min="23" max="23" width="14.88671875" style="23" customWidth="1"/>
    <col min="24" max="25" width="14.44140625" style="23" customWidth="1"/>
    <col min="26" max="26" width="15.44140625" style="23" customWidth="1"/>
    <col min="27" max="28" width="14.44140625" style="23" customWidth="1"/>
    <col min="29" max="29" width="15.5546875" style="23" customWidth="1"/>
    <col min="30" max="31" width="14.44140625" style="23" customWidth="1"/>
    <col min="32" max="32" width="15.44140625" style="23" customWidth="1"/>
    <col min="33" max="33" width="8.33203125" style="23" customWidth="1"/>
    <col min="34" max="34" width="63.6640625" style="23" customWidth="1"/>
    <col min="35" max="16384" width="9.109375" style="23"/>
  </cols>
  <sheetData>
    <row r="1" spans="1:33" ht="15.55">
      <c r="A1" s="95" t="s">
        <v>412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15.55" customHeight="1">
      <c r="C2" s="76"/>
      <c r="D2" s="76"/>
      <c r="E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 t="s">
        <v>378</v>
      </c>
    </row>
    <row r="3" spans="1:33" ht="191.95" customHeight="1">
      <c r="A3" s="96" t="s">
        <v>15</v>
      </c>
      <c r="B3" s="97" t="s">
        <v>361</v>
      </c>
      <c r="C3" s="99" t="s">
        <v>368</v>
      </c>
      <c r="D3" s="99"/>
      <c r="E3" s="99"/>
      <c r="F3" s="99" t="s">
        <v>17</v>
      </c>
      <c r="G3" s="99"/>
      <c r="H3" s="99"/>
      <c r="I3" s="99" t="s">
        <v>380</v>
      </c>
      <c r="J3" s="99"/>
      <c r="K3" s="99"/>
      <c r="L3" s="99" t="s">
        <v>379</v>
      </c>
      <c r="M3" s="99"/>
      <c r="N3" s="99"/>
      <c r="O3" s="99" t="s">
        <v>424</v>
      </c>
      <c r="P3" s="99"/>
      <c r="Q3" s="99"/>
      <c r="R3" s="100" t="s">
        <v>425</v>
      </c>
      <c r="S3" s="101"/>
      <c r="T3" s="101"/>
      <c r="U3" s="100" t="s">
        <v>426</v>
      </c>
      <c r="V3" s="101"/>
      <c r="W3" s="102"/>
      <c r="X3" s="100" t="s">
        <v>427</v>
      </c>
      <c r="Y3" s="101"/>
      <c r="Z3" s="101"/>
      <c r="AA3" s="100" t="s">
        <v>428</v>
      </c>
      <c r="AB3" s="101"/>
      <c r="AC3" s="101"/>
      <c r="AD3" s="100" t="s">
        <v>429</v>
      </c>
      <c r="AE3" s="101"/>
      <c r="AF3" s="101"/>
      <c r="AG3" s="98" t="s">
        <v>364</v>
      </c>
    </row>
    <row r="4" spans="1:33" ht="34.700000000000003" customHeight="1">
      <c r="A4" s="96"/>
      <c r="B4" s="97"/>
      <c r="C4" s="24" t="s">
        <v>362</v>
      </c>
      <c r="D4" s="24" t="s">
        <v>363</v>
      </c>
      <c r="E4" s="74" t="s">
        <v>431</v>
      </c>
      <c r="F4" s="24" t="s">
        <v>362</v>
      </c>
      <c r="G4" s="24" t="s">
        <v>363</v>
      </c>
      <c r="H4" s="74" t="s">
        <v>432</v>
      </c>
      <c r="I4" s="24" t="s">
        <v>362</v>
      </c>
      <c r="J4" s="24" t="s">
        <v>363</v>
      </c>
      <c r="K4" s="74" t="s">
        <v>433</v>
      </c>
      <c r="L4" s="24" t="s">
        <v>362</v>
      </c>
      <c r="M4" s="24" t="s">
        <v>363</v>
      </c>
      <c r="N4" s="74" t="s">
        <v>434</v>
      </c>
      <c r="O4" s="24" t="s">
        <v>362</v>
      </c>
      <c r="P4" s="24" t="s">
        <v>363</v>
      </c>
      <c r="Q4" s="74" t="s">
        <v>435</v>
      </c>
      <c r="R4" s="24" t="s">
        <v>362</v>
      </c>
      <c r="S4" s="24" t="s">
        <v>363</v>
      </c>
      <c r="T4" s="75" t="s">
        <v>436</v>
      </c>
      <c r="U4" s="24" t="s">
        <v>362</v>
      </c>
      <c r="V4" s="24" t="s">
        <v>363</v>
      </c>
      <c r="W4" s="75" t="s">
        <v>437</v>
      </c>
      <c r="X4" s="24" t="s">
        <v>362</v>
      </c>
      <c r="Y4" s="24" t="s">
        <v>363</v>
      </c>
      <c r="Z4" s="75" t="s">
        <v>438</v>
      </c>
      <c r="AA4" s="24" t="s">
        <v>362</v>
      </c>
      <c r="AB4" s="24" t="s">
        <v>363</v>
      </c>
      <c r="AC4" s="75" t="s">
        <v>439</v>
      </c>
      <c r="AD4" s="24" t="s">
        <v>362</v>
      </c>
      <c r="AE4" s="24" t="s">
        <v>363</v>
      </c>
      <c r="AF4" s="75" t="s">
        <v>440</v>
      </c>
      <c r="AG4" s="98"/>
    </row>
    <row r="5" spans="1:33">
      <c r="A5" s="25">
        <v>1</v>
      </c>
      <c r="B5" s="46">
        <v>2</v>
      </c>
      <c r="C5" s="25">
        <v>3</v>
      </c>
      <c r="D5" s="46">
        <v>4</v>
      </c>
      <c r="E5" s="25">
        <v>5</v>
      </c>
      <c r="F5" s="46">
        <v>6</v>
      </c>
      <c r="G5" s="25">
        <v>7</v>
      </c>
      <c r="H5" s="46">
        <v>8</v>
      </c>
      <c r="I5" s="25">
        <v>9</v>
      </c>
      <c r="J5" s="46">
        <v>10</v>
      </c>
      <c r="K5" s="25">
        <v>11</v>
      </c>
      <c r="L5" s="46">
        <v>12</v>
      </c>
      <c r="M5" s="25">
        <v>13</v>
      </c>
      <c r="N5" s="46">
        <v>14</v>
      </c>
      <c r="O5" s="25">
        <v>15</v>
      </c>
      <c r="P5" s="46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  <c r="AA5" s="25">
        <v>27</v>
      </c>
      <c r="AB5" s="25">
        <v>28</v>
      </c>
      <c r="AC5" s="25">
        <v>29</v>
      </c>
      <c r="AD5" s="25">
        <v>30</v>
      </c>
      <c r="AE5" s="25">
        <v>31</v>
      </c>
      <c r="AF5" s="25">
        <v>32</v>
      </c>
      <c r="AG5" s="25">
        <v>33</v>
      </c>
    </row>
    <row r="6" spans="1:33" ht="15" customHeight="1">
      <c r="A6" s="26" t="s">
        <v>4</v>
      </c>
      <c r="B6" s="49">
        <f>'Расчет субсидий'!AT6</f>
        <v>4580.8636363636269</v>
      </c>
      <c r="C6" s="49"/>
      <c r="D6" s="49"/>
      <c r="E6" s="49">
        <f>SUM(E7:E16)</f>
        <v>1074.4586864298331</v>
      </c>
      <c r="F6" s="49"/>
      <c r="G6" s="49"/>
      <c r="H6" s="49">
        <f>SUM(H7:H16)</f>
        <v>646.0972105189428</v>
      </c>
      <c r="I6" s="49"/>
      <c r="J6" s="49"/>
      <c r="K6" s="49">
        <f>SUM(K7:K16)</f>
        <v>8346.5770982281265</v>
      </c>
      <c r="L6" s="49"/>
      <c r="M6" s="49"/>
      <c r="N6" s="49">
        <f>SUM(N7:N16)</f>
        <v>4419.4915812574545</v>
      </c>
      <c r="O6" s="49"/>
      <c r="P6" s="49"/>
      <c r="Q6" s="49"/>
      <c r="R6" s="49"/>
      <c r="S6" s="49"/>
      <c r="T6" s="49">
        <f>SUM(T7:T16)</f>
        <v>-343.44436778062777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>
        <f>SUM(AF7:AF16)</f>
        <v>-9562.3165722900994</v>
      </c>
      <c r="AG6" s="49"/>
    </row>
    <row r="7" spans="1:33" ht="15" customHeight="1">
      <c r="A7" s="28" t="s">
        <v>5</v>
      </c>
      <c r="B7" s="50">
        <f>'Расчет субсидий'!AT7</f>
        <v>-3063.8909090909146</v>
      </c>
      <c r="C7" s="52">
        <f>'Расчет субсидий'!D7-1</f>
        <v>5.0886379500790113E-2</v>
      </c>
      <c r="D7" s="52">
        <f>C7*'Расчет субсидий'!E7</f>
        <v>0.25443189750395057</v>
      </c>
      <c r="E7" s="53">
        <f t="shared" ref="E7:E16" si="0">$B7*D7/$AG7</f>
        <v>458.77077120628633</v>
      </c>
      <c r="F7" s="58">
        <f>'Расчет субсидий'!H7-1</f>
        <v>-1.4995313964386248E-2</v>
      </c>
      <c r="G7" s="58">
        <f>F7*'Расчет субсидий'!I7</f>
        <v>-0.14995313964386248</v>
      </c>
      <c r="H7" s="53">
        <f t="shared" ref="H7:H16" si="1">$B7*G7/$AG7</f>
        <v>-270.38322708005023</v>
      </c>
      <c r="I7" s="52">
        <f>'Расчет субсидий'!L7-1</f>
        <v>0.21651087459509477</v>
      </c>
      <c r="J7" s="52">
        <f>I7*'Расчет субсидий'!M7</f>
        <v>1.0825543729754739</v>
      </c>
      <c r="K7" s="53">
        <f t="shared" ref="K7:K16" si="2">$B7*J7/$AG7</f>
        <v>1951.9734334999582</v>
      </c>
      <c r="L7" s="52">
        <f>'Расчет субсидий'!P7-1</f>
        <v>8.6341519770171793E-2</v>
      </c>
      <c r="M7" s="52">
        <f>L7*'Расчет субсидий'!Q7</f>
        <v>1.7268303954034359</v>
      </c>
      <c r="N7" s="53">
        <f t="shared" ref="N7:N16" si="3">$B7*M7/$AG7</f>
        <v>3113.6792203084119</v>
      </c>
      <c r="O7" s="27" t="s">
        <v>365</v>
      </c>
      <c r="P7" s="27" t="s">
        <v>365</v>
      </c>
      <c r="Q7" s="27" t="s">
        <v>365</v>
      </c>
      <c r="R7" s="58">
        <f>'Расчет субсидий'!X7-1</f>
        <v>-8.2076684334757566E-3</v>
      </c>
      <c r="S7" s="58">
        <f>R7*'Расчет субсидий'!Y7</f>
        <v>-0.12311502650213635</v>
      </c>
      <c r="T7" s="53">
        <f t="shared" ref="T7:T16" si="4">$B7*S7/$AG7</f>
        <v>-221.99093828080453</v>
      </c>
      <c r="U7" s="27" t="s">
        <v>365</v>
      </c>
      <c r="V7" s="27" t="s">
        <v>365</v>
      </c>
      <c r="W7" s="27" t="s">
        <v>365</v>
      </c>
      <c r="X7" s="27" t="s">
        <v>365</v>
      </c>
      <c r="Y7" s="27" t="s">
        <v>365</v>
      </c>
      <c r="Z7" s="27" t="s">
        <v>365</v>
      </c>
      <c r="AA7" s="27" t="s">
        <v>365</v>
      </c>
      <c r="AB7" s="27" t="s">
        <v>365</v>
      </c>
      <c r="AC7" s="27" t="s">
        <v>365</v>
      </c>
      <c r="AD7" s="58">
        <f>'Расчет субсидий'!AN7-1</f>
        <v>-0.29933110367892979</v>
      </c>
      <c r="AE7" s="58">
        <f>AD7*'Расчет субсидий'!AO7</f>
        <v>-4.4899665551839467</v>
      </c>
      <c r="AF7" s="53">
        <f t="shared" ref="AF7:AF16" si="5">$B7*AE7/$AG7</f>
        <v>-8095.9401687447162</v>
      </c>
      <c r="AG7" s="52">
        <f>D7+G7+J7+M7+S7+AE7</f>
        <v>-1.6992180554470853</v>
      </c>
    </row>
    <row r="8" spans="1:33" ht="15" customHeight="1">
      <c r="A8" s="28" t="s">
        <v>6</v>
      </c>
      <c r="B8" s="50">
        <f>'Расчет субсидий'!AT8</f>
        <v>4383.8818181818206</v>
      </c>
      <c r="C8" s="52">
        <f>'Расчет субсидий'!D8-1</f>
        <v>1.7214349167623766E-2</v>
      </c>
      <c r="D8" s="52">
        <f>C8*'Расчет субсидий'!E8</f>
        <v>8.6071745838118829E-2</v>
      </c>
      <c r="E8" s="53">
        <f t="shared" si="0"/>
        <v>126.66194041476942</v>
      </c>
      <c r="F8" s="58">
        <f>'Расчет субсидий'!H8-1</f>
        <v>4.5498547918683574E-2</v>
      </c>
      <c r="G8" s="58">
        <f>F8*'Расчет субсидий'!I8</f>
        <v>0.45498547918683574</v>
      </c>
      <c r="H8" s="53">
        <f t="shared" si="1"/>
        <v>669.55007236330312</v>
      </c>
      <c r="I8" s="52">
        <f>'Расчет субсидий'!L8-1</f>
        <v>0.21044612575006516</v>
      </c>
      <c r="J8" s="52">
        <f>I8*'Расчет субсидий'!M8</f>
        <v>3.1566918862509774</v>
      </c>
      <c r="K8" s="53">
        <f t="shared" si="2"/>
        <v>4645.3422747587911</v>
      </c>
      <c r="L8" s="52">
        <f>'Расчет субсидий'!P8-1</f>
        <v>-8.8795515259271429E-2</v>
      </c>
      <c r="M8" s="52">
        <f>L8*'Расчет субсидий'!Q8</f>
        <v>-1.7759103051854286</v>
      </c>
      <c r="N8" s="53">
        <f t="shared" si="3"/>
        <v>-2613.4040046129962</v>
      </c>
      <c r="O8" s="27" t="s">
        <v>365</v>
      </c>
      <c r="P8" s="27" t="s">
        <v>365</v>
      </c>
      <c r="Q8" s="27" t="s">
        <v>365</v>
      </c>
      <c r="R8" s="58">
        <f>'Расчет субсидий'!X8-1</f>
        <v>1.4752868865797852E-2</v>
      </c>
      <c r="S8" s="58">
        <f>R8*'Расчет субсидий'!Y8</f>
        <v>0.22129303298696779</v>
      </c>
      <c r="T8" s="53">
        <f t="shared" si="4"/>
        <v>325.65163731099153</v>
      </c>
      <c r="U8" s="27" t="s">
        <v>365</v>
      </c>
      <c r="V8" s="27" t="s">
        <v>365</v>
      </c>
      <c r="W8" s="27" t="s">
        <v>365</v>
      </c>
      <c r="X8" s="27" t="s">
        <v>365</v>
      </c>
      <c r="Y8" s="27" t="s">
        <v>365</v>
      </c>
      <c r="Z8" s="27" t="s">
        <v>365</v>
      </c>
      <c r="AA8" s="27" t="s">
        <v>365</v>
      </c>
      <c r="AB8" s="27" t="s">
        <v>365</v>
      </c>
      <c r="AC8" s="27" t="s">
        <v>365</v>
      </c>
      <c r="AD8" s="58">
        <f>'Расчет субсидий'!AN8-1</f>
        <v>5.57258289217053E-2</v>
      </c>
      <c r="AE8" s="58">
        <f>AD8*'Расчет субсидий'!AO8</f>
        <v>0.83588743382557951</v>
      </c>
      <c r="AF8" s="53">
        <f t="shared" si="5"/>
        <v>1230.0798979469623</v>
      </c>
      <c r="AG8" s="52">
        <f t="shared" ref="AG8:AG16" si="6">D8+G8+J8+M8+S8+AE8</f>
        <v>2.9790192729030505</v>
      </c>
    </row>
    <row r="9" spans="1:33" ht="15" customHeight="1">
      <c r="A9" s="28" t="s">
        <v>7</v>
      </c>
      <c r="B9" s="50">
        <f>'Расчет субсидий'!AT9</f>
        <v>2261.1545454545412</v>
      </c>
      <c r="C9" s="52">
        <f>'Расчет субсидий'!D9-1</f>
        <v>4.5864597016600284E-2</v>
      </c>
      <c r="D9" s="52">
        <f>C9*'Расчет субсидий'!E9</f>
        <v>0.22932298508300142</v>
      </c>
      <c r="E9" s="53">
        <f t="shared" si="0"/>
        <v>172.2460925834005</v>
      </c>
      <c r="F9" s="58">
        <f>'Расчет субсидий'!H9-1</f>
        <v>1.4395393474088358E-2</v>
      </c>
      <c r="G9" s="58">
        <f>F9*'Расчет субсидий'!I9</f>
        <v>0.14395393474088358</v>
      </c>
      <c r="H9" s="53">
        <f t="shared" si="1"/>
        <v>108.12480380956369</v>
      </c>
      <c r="I9" s="52">
        <f>'Расчет субсидий'!L9-1</f>
        <v>6.1007957559681802E-2</v>
      </c>
      <c r="J9" s="52">
        <f>I9*'Расчет субсидий'!M9</f>
        <v>0.30503978779840901</v>
      </c>
      <c r="K9" s="53">
        <f t="shared" si="2"/>
        <v>229.1175108841729</v>
      </c>
      <c r="L9" s="52">
        <f>'Расчет субсидий'!P9-1</f>
        <v>9.2443455425512688E-3</v>
      </c>
      <c r="M9" s="52">
        <f>L9*'Расчет субсидий'!Q9</f>
        <v>0.18488691085102538</v>
      </c>
      <c r="N9" s="53">
        <f t="shared" si="3"/>
        <v>138.86984748771798</v>
      </c>
      <c r="O9" s="27" t="s">
        <v>365</v>
      </c>
      <c r="P9" s="27" t="s">
        <v>365</v>
      </c>
      <c r="Q9" s="27" t="s">
        <v>365</v>
      </c>
      <c r="R9" s="58">
        <f>'Расчет субсидий'!X9-1</f>
        <v>7.2914275186557465E-2</v>
      </c>
      <c r="S9" s="58">
        <f>R9*'Расчет субсидий'!Y9</f>
        <v>1.093714127798362</v>
      </c>
      <c r="T9" s="53">
        <f t="shared" si="4"/>
        <v>821.49630508404732</v>
      </c>
      <c r="U9" s="27" t="s">
        <v>365</v>
      </c>
      <c r="V9" s="27" t="s">
        <v>365</v>
      </c>
      <c r="W9" s="27" t="s">
        <v>365</v>
      </c>
      <c r="X9" s="27" t="s">
        <v>365</v>
      </c>
      <c r="Y9" s="27" t="s">
        <v>365</v>
      </c>
      <c r="Z9" s="27" t="s">
        <v>365</v>
      </c>
      <c r="AA9" s="27" t="s">
        <v>365</v>
      </c>
      <c r="AB9" s="27" t="s">
        <v>365</v>
      </c>
      <c r="AC9" s="27" t="s">
        <v>365</v>
      </c>
      <c r="AD9" s="58">
        <f>'Расчет субсидий'!AN9-1</f>
        <v>7.0234113712374535E-2</v>
      </c>
      <c r="AE9" s="58">
        <f>AD9*'Расчет субсидий'!AO9</f>
        <v>1.053511705685618</v>
      </c>
      <c r="AF9" s="53">
        <f t="shared" si="5"/>
        <v>791.29998560563888</v>
      </c>
      <c r="AG9" s="52">
        <f t="shared" si="6"/>
        <v>3.0104294519572994</v>
      </c>
    </row>
    <row r="10" spans="1:33" ht="15" customHeight="1">
      <c r="A10" s="28" t="s">
        <v>8</v>
      </c>
      <c r="B10" s="50">
        <f>'Расчет субсидий'!AT10</f>
        <v>-597.06363636363676</v>
      </c>
      <c r="C10" s="52">
        <f>'Расчет субсидий'!D10-1</f>
        <v>-0.24438763056188695</v>
      </c>
      <c r="D10" s="52">
        <f>C10*'Расчет субсидий'!E10</f>
        <v>-1.2219381528094346</v>
      </c>
      <c r="E10" s="53">
        <f t="shared" si="0"/>
        <v>-304.54261500101308</v>
      </c>
      <c r="F10" s="58">
        <f>'Расчет субсидий'!H10-1</f>
        <v>2.1442495126705596E-2</v>
      </c>
      <c r="G10" s="58">
        <f>F10*'Расчет субсидий'!I10</f>
        <v>0.21442495126705596</v>
      </c>
      <c r="H10" s="53">
        <f t="shared" si="1"/>
        <v>53.440949715986171</v>
      </c>
      <c r="I10" s="52">
        <f>'Расчет субсидий'!L10-1</f>
        <v>0.15468409586056642</v>
      </c>
      <c r="J10" s="52">
        <f>I10*'Расчет субсидий'!M10</f>
        <v>1.5468409586056642</v>
      </c>
      <c r="K10" s="53">
        <f t="shared" si="2"/>
        <v>385.51786720248941</v>
      </c>
      <c r="L10" s="52">
        <f>'Расчет субсидий'!P10-1</f>
        <v>0.17740726872558876</v>
      </c>
      <c r="M10" s="52">
        <f>L10*'Расчет субсидий'!Q10</f>
        <v>3.5481453745117753</v>
      </c>
      <c r="N10" s="53">
        <f t="shared" si="3"/>
        <v>884.30127848384006</v>
      </c>
      <c r="O10" s="27" t="s">
        <v>365</v>
      </c>
      <c r="P10" s="27" t="s">
        <v>365</v>
      </c>
      <c r="Q10" s="27" t="s">
        <v>365</v>
      </c>
      <c r="R10" s="58">
        <f>'Расчет субсидий'!X10-1</f>
        <v>2.5749863113875282E-3</v>
      </c>
      <c r="S10" s="58">
        <f>R10*'Расчет субсидий'!Y10</f>
        <v>3.8624794670812923E-2</v>
      </c>
      <c r="T10" s="53">
        <f t="shared" si="4"/>
        <v>9.626424992035604</v>
      </c>
      <c r="U10" s="27" t="s">
        <v>365</v>
      </c>
      <c r="V10" s="27" t="s">
        <v>365</v>
      </c>
      <c r="W10" s="27" t="s">
        <v>365</v>
      </c>
      <c r="X10" s="27" t="s">
        <v>365</v>
      </c>
      <c r="Y10" s="27" t="s">
        <v>365</v>
      </c>
      <c r="Z10" s="27" t="s">
        <v>365</v>
      </c>
      <c r="AA10" s="27" t="s">
        <v>365</v>
      </c>
      <c r="AB10" s="27" t="s">
        <v>365</v>
      </c>
      <c r="AC10" s="27" t="s">
        <v>365</v>
      </c>
      <c r="AD10" s="58">
        <f>'Расчет субсидий'!AN10-1</f>
        <v>-0.43478260869565222</v>
      </c>
      <c r="AE10" s="58">
        <f>AD10*'Расчет субсидий'!AO10</f>
        <v>-6.5217391304347831</v>
      </c>
      <c r="AF10" s="53">
        <f t="shared" si="5"/>
        <v>-1625.4075417569752</v>
      </c>
      <c r="AG10" s="52">
        <f t="shared" si="6"/>
        <v>-2.3956412041889088</v>
      </c>
    </row>
    <row r="11" spans="1:33" ht="15" customHeight="1">
      <c r="A11" s="28" t="s">
        <v>9</v>
      </c>
      <c r="B11" s="50">
        <f>'Расчет субсидий'!AT11</f>
        <v>1570.1545454545449</v>
      </c>
      <c r="C11" s="52">
        <f>'Расчет субсидий'!D11-1</f>
        <v>0.2021615596614923</v>
      </c>
      <c r="D11" s="52">
        <f>C11*'Расчет субсидий'!E11</f>
        <v>1.0108077983074615</v>
      </c>
      <c r="E11" s="53">
        <f t="shared" si="0"/>
        <v>385.1609009831779</v>
      </c>
      <c r="F11" s="58">
        <f>'Расчет субсидий'!H11-1</f>
        <v>-3.7735849056603765E-3</v>
      </c>
      <c r="G11" s="58">
        <f>F11*'Расчет субсидий'!I11</f>
        <v>-3.7735849056603765E-2</v>
      </c>
      <c r="H11" s="53">
        <f t="shared" si="1"/>
        <v>-14.378968629193077</v>
      </c>
      <c r="I11" s="52">
        <f>'Расчет субсидий'!L11-1</f>
        <v>4.7120418848167533E-2</v>
      </c>
      <c r="J11" s="52">
        <f>I11*'Расчет субсидий'!M11</f>
        <v>0.47120418848167533</v>
      </c>
      <c r="K11" s="53">
        <f t="shared" si="2"/>
        <v>179.54890146924339</v>
      </c>
      <c r="L11" s="52">
        <f>'Расчет субсидий'!P11-1</f>
        <v>0.20058705337643046</v>
      </c>
      <c r="M11" s="52">
        <f>L11*'Расчет субсидий'!Q11</f>
        <v>4.0117410675286092</v>
      </c>
      <c r="N11" s="53">
        <f t="shared" si="3"/>
        <v>1528.6445223986448</v>
      </c>
      <c r="O11" s="27" t="s">
        <v>365</v>
      </c>
      <c r="P11" s="27" t="s">
        <v>365</v>
      </c>
      <c r="Q11" s="27" t="s">
        <v>365</v>
      </c>
      <c r="R11" s="58">
        <f>'Расчет субсидий'!X11-1</f>
        <v>-0.12190994552520162</v>
      </c>
      <c r="S11" s="58">
        <f>R11*'Расчет субсидий'!Y11</f>
        <v>-1.8286491828780242</v>
      </c>
      <c r="T11" s="53">
        <f t="shared" si="4"/>
        <v>-696.79336471167073</v>
      </c>
      <c r="U11" s="27" t="s">
        <v>365</v>
      </c>
      <c r="V11" s="27" t="s">
        <v>365</v>
      </c>
      <c r="W11" s="27" t="s">
        <v>365</v>
      </c>
      <c r="X11" s="27" t="s">
        <v>365</v>
      </c>
      <c r="Y11" s="27" t="s">
        <v>365</v>
      </c>
      <c r="Z11" s="27" t="s">
        <v>365</v>
      </c>
      <c r="AA11" s="27" t="s">
        <v>365</v>
      </c>
      <c r="AB11" s="27" t="s">
        <v>365</v>
      </c>
      <c r="AC11" s="27" t="s">
        <v>365</v>
      </c>
      <c r="AD11" s="58">
        <f>'Расчет субсидий'!AN11-1</f>
        <v>3.2887402452619785E-2</v>
      </c>
      <c r="AE11" s="58">
        <f>AD11*'Расчет субсидий'!AO11</f>
        <v>0.49331103678929678</v>
      </c>
      <c r="AF11" s="53">
        <f t="shared" si="5"/>
        <v>187.97255394434231</v>
      </c>
      <c r="AG11" s="52">
        <f t="shared" si="6"/>
        <v>4.1206790591724154</v>
      </c>
    </row>
    <row r="12" spans="1:33" ht="15" customHeight="1">
      <c r="A12" s="28" t="s">
        <v>10</v>
      </c>
      <c r="B12" s="50">
        <f>'Расчет субсидий'!AT12</f>
        <v>104.77272727272793</v>
      </c>
      <c r="C12" s="52">
        <f>'Расчет субсидий'!D12-1</f>
        <v>-0.1063099411213233</v>
      </c>
      <c r="D12" s="52">
        <f>C12*'Расчет субсидий'!E12</f>
        <v>-0.53154970560661652</v>
      </c>
      <c r="E12" s="53">
        <f t="shared" si="0"/>
        <v>-89.982598637747344</v>
      </c>
      <c r="F12" s="58">
        <f>'Расчет субсидий'!H12-1</f>
        <v>3.8277511961722466E-2</v>
      </c>
      <c r="G12" s="58">
        <f>F12*'Расчет субсидий'!I12</f>
        <v>0.38277511961722466</v>
      </c>
      <c r="H12" s="53">
        <f t="shared" si="1"/>
        <v>64.797514877230938</v>
      </c>
      <c r="I12" s="52">
        <f>'Расчет субсидий'!L12-1</f>
        <v>-3.1339031339031376E-2</v>
      </c>
      <c r="J12" s="52">
        <f>I12*'Расчет субсидий'!M12</f>
        <v>-0.47008547008547064</v>
      </c>
      <c r="K12" s="53">
        <f t="shared" si="2"/>
        <v>-79.577717255744759</v>
      </c>
      <c r="L12" s="52">
        <f>'Расчет субсидий'!P12-1</f>
        <v>8.0540392029130548E-2</v>
      </c>
      <c r="M12" s="52">
        <f>L12*'Расчет субсидий'!Q12</f>
        <v>1.610807840582611</v>
      </c>
      <c r="N12" s="53">
        <f t="shared" si="3"/>
        <v>272.68320135041273</v>
      </c>
      <c r="O12" s="27" t="s">
        <v>365</v>
      </c>
      <c r="P12" s="27" t="s">
        <v>365</v>
      </c>
      <c r="Q12" s="27" t="s">
        <v>365</v>
      </c>
      <c r="R12" s="58">
        <f>'Расчет субсидий'!X12-1</f>
        <v>-6.3330144565164836E-2</v>
      </c>
      <c r="S12" s="58">
        <f>R12*'Расчет субсидий'!Y12</f>
        <v>-0.94995216847747255</v>
      </c>
      <c r="T12" s="53">
        <f t="shared" si="4"/>
        <v>-160.81123514801953</v>
      </c>
      <c r="U12" s="27" t="s">
        <v>365</v>
      </c>
      <c r="V12" s="27" t="s">
        <v>365</v>
      </c>
      <c r="W12" s="27" t="s">
        <v>365</v>
      </c>
      <c r="X12" s="27" t="s">
        <v>365</v>
      </c>
      <c r="Y12" s="27" t="s">
        <v>365</v>
      </c>
      <c r="Z12" s="27" t="s">
        <v>365</v>
      </c>
      <c r="AA12" s="27" t="s">
        <v>365</v>
      </c>
      <c r="AB12" s="27" t="s">
        <v>365</v>
      </c>
      <c r="AC12" s="27" t="s">
        <v>365</v>
      </c>
      <c r="AD12" s="58">
        <f>'Расчет субсидий'!AN12-1</f>
        <v>3.8461538461538547E-2</v>
      </c>
      <c r="AE12" s="58">
        <f>AD12*'Расчет субсидий'!AO12</f>
        <v>0.5769230769230782</v>
      </c>
      <c r="AF12" s="53">
        <f t="shared" si="5"/>
        <v>97.663562086595945</v>
      </c>
      <c r="AG12" s="52">
        <f t="shared" si="6"/>
        <v>0.61891869295335411</v>
      </c>
    </row>
    <row r="13" spans="1:33" ht="15" customHeight="1">
      <c r="A13" s="28" t="s">
        <v>11</v>
      </c>
      <c r="B13" s="50">
        <f>'Расчет субсидий'!AT13</f>
        <v>795.00909090909045</v>
      </c>
      <c r="C13" s="52">
        <f>'Расчет субсидий'!D13-1</f>
        <v>-9.6454230579871902E-2</v>
      </c>
      <c r="D13" s="52">
        <f>C13*'Расчет субсидий'!E13</f>
        <v>-0.48227115289935951</v>
      </c>
      <c r="E13" s="53">
        <f t="shared" si="0"/>
        <v>-163.07336995205728</v>
      </c>
      <c r="F13" s="58">
        <f>'Расчет субсидий'!H13-1</f>
        <v>-1.2452107279693592E-2</v>
      </c>
      <c r="G13" s="58">
        <f>F13*'Расчет субсидий'!I13</f>
        <v>-0.12452107279693592</v>
      </c>
      <c r="H13" s="53">
        <f t="shared" si="1"/>
        <v>-42.105091397161097</v>
      </c>
      <c r="I13" s="52">
        <f>'Расчет субсидий'!L13-1</f>
        <v>0.19078104993597944</v>
      </c>
      <c r="J13" s="52">
        <f>I13*'Расчет субсидий'!M13</f>
        <v>1.9078104993597944</v>
      </c>
      <c r="K13" s="53">
        <f t="shared" si="2"/>
        <v>645.09993079648712</v>
      </c>
      <c r="L13" s="52">
        <f>'Расчет субсидий'!P13-1</f>
        <v>0.20529712992087412</v>
      </c>
      <c r="M13" s="52">
        <f>L13*'Расчет субсидий'!Q13</f>
        <v>4.1059425984174824</v>
      </c>
      <c r="N13" s="53">
        <f t="shared" si="3"/>
        <v>1388.3681251268445</v>
      </c>
      <c r="O13" s="27" t="s">
        <v>365</v>
      </c>
      <c r="P13" s="27" t="s">
        <v>365</v>
      </c>
      <c r="Q13" s="27" t="s">
        <v>365</v>
      </c>
      <c r="R13" s="58">
        <f>'Расчет субсидий'!X13-1</f>
        <v>-6.9537248861808454E-3</v>
      </c>
      <c r="S13" s="58">
        <f>R13*'Расчет субсидий'!Y13</f>
        <v>-0.10430587329271268</v>
      </c>
      <c r="T13" s="53">
        <f t="shared" si="4"/>
        <v>-35.269599189948842</v>
      </c>
      <c r="U13" s="27" t="s">
        <v>365</v>
      </c>
      <c r="V13" s="27" t="s">
        <v>365</v>
      </c>
      <c r="W13" s="27" t="s">
        <v>365</v>
      </c>
      <c r="X13" s="27" t="s">
        <v>365</v>
      </c>
      <c r="Y13" s="27" t="s">
        <v>365</v>
      </c>
      <c r="Z13" s="27" t="s">
        <v>365</v>
      </c>
      <c r="AA13" s="27" t="s">
        <v>365</v>
      </c>
      <c r="AB13" s="27" t="s">
        <v>365</v>
      </c>
      <c r="AC13" s="27" t="s">
        <v>365</v>
      </c>
      <c r="AD13" s="58">
        <f>'Расчет субсидий'!AN13-1</f>
        <v>-0.19676700111482726</v>
      </c>
      <c r="AE13" s="58">
        <f>AD13*'Расчет субсидий'!AO13</f>
        <v>-2.9515050167224088</v>
      </c>
      <c r="AF13" s="53">
        <f t="shared" si="5"/>
        <v>-998.01090447507374</v>
      </c>
      <c r="AG13" s="52">
        <f t="shared" si="6"/>
        <v>2.3511499820658597</v>
      </c>
    </row>
    <row r="14" spans="1:33" ht="15" customHeight="1">
      <c r="A14" s="28" t="s">
        <v>12</v>
      </c>
      <c r="B14" s="50">
        <f>'Расчет субсидий'!AT14</f>
        <v>-916.76363636363749</v>
      </c>
      <c r="C14" s="52">
        <f>'Расчет субсидий'!D14-1</f>
        <v>0.12031978134608812</v>
      </c>
      <c r="D14" s="52">
        <f>C14*'Расчет субсидий'!E14</f>
        <v>0.60159890673044059</v>
      </c>
      <c r="E14" s="53">
        <f t="shared" si="0"/>
        <v>140.91656352013646</v>
      </c>
      <c r="F14" s="58">
        <f>'Расчет субсидий'!H14-1</f>
        <v>2.2072936660268772E-2</v>
      </c>
      <c r="G14" s="58">
        <f>F14*'Расчет субсидий'!I14</f>
        <v>0.22072936660268772</v>
      </c>
      <c r="H14" s="53">
        <f t="shared" si="1"/>
        <v>51.702926088534504</v>
      </c>
      <c r="I14" s="52">
        <f>'Расчет субсидий'!L14-1</f>
        <v>3.3591731266149782E-2</v>
      </c>
      <c r="J14" s="52">
        <f>I14*'Расчет субсидий'!M14</f>
        <v>0.50387596899224674</v>
      </c>
      <c r="K14" s="53">
        <f t="shared" si="2"/>
        <v>118.02626167766847</v>
      </c>
      <c r="L14" s="52">
        <f>'Расчет субсидий'!P14-1</f>
        <v>3.9730813019542843E-3</v>
      </c>
      <c r="M14" s="52">
        <f>L14*'Расчет субсидий'!Q14</f>
        <v>7.9461626039085687E-2</v>
      </c>
      <c r="N14" s="53">
        <f t="shared" si="3"/>
        <v>18.612831818471722</v>
      </c>
      <c r="O14" s="27" t="s">
        <v>365</v>
      </c>
      <c r="P14" s="27" t="s">
        <v>365</v>
      </c>
      <c r="Q14" s="27" t="s">
        <v>365</v>
      </c>
      <c r="R14" s="58">
        <f>'Расчет субсидий'!X14-1</f>
        <v>-3.9137209373376947E-2</v>
      </c>
      <c r="S14" s="58">
        <f>R14*'Расчет субсидий'!Y14</f>
        <v>-0.5870581406006542</v>
      </c>
      <c r="T14" s="53">
        <f t="shared" si="4"/>
        <v>-137.51058194165333</v>
      </c>
      <c r="U14" s="27" t="s">
        <v>365</v>
      </c>
      <c r="V14" s="27" t="s">
        <v>365</v>
      </c>
      <c r="W14" s="27" t="s">
        <v>365</v>
      </c>
      <c r="X14" s="27" t="s">
        <v>365</v>
      </c>
      <c r="Y14" s="27" t="s">
        <v>365</v>
      </c>
      <c r="Z14" s="27" t="s">
        <v>365</v>
      </c>
      <c r="AA14" s="27" t="s">
        <v>365</v>
      </c>
      <c r="AB14" s="27" t="s">
        <v>365</v>
      </c>
      <c r="AC14" s="27" t="s">
        <v>365</v>
      </c>
      <c r="AD14" s="58">
        <f>'Расчет субсидий'!AN14-1</f>
        <v>-0.31549609810479373</v>
      </c>
      <c r="AE14" s="58">
        <f>AD14*'Расчет субсидий'!AO14</f>
        <v>-4.7324414715719056</v>
      </c>
      <c r="AF14" s="53">
        <f t="shared" si="5"/>
        <v>-1108.5116375267953</v>
      </c>
      <c r="AG14" s="52">
        <f t="shared" si="6"/>
        <v>-3.913833743808099</v>
      </c>
    </row>
    <row r="15" spans="1:33" ht="15" customHeight="1">
      <c r="A15" s="28" t="s">
        <v>13</v>
      </c>
      <c r="B15" s="50">
        <f>'Расчет субсидий'!AT15</f>
        <v>-213.90000000000146</v>
      </c>
      <c r="C15" s="52">
        <f>'Расчет субсидий'!D15-1</f>
        <v>0.21564298260514425</v>
      </c>
      <c r="D15" s="52">
        <f>C15*'Расчет субсидий'!E15</f>
        <v>1.0782149130257213</v>
      </c>
      <c r="E15" s="53">
        <f t="shared" si="0"/>
        <v>418.19977197899618</v>
      </c>
      <c r="F15" s="58">
        <f>'Расчет субсидий'!H15-1</f>
        <v>1.0536398467432928E-2</v>
      </c>
      <c r="G15" s="58">
        <f>F15*'Расчет субсидий'!I15</f>
        <v>0.10536398467432928</v>
      </c>
      <c r="H15" s="53">
        <f t="shared" si="1"/>
        <v>40.866801073963451</v>
      </c>
      <c r="I15" s="52">
        <f>'Расчет субсидий'!L15-1</f>
        <v>5.3864168618267039E-2</v>
      </c>
      <c r="J15" s="52">
        <f>I15*'Расчет субсидий'!M15</f>
        <v>0.53864168618267039</v>
      </c>
      <c r="K15" s="53">
        <f t="shared" si="2"/>
        <v>208.91923086821666</v>
      </c>
      <c r="L15" s="52">
        <f>'Расчет субсидий'!P15-1</f>
        <v>-6.9862668425847541E-2</v>
      </c>
      <c r="M15" s="52">
        <f>L15*'Расчет субсидий'!Q15</f>
        <v>-1.3972533685169508</v>
      </c>
      <c r="N15" s="53">
        <f t="shared" si="3"/>
        <v>-541.94301437633123</v>
      </c>
      <c r="O15" s="27" t="s">
        <v>365</v>
      </c>
      <c r="P15" s="27" t="s">
        <v>365</v>
      </c>
      <c r="Q15" s="27" t="s">
        <v>365</v>
      </c>
      <c r="R15" s="58">
        <f>'Расчет субсидий'!X15-1</f>
        <v>-3.6690900668665982E-2</v>
      </c>
      <c r="S15" s="58">
        <f>R15*'Расчет субсидий'!Y15</f>
        <v>-0.55036351002998973</v>
      </c>
      <c r="T15" s="53">
        <f t="shared" si="4"/>
        <v>-213.46569373095946</v>
      </c>
      <c r="U15" s="27" t="s">
        <v>365</v>
      </c>
      <c r="V15" s="27" t="s">
        <v>365</v>
      </c>
      <c r="W15" s="27" t="s">
        <v>365</v>
      </c>
      <c r="X15" s="27" t="s">
        <v>365</v>
      </c>
      <c r="Y15" s="27" t="s">
        <v>365</v>
      </c>
      <c r="Z15" s="27" t="s">
        <v>365</v>
      </c>
      <c r="AA15" s="27" t="s">
        <v>365</v>
      </c>
      <c r="AB15" s="27" t="s">
        <v>365</v>
      </c>
      <c r="AC15" s="27" t="s">
        <v>365</v>
      </c>
      <c r="AD15" s="58">
        <f>'Расчет субсидий'!AN15-1</f>
        <v>-2.1739130434782594E-2</v>
      </c>
      <c r="AE15" s="58">
        <f>AD15*'Расчет субсидий'!AO15</f>
        <v>-0.32608695652173891</v>
      </c>
      <c r="AF15" s="53">
        <f t="shared" si="5"/>
        <v>-126.47709581388706</v>
      </c>
      <c r="AG15" s="52">
        <f t="shared" si="6"/>
        <v>-0.55148325118595853</v>
      </c>
    </row>
    <row r="16" spans="1:33" ht="15" customHeight="1">
      <c r="A16" s="28" t="s">
        <v>14</v>
      </c>
      <c r="B16" s="50">
        <f>'Расчет субсидий'!AT16</f>
        <v>257.50909090909227</v>
      </c>
      <c r="C16" s="52">
        <f>'Расчет субсидий'!D16-1</f>
        <v>-7.6994900771775066E-2</v>
      </c>
      <c r="D16" s="52">
        <f>C16*'Расчет субсидий'!E16</f>
        <v>-0.38497450385887533</v>
      </c>
      <c r="E16" s="53">
        <f t="shared" si="0"/>
        <v>-69.898770666115965</v>
      </c>
      <c r="F16" s="58">
        <f>'Расчет субсидий'!H16-1</f>
        <v>-8.5470085470085166E-3</v>
      </c>
      <c r="G16" s="58">
        <f>F16*'Расчет субсидий'!I16</f>
        <v>-8.5470085470085166E-2</v>
      </c>
      <c r="H16" s="53">
        <f t="shared" si="1"/>
        <v>-15.518570303234592</v>
      </c>
      <c r="I16" s="52">
        <f>'Расчет субсидий'!L16-1</f>
        <v>3.4482758620689724E-2</v>
      </c>
      <c r="J16" s="52">
        <f>I16*'Расчет субсидий'!M16</f>
        <v>0.34482758620689724</v>
      </c>
      <c r="K16" s="53">
        <f t="shared" si="2"/>
        <v>62.609404326843354</v>
      </c>
      <c r="L16" s="52">
        <f>'Расчет субсидий'!P16-1</f>
        <v>6.3249166562193704E-2</v>
      </c>
      <c r="M16" s="52">
        <f>L16*'Расчет субсидий'!Q16</f>
        <v>1.2649833312438741</v>
      </c>
      <c r="N16" s="53">
        <f t="shared" si="3"/>
        <v>229.67957327243784</v>
      </c>
      <c r="O16" s="27" t="s">
        <v>365</v>
      </c>
      <c r="P16" s="27" t="s">
        <v>365</v>
      </c>
      <c r="Q16" s="27" t="s">
        <v>365</v>
      </c>
      <c r="R16" s="58">
        <f>'Расчет субсидий'!X16-1</f>
        <v>-1.262243710269495E-2</v>
      </c>
      <c r="S16" s="58">
        <f>R16*'Расчет субсидий'!Y16</f>
        <v>-0.18933655654042425</v>
      </c>
      <c r="T16" s="53">
        <f t="shared" si="4"/>
        <v>-34.37732216464574</v>
      </c>
      <c r="U16" s="27"/>
      <c r="V16" s="27"/>
      <c r="W16" s="27"/>
      <c r="X16" s="27"/>
      <c r="Y16" s="27"/>
      <c r="Z16" s="27"/>
      <c r="AA16" s="27"/>
      <c r="AB16" s="27"/>
      <c r="AC16" s="27"/>
      <c r="AD16" s="58">
        <f>'Расчет субсидий'!AN16-1</f>
        <v>3.1215161649944312E-2</v>
      </c>
      <c r="AE16" s="58">
        <f>AD16*'Расчет субсидий'!AO16</f>
        <v>0.46822742474916468</v>
      </c>
      <c r="AF16" s="53">
        <f t="shared" si="5"/>
        <v>85.014776443807335</v>
      </c>
      <c r="AG16" s="52">
        <f t="shared" si="6"/>
        <v>1.4182571963305515</v>
      </c>
    </row>
    <row r="17" spans="1:33" ht="15" customHeight="1">
      <c r="A17" s="26" t="s">
        <v>385</v>
      </c>
      <c r="B17" s="49">
        <f>SUM(B18:B26)</f>
        <v>426.70909090909123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f>SUM(Q18:Q26)</f>
        <v>1309.5449652082489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>
        <f>SUM(AF18:AF26)</f>
        <v>-882.83587429915747</v>
      </c>
      <c r="AG17" s="49"/>
    </row>
    <row r="18" spans="1:33" ht="15" customHeight="1">
      <c r="A18" s="30" t="s">
        <v>386</v>
      </c>
      <c r="B18" s="50">
        <f>'Расчет субсидий'!AT18</f>
        <v>188.40909090909088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2">
        <f>'Расчет субсидий'!T18-1</f>
        <v>0.30000000000000004</v>
      </c>
      <c r="P18" s="27">
        <f>O18*'Расчет субсидий'!U18</f>
        <v>6.0000000000000009</v>
      </c>
      <c r="Q18" s="53">
        <f t="shared" ref="Q18:Q26" si="7">$B18*P18/$AG18</f>
        <v>107.66233766233765</v>
      </c>
      <c r="R18" s="27" t="s">
        <v>365</v>
      </c>
      <c r="S18" s="27" t="s">
        <v>365</v>
      </c>
      <c r="T18" s="27" t="s">
        <v>365</v>
      </c>
      <c r="U18" s="27" t="s">
        <v>365</v>
      </c>
      <c r="V18" s="27" t="s">
        <v>365</v>
      </c>
      <c r="W18" s="27" t="s">
        <v>365</v>
      </c>
      <c r="X18" s="27" t="s">
        <v>365</v>
      </c>
      <c r="Y18" s="27" t="s">
        <v>365</v>
      </c>
      <c r="Z18" s="27" t="s">
        <v>365</v>
      </c>
      <c r="AA18" s="27" t="s">
        <v>365</v>
      </c>
      <c r="AB18" s="27" t="s">
        <v>365</v>
      </c>
      <c r="AC18" s="27" t="s">
        <v>365</v>
      </c>
      <c r="AD18" s="58">
        <f>'Расчет субсидий'!AN18-1</f>
        <v>0.30000000000000004</v>
      </c>
      <c r="AE18" s="58">
        <f>AD18*'Расчет субсидий'!AO18</f>
        <v>4.5000000000000009</v>
      </c>
      <c r="AF18" s="53">
        <f t="shared" ref="AF18:AF26" si="8">$B18*AE18/$AG18</f>
        <v>80.746753246753229</v>
      </c>
      <c r="AG18" s="52">
        <f>P18+AE18</f>
        <v>10.500000000000002</v>
      </c>
    </row>
    <row r="19" spans="1:33" ht="15" customHeight="1">
      <c r="A19" s="30" t="s">
        <v>387</v>
      </c>
      <c r="B19" s="50">
        <f>'Расчет субсидий'!AT19</f>
        <v>205.76363636363658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2">
        <f>'Расчет субсидий'!T19-1</f>
        <v>0.30000000000000004</v>
      </c>
      <c r="P19" s="27">
        <f>O19*'Расчет субсидий'!U19</f>
        <v>6.0000000000000009</v>
      </c>
      <c r="Q19" s="53">
        <f t="shared" si="7"/>
        <v>335.54143260761208</v>
      </c>
      <c r="R19" s="27" t="s">
        <v>365</v>
      </c>
      <c r="S19" s="27" t="s">
        <v>365</v>
      </c>
      <c r="T19" s="27" t="s">
        <v>365</v>
      </c>
      <c r="U19" s="27" t="s">
        <v>365</v>
      </c>
      <c r="V19" s="27" t="s">
        <v>365</v>
      </c>
      <c r="W19" s="27" t="s">
        <v>365</v>
      </c>
      <c r="X19" s="27" t="s">
        <v>365</v>
      </c>
      <c r="Y19" s="27" t="s">
        <v>365</v>
      </c>
      <c r="Z19" s="27" t="s">
        <v>365</v>
      </c>
      <c r="AA19" s="27" t="s">
        <v>365</v>
      </c>
      <c r="AB19" s="27" t="s">
        <v>365</v>
      </c>
      <c r="AC19" s="27" t="s">
        <v>365</v>
      </c>
      <c r="AD19" s="58">
        <f>'Расчет субсидий'!AN19-1</f>
        <v>-0.1547085201793722</v>
      </c>
      <c r="AE19" s="58">
        <f>AD19*'Расчет субсидий'!AO19</f>
        <v>-2.3206278026905829</v>
      </c>
      <c r="AF19" s="53">
        <f t="shared" si="8"/>
        <v>-129.7777962439755</v>
      </c>
      <c r="AG19" s="52">
        <f t="shared" ref="AG19:AG26" si="9">P19+AE19</f>
        <v>3.679372197309418</v>
      </c>
    </row>
    <row r="20" spans="1:33" ht="15" customHeight="1">
      <c r="A20" s="30" t="s">
        <v>388</v>
      </c>
      <c r="B20" s="50">
        <f>'Расчет субсидий'!AT20</f>
        <v>-106.57272727272726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2">
        <f>'Расчет субсидий'!T20-1</f>
        <v>0.25848652159792129</v>
      </c>
      <c r="P20" s="27">
        <f>O20*'Расчет субсидий'!U20</f>
        <v>5.1697304319584259</v>
      </c>
      <c r="Q20" s="53">
        <f t="shared" si="7"/>
        <v>61.185772123462527</v>
      </c>
      <c r="R20" s="27" t="s">
        <v>365</v>
      </c>
      <c r="S20" s="27" t="s">
        <v>365</v>
      </c>
      <c r="T20" s="27" t="s">
        <v>365</v>
      </c>
      <c r="U20" s="27" t="s">
        <v>365</v>
      </c>
      <c r="V20" s="27" t="s">
        <v>365</v>
      </c>
      <c r="W20" s="27" t="s">
        <v>365</v>
      </c>
      <c r="X20" s="27" t="s">
        <v>365</v>
      </c>
      <c r="Y20" s="27" t="s">
        <v>365</v>
      </c>
      <c r="Z20" s="27" t="s">
        <v>365</v>
      </c>
      <c r="AA20" s="27" t="s">
        <v>365</v>
      </c>
      <c r="AB20" s="27" t="s">
        <v>365</v>
      </c>
      <c r="AC20" s="27" t="s">
        <v>365</v>
      </c>
      <c r="AD20" s="58">
        <f>'Расчет субсидий'!AN20-1</f>
        <v>-0.94495412844036697</v>
      </c>
      <c r="AE20" s="58">
        <f>AD20*'Расчет субсидий'!AO20</f>
        <v>-14.174311926605505</v>
      </c>
      <c r="AF20" s="53">
        <f t="shared" si="8"/>
        <v>-167.75849939618979</v>
      </c>
      <c r="AG20" s="52">
        <f t="shared" si="9"/>
        <v>-9.0045814946470788</v>
      </c>
    </row>
    <row r="21" spans="1:33" ht="15" customHeight="1">
      <c r="A21" s="30" t="s">
        <v>389</v>
      </c>
      <c r="B21" s="50">
        <f>'Расчет субсидий'!AT21</f>
        <v>-85.21818181818179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2">
        <f>'Расчет субсидий'!T21-1</f>
        <v>0.26012374323279186</v>
      </c>
      <c r="P21" s="27">
        <f>O21*'Расчет субсидий'!U21</f>
        <v>5.2024748646558372</v>
      </c>
      <c r="Q21" s="53">
        <f t="shared" si="7"/>
        <v>52.270604343969282</v>
      </c>
      <c r="R21" s="27" t="s">
        <v>365</v>
      </c>
      <c r="S21" s="27" t="s">
        <v>365</v>
      </c>
      <c r="T21" s="27" t="s">
        <v>365</v>
      </c>
      <c r="U21" s="27" t="s">
        <v>365</v>
      </c>
      <c r="V21" s="27" t="s">
        <v>365</v>
      </c>
      <c r="W21" s="27" t="s">
        <v>365</v>
      </c>
      <c r="X21" s="27" t="s">
        <v>365</v>
      </c>
      <c r="Y21" s="27" t="s">
        <v>365</v>
      </c>
      <c r="Z21" s="27" t="s">
        <v>365</v>
      </c>
      <c r="AA21" s="27" t="s">
        <v>365</v>
      </c>
      <c r="AB21" s="27" t="s">
        <v>365</v>
      </c>
      <c r="AC21" s="27" t="s">
        <v>365</v>
      </c>
      <c r="AD21" s="58">
        <f>'Расчет субсидий'!AN21-1</f>
        <v>-0.91228070175438591</v>
      </c>
      <c r="AE21" s="58">
        <f>AD21*'Расчет субсидий'!AO21</f>
        <v>-13.684210526315789</v>
      </c>
      <c r="AF21" s="53">
        <f t="shared" si="8"/>
        <v>-137.48878616215106</v>
      </c>
      <c r="AG21" s="52">
        <f t="shared" si="9"/>
        <v>-8.4817356616599522</v>
      </c>
    </row>
    <row r="22" spans="1:33" ht="15" customHeight="1">
      <c r="A22" s="30" t="s">
        <v>390</v>
      </c>
      <c r="B22" s="50">
        <f>'Расчет субсидий'!AT22</f>
        <v>27.590909090909065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2">
        <f>'Расчет субсидий'!T22-1</f>
        <v>0.30000000000000004</v>
      </c>
      <c r="P22" s="27">
        <f>O22*'Расчет субсидий'!U22</f>
        <v>6.0000000000000009</v>
      </c>
      <c r="Q22" s="53">
        <f t="shared" si="7"/>
        <v>48.137330754351986</v>
      </c>
      <c r="R22" s="27" t="s">
        <v>365</v>
      </c>
      <c r="S22" s="27" t="s">
        <v>365</v>
      </c>
      <c r="T22" s="27" t="s">
        <v>365</v>
      </c>
      <c r="U22" s="27" t="s">
        <v>365</v>
      </c>
      <c r="V22" s="27" t="s">
        <v>365</v>
      </c>
      <c r="W22" s="27" t="s">
        <v>365</v>
      </c>
      <c r="X22" s="27" t="s">
        <v>365</v>
      </c>
      <c r="Y22" s="27" t="s">
        <v>365</v>
      </c>
      <c r="Z22" s="27" t="s">
        <v>365</v>
      </c>
      <c r="AA22" s="27" t="s">
        <v>365</v>
      </c>
      <c r="AB22" s="27" t="s">
        <v>365</v>
      </c>
      <c r="AC22" s="27" t="s">
        <v>365</v>
      </c>
      <c r="AD22" s="58">
        <f>'Расчет субсидий'!AN22-1</f>
        <v>-0.17073170731707321</v>
      </c>
      <c r="AE22" s="58">
        <f>AD22*'Расчет субсидий'!AO22</f>
        <v>-2.5609756097560981</v>
      </c>
      <c r="AF22" s="53">
        <f t="shared" si="8"/>
        <v>-20.546421663442924</v>
      </c>
      <c r="AG22" s="52">
        <f t="shared" si="9"/>
        <v>3.4390243902439028</v>
      </c>
    </row>
    <row r="23" spans="1:33" ht="15" customHeight="1">
      <c r="A23" s="30" t="s">
        <v>391</v>
      </c>
      <c r="B23" s="50">
        <f>'Расчет субсидий'!AT23</f>
        <v>-40.672727272727229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2">
        <f>'Расчет субсидий'!T23-1</f>
        <v>0.30000000000000004</v>
      </c>
      <c r="P23" s="27">
        <f>O23*'Расчет субсидий'!U23</f>
        <v>6.0000000000000009</v>
      </c>
      <c r="Q23" s="53">
        <f t="shared" si="7"/>
        <v>79.685343228200267</v>
      </c>
      <c r="R23" s="27" t="s">
        <v>365</v>
      </c>
      <c r="S23" s="27" t="s">
        <v>365</v>
      </c>
      <c r="T23" s="27" t="s">
        <v>365</v>
      </c>
      <c r="U23" s="27" t="s">
        <v>365</v>
      </c>
      <c r="V23" s="27" t="s">
        <v>365</v>
      </c>
      <c r="W23" s="27" t="s">
        <v>365</v>
      </c>
      <c r="X23" s="27" t="s">
        <v>365</v>
      </c>
      <c r="Y23" s="27" t="s">
        <v>365</v>
      </c>
      <c r="Z23" s="27" t="s">
        <v>365</v>
      </c>
      <c r="AA23" s="27" t="s">
        <v>365</v>
      </c>
      <c r="AB23" s="27" t="s">
        <v>365</v>
      </c>
      <c r="AC23" s="27" t="s">
        <v>365</v>
      </c>
      <c r="AD23" s="58">
        <f>'Расчет субсидий'!AN23-1</f>
        <v>-0.60416666666666674</v>
      </c>
      <c r="AE23" s="58">
        <f>AD23*'Расчет субсидий'!AO23</f>
        <v>-9.0625000000000018</v>
      </c>
      <c r="AF23" s="53">
        <f t="shared" si="8"/>
        <v>-120.35807050092751</v>
      </c>
      <c r="AG23" s="52">
        <f t="shared" si="9"/>
        <v>-3.0625000000000009</v>
      </c>
    </row>
    <row r="24" spans="1:33" ht="15" customHeight="1">
      <c r="A24" s="30" t="s">
        <v>392</v>
      </c>
      <c r="B24" s="50">
        <f>'Расчет субсидий'!AT24</f>
        <v>-181.90000000000009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2">
        <f>'Расчет субсидий'!T24-1</f>
        <v>0.30000000000000004</v>
      </c>
      <c r="P24" s="27">
        <f>O24*'Расчет субсидий'!U24</f>
        <v>6.0000000000000009</v>
      </c>
      <c r="Q24" s="53">
        <f t="shared" si="7"/>
        <v>377.49958158995861</v>
      </c>
      <c r="R24" s="27" t="s">
        <v>365</v>
      </c>
      <c r="S24" s="27" t="s">
        <v>365</v>
      </c>
      <c r="T24" s="27" t="s">
        <v>365</v>
      </c>
      <c r="U24" s="27" t="s">
        <v>365</v>
      </c>
      <c r="V24" s="27" t="s">
        <v>365</v>
      </c>
      <c r="W24" s="27" t="s">
        <v>365</v>
      </c>
      <c r="X24" s="27" t="s">
        <v>365</v>
      </c>
      <c r="Y24" s="27" t="s">
        <v>365</v>
      </c>
      <c r="Z24" s="27" t="s">
        <v>365</v>
      </c>
      <c r="AA24" s="27" t="s">
        <v>365</v>
      </c>
      <c r="AB24" s="27" t="s">
        <v>365</v>
      </c>
      <c r="AC24" s="27" t="s">
        <v>365</v>
      </c>
      <c r="AD24" s="58">
        <f>'Расчет субсидий'!AN24-1</f>
        <v>-0.592741935483871</v>
      </c>
      <c r="AE24" s="58">
        <f>AD24*'Расчет субсидий'!AO24</f>
        <v>-8.8911290322580641</v>
      </c>
      <c r="AF24" s="53">
        <f t="shared" si="8"/>
        <v>-559.39958158995864</v>
      </c>
      <c r="AG24" s="52">
        <f t="shared" si="9"/>
        <v>-2.8911290322580632</v>
      </c>
    </row>
    <row r="25" spans="1:33" ht="15" customHeight="1">
      <c r="A25" s="30" t="s">
        <v>394</v>
      </c>
      <c r="B25" s="50">
        <f>'Расчет субсидий'!AT25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2">
        <f>'Расчет субсидий'!T25-1</f>
        <v>0.30000000000000004</v>
      </c>
      <c r="P25" s="27">
        <f>O25*'Расчет субсидий'!U25</f>
        <v>6.0000000000000009</v>
      </c>
      <c r="Q25" s="53">
        <f t="shared" si="7"/>
        <v>0</v>
      </c>
      <c r="R25" s="27" t="s">
        <v>365</v>
      </c>
      <c r="S25" s="27" t="s">
        <v>365</v>
      </c>
      <c r="T25" s="27" t="s">
        <v>365</v>
      </c>
      <c r="U25" s="27" t="s">
        <v>365</v>
      </c>
      <c r="V25" s="27" t="s">
        <v>365</v>
      </c>
      <c r="W25" s="27" t="s">
        <v>365</v>
      </c>
      <c r="X25" s="27" t="s">
        <v>365</v>
      </c>
      <c r="Y25" s="27" t="s">
        <v>365</v>
      </c>
      <c r="Z25" s="27" t="s">
        <v>365</v>
      </c>
      <c r="AA25" s="27" t="s">
        <v>365</v>
      </c>
      <c r="AB25" s="27" t="s">
        <v>365</v>
      </c>
      <c r="AC25" s="27" t="s">
        <v>365</v>
      </c>
      <c r="AD25" s="58">
        <f>'Расчет субсидий'!AN25-1</f>
        <v>0.20857142857142863</v>
      </c>
      <c r="AE25" s="58">
        <f>AD25*'Расчет субсидий'!AO25</f>
        <v>3.1285714285714294</v>
      </c>
      <c r="AF25" s="53">
        <f t="shared" si="8"/>
        <v>0</v>
      </c>
      <c r="AG25" s="52">
        <f t="shared" si="9"/>
        <v>9.1285714285714299</v>
      </c>
    </row>
    <row r="26" spans="1:33" ht="15" customHeight="1">
      <c r="A26" s="30" t="s">
        <v>393</v>
      </c>
      <c r="B26" s="50">
        <f>'Расчет субсидий'!AT26</f>
        <v>419.30909090909108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2">
        <f>'Расчет субсидий'!T26-1</f>
        <v>0.30000000000000004</v>
      </c>
      <c r="P26" s="27">
        <f>O26*'Расчет субсидий'!U26</f>
        <v>6.0000000000000009</v>
      </c>
      <c r="Q26" s="53">
        <f t="shared" si="7"/>
        <v>247.56256289835645</v>
      </c>
      <c r="R26" s="27" t="s">
        <v>365</v>
      </c>
      <c r="S26" s="27" t="s">
        <v>365</v>
      </c>
      <c r="T26" s="27" t="s">
        <v>365</v>
      </c>
      <c r="U26" s="27" t="s">
        <v>365</v>
      </c>
      <c r="V26" s="27" t="s">
        <v>365</v>
      </c>
      <c r="W26" s="27" t="s">
        <v>365</v>
      </c>
      <c r="X26" s="27" t="s">
        <v>365</v>
      </c>
      <c r="Y26" s="27" t="s">
        <v>365</v>
      </c>
      <c r="Z26" s="27" t="s">
        <v>365</v>
      </c>
      <c r="AA26" s="27" t="s">
        <v>365</v>
      </c>
      <c r="AB26" s="27" t="s">
        <v>365</v>
      </c>
      <c r="AC26" s="27" t="s">
        <v>365</v>
      </c>
      <c r="AD26" s="58">
        <f>'Расчет субсидий'!AN26-1</f>
        <v>0.27749999999999986</v>
      </c>
      <c r="AE26" s="58">
        <f>AD26*'Расчет субсидий'!AO26</f>
        <v>4.1624999999999979</v>
      </c>
      <c r="AF26" s="53">
        <f t="shared" si="8"/>
        <v>171.74652801073466</v>
      </c>
      <c r="AG26" s="52">
        <f t="shared" si="9"/>
        <v>10.162499999999998</v>
      </c>
    </row>
    <row r="27" spans="1:33" ht="15" customHeight="1">
      <c r="A27" s="29" t="s">
        <v>18</v>
      </c>
      <c r="B27" s="49">
        <f>'Расчет субсидий'!AT27</f>
        <v>10891.218181818185</v>
      </c>
      <c r="C27" s="49"/>
      <c r="D27" s="49"/>
      <c r="E27" s="49">
        <f>SUM(E28:E54)</f>
        <v>320.49439844243591</v>
      </c>
      <c r="F27" s="49"/>
      <c r="G27" s="49"/>
      <c r="H27" s="49">
        <f>SUM(H28:H54)</f>
        <v>5.4225064543586274</v>
      </c>
      <c r="I27" s="49"/>
      <c r="J27" s="49"/>
      <c r="K27" s="49">
        <f>SUM(K28:K54)</f>
        <v>2257.4650759462243</v>
      </c>
      <c r="L27" s="49"/>
      <c r="M27" s="49"/>
      <c r="N27" s="49">
        <f>SUM(N28:N54)</f>
        <v>2418.9782722478112</v>
      </c>
      <c r="O27" s="49"/>
      <c r="P27" s="49"/>
      <c r="Q27" s="49"/>
      <c r="R27" s="49"/>
      <c r="S27" s="49"/>
      <c r="T27" s="49">
        <f>SUM(T28:T54)</f>
        <v>263.46580694160207</v>
      </c>
      <c r="U27" s="49"/>
      <c r="V27" s="49"/>
      <c r="W27" s="49">
        <f>SUM(W28:W54)</f>
        <v>684.40015077254691</v>
      </c>
      <c r="X27" s="49"/>
      <c r="Y27" s="49"/>
      <c r="Z27" s="49">
        <f>SUM(Z28:Z54)</f>
        <v>1755.9185985228078</v>
      </c>
      <c r="AA27" s="49"/>
      <c r="AB27" s="49"/>
      <c r="AC27" s="49">
        <f>SUM(AC28:AC54)</f>
        <v>2797.1483393463113</v>
      </c>
      <c r="AD27" s="49"/>
      <c r="AE27" s="49"/>
      <c r="AF27" s="49">
        <f>SUM(AF28:AF54)</f>
        <v>387.92503314408975</v>
      </c>
      <c r="AG27" s="49"/>
    </row>
    <row r="28" spans="1:33" ht="15" customHeight="1">
      <c r="A28" s="30" t="s">
        <v>0</v>
      </c>
      <c r="B28" s="50">
        <f>'Расчет субсидий'!AT28</f>
        <v>-937.44545454545369</v>
      </c>
      <c r="C28" s="52">
        <f>'Расчет субсидий'!D28-1</f>
        <v>3.7603682217001388E-2</v>
      </c>
      <c r="D28" s="52">
        <f>C28*'Расчет субсидий'!E28</f>
        <v>0.18801841108500694</v>
      </c>
      <c r="E28" s="53">
        <f t="shared" ref="E28:E54" si="10">$B28*D28/$AG28</f>
        <v>12.517583314662218</v>
      </c>
      <c r="F28" s="58">
        <f>'Расчет субсидий'!H28-1</f>
        <v>3.8572806171649043E-2</v>
      </c>
      <c r="G28" s="58">
        <f>F28*'Расчет субсидий'!I28</f>
        <v>0.19286403085824522</v>
      </c>
      <c r="H28" s="53">
        <f t="shared" ref="H28:H54" si="11">$B28*G28/$AG28</f>
        <v>12.840187089859857</v>
      </c>
      <c r="I28" s="52">
        <f>'Расчет субсидий'!L28-1</f>
        <v>-3.0303030303030276E-2</v>
      </c>
      <c r="J28" s="52">
        <f>I28*'Расчет субсидий'!M28</f>
        <v>-0.45454545454545414</v>
      </c>
      <c r="K28" s="53">
        <f t="shared" ref="K28:K54" si="12">$B28*J28/$AG28</f>
        <v>-30.261986391328726</v>
      </c>
      <c r="L28" s="52">
        <f>'Расчет субсидий'!P28-1</f>
        <v>0.15471324983520107</v>
      </c>
      <c r="M28" s="52">
        <f>L28*'Расчет субсидий'!Q28</f>
        <v>3.0942649967040214</v>
      </c>
      <c r="N28" s="53">
        <f t="shared" ref="N28:N54" si="13">$B28*M28/$AG28</f>
        <v>206.0049314871284</v>
      </c>
      <c r="O28" s="27" t="s">
        <v>365</v>
      </c>
      <c r="P28" s="27" t="s">
        <v>365</v>
      </c>
      <c r="Q28" s="27" t="s">
        <v>365</v>
      </c>
      <c r="R28" s="58">
        <f>'Расчет субсидий'!X28-1</f>
        <v>2.1810699588478144E-3</v>
      </c>
      <c r="S28" s="58">
        <f>R28*'Расчет субсидий'!Y28</f>
        <v>1.0905349794239072E-2</v>
      </c>
      <c r="T28" s="53">
        <f t="shared" ref="T28:T54" si="14">$B28*S28/$AG28</f>
        <v>0.72603860354507377</v>
      </c>
      <c r="U28" s="52">
        <f>'Расчет субсидий'!AB28-1</f>
        <v>3.9140811455847357E-2</v>
      </c>
      <c r="V28" s="52">
        <f>U28*'Расчет субсидий'!AC28</f>
        <v>0.58711217183771036</v>
      </c>
      <c r="W28" s="53">
        <f t="shared" ref="W28:W54" si="15">$B28*V28/$AG28</f>
        <v>39.087797219539773</v>
      </c>
      <c r="X28" s="52">
        <f>'Расчет субсидий'!AF28-1</f>
        <v>3.0274914089347016E-2</v>
      </c>
      <c r="Y28" s="52">
        <f>X28*'Расчет субсидий'!AG28</f>
        <v>0.30274914089347016</v>
      </c>
      <c r="Z28" s="53">
        <f t="shared" ref="Z28:Z54" si="16">$B28*Y28/$AG28</f>
        <v>20.155938839750263</v>
      </c>
      <c r="AA28" s="52">
        <f>'Расчет субсидий'!AJ28-1</f>
        <v>-0.38381877022653721</v>
      </c>
      <c r="AB28" s="52">
        <f>AA28*'Расчет субсидий'!AK28</f>
        <v>-3.8381877022653721</v>
      </c>
      <c r="AC28" s="53">
        <f t="shared" ref="AC28:AC54" si="17">$B28*AB28/$AG28</f>
        <v>-255.53260482930415</v>
      </c>
      <c r="AD28" s="58">
        <f>'Расчет субсидий'!AN28-1</f>
        <v>-0.94426229508196724</v>
      </c>
      <c r="AE28" s="58">
        <f>AD28*'Расчет субсидий'!AO28</f>
        <v>-14.163934426229508</v>
      </c>
      <c r="AF28" s="53">
        <f t="shared" ref="AF28:AF54" si="18">$B28*AE28/$AG28</f>
        <v>-942.98333987930641</v>
      </c>
      <c r="AG28" s="52">
        <f>D28+G28+J28+M28+S28+V28+Y28+AB28+AE28</f>
        <v>-14.080753481867641</v>
      </c>
    </row>
    <row r="29" spans="1:33" ht="15" customHeight="1">
      <c r="A29" s="30" t="s">
        <v>19</v>
      </c>
      <c r="B29" s="50">
        <f>'Расчет субсидий'!AT29</f>
        <v>683.21818181818162</v>
      </c>
      <c r="C29" s="52">
        <f>'Расчет субсидий'!D29-1</f>
        <v>-0.12555209719762273</v>
      </c>
      <c r="D29" s="52">
        <f>C29*'Расчет субсидий'!E29</f>
        <v>-0.62776048598811363</v>
      </c>
      <c r="E29" s="53">
        <f t="shared" si="10"/>
        <v>-65.118796665903446</v>
      </c>
      <c r="F29" s="58">
        <f>'Расчет субсидий'!H29-1</f>
        <v>1.9138755980861344E-2</v>
      </c>
      <c r="G29" s="58">
        <f>F29*'Расчет субсидий'!I29</f>
        <v>9.5693779904306719E-2</v>
      </c>
      <c r="H29" s="53">
        <f t="shared" si="11"/>
        <v>9.9264989352933828</v>
      </c>
      <c r="I29" s="52">
        <f>'Расчет субсидий'!L29-1</f>
        <v>0.21888888888888891</v>
      </c>
      <c r="J29" s="52">
        <f>I29*'Расчет субсидий'!M29</f>
        <v>1.0944444444444446</v>
      </c>
      <c r="K29" s="53">
        <f t="shared" si="12"/>
        <v>113.52881685078677</v>
      </c>
      <c r="L29" s="52">
        <f>'Расчет субсидий'!P29-1</f>
        <v>5.6093241716707487E-2</v>
      </c>
      <c r="M29" s="52">
        <f>L29*'Расчет субсидий'!Q29</f>
        <v>1.1218648343341497</v>
      </c>
      <c r="N29" s="53">
        <f t="shared" si="13"/>
        <v>116.37318637321211</v>
      </c>
      <c r="O29" s="27" t="s">
        <v>365</v>
      </c>
      <c r="P29" s="27" t="s">
        <v>365</v>
      </c>
      <c r="Q29" s="27" t="s">
        <v>365</v>
      </c>
      <c r="R29" s="58">
        <f>'Расчет субсидий'!X29-1</f>
        <v>6.7500442558882989E-2</v>
      </c>
      <c r="S29" s="58">
        <f>R29*'Расчет субсидий'!Y29</f>
        <v>0.33750221279441495</v>
      </c>
      <c r="T29" s="53">
        <f t="shared" si="14"/>
        <v>35.009750469812346</v>
      </c>
      <c r="U29" s="52">
        <f>'Расчет субсидий'!AB29-1</f>
        <v>1.8073667353008416E-2</v>
      </c>
      <c r="V29" s="52">
        <f>U29*'Расчет субсидий'!AC29</f>
        <v>0.36147334706016832</v>
      </c>
      <c r="W29" s="53">
        <f t="shared" si="15"/>
        <v>37.496322104925135</v>
      </c>
      <c r="X29" s="52">
        <f>'Расчет субсидий'!AF29-1</f>
        <v>5.3977528089887539E-2</v>
      </c>
      <c r="Y29" s="52">
        <f>X29*'Расчет субсидий'!AG29</f>
        <v>0.80966292134831308</v>
      </c>
      <c r="Z29" s="53">
        <f t="shared" si="16"/>
        <v>83.987884424124928</v>
      </c>
      <c r="AA29" s="52">
        <f>'Расчет субсидий'!AJ29-1</f>
        <v>-3.1463414634146258E-2</v>
      </c>
      <c r="AB29" s="52">
        <f>AA29*'Расчет субсидий'!AK29</f>
        <v>-0.15731707317073129</v>
      </c>
      <c r="AC29" s="53">
        <f t="shared" si="17"/>
        <v>-16.318801085027001</v>
      </c>
      <c r="AD29" s="58">
        <f>'Расчет субсидий'!AN29-1</f>
        <v>0.23672131147540987</v>
      </c>
      <c r="AE29" s="58">
        <f>AD29*'Расчет субсидий'!AO29</f>
        <v>3.5508196721311478</v>
      </c>
      <c r="AF29" s="53">
        <f t="shared" si="18"/>
        <v>368.33332041095736</v>
      </c>
      <c r="AG29" s="52">
        <f t="shared" ref="AG29:AG54" si="19">D29+G29+J29+M29+S29+V29+Y29+AB29+AE29</f>
        <v>6.5863836528581006</v>
      </c>
    </row>
    <row r="30" spans="1:33" ht="15" customHeight="1">
      <c r="A30" s="30" t="s">
        <v>20</v>
      </c>
      <c r="B30" s="50">
        <f>'Расчет субсидий'!AT30</f>
        <v>529.61818181818217</v>
      </c>
      <c r="C30" s="52">
        <f>'Расчет субсидий'!D30-1</f>
        <v>0.21968077558454757</v>
      </c>
      <c r="D30" s="52">
        <f>C30*'Расчет субсидий'!E30</f>
        <v>1.0984038779227379</v>
      </c>
      <c r="E30" s="53">
        <f t="shared" si="10"/>
        <v>69.286020682454748</v>
      </c>
      <c r="F30" s="58">
        <f>'Расчет субсидий'!H30-1</f>
        <v>-3.5747883349012244E-2</v>
      </c>
      <c r="G30" s="58">
        <f>F30*'Расчет субсидий'!I30</f>
        <v>-0.17873941674506122</v>
      </c>
      <c r="H30" s="53">
        <f t="shared" si="11"/>
        <v>-11.27467152500286</v>
      </c>
      <c r="I30" s="52">
        <f>'Расчет субсидий'!L30-1</f>
        <v>4.0000000000000036E-2</v>
      </c>
      <c r="J30" s="52">
        <f>I30*'Расчет субсидий'!M30</f>
        <v>0.40000000000000036</v>
      </c>
      <c r="K30" s="53">
        <f t="shared" si="12"/>
        <v>25.231528065427465</v>
      </c>
      <c r="L30" s="52">
        <f>'Расчет субсидий'!P30-1</f>
        <v>0.20810955555954913</v>
      </c>
      <c r="M30" s="52">
        <f>L30*'Расчет субсидий'!Q30</f>
        <v>4.1621911111909826</v>
      </c>
      <c r="N30" s="53">
        <f t="shared" si="13"/>
        <v>262.54610458921979</v>
      </c>
      <c r="O30" s="27" t="s">
        <v>365</v>
      </c>
      <c r="P30" s="27" t="s">
        <v>365</v>
      </c>
      <c r="Q30" s="27" t="s">
        <v>365</v>
      </c>
      <c r="R30" s="58">
        <f>'Расчет субсидий'!X30-1</f>
        <v>7.1730019995970284E-3</v>
      </c>
      <c r="S30" s="58">
        <f>R30*'Расчет субсидий'!Y30</f>
        <v>3.5865009997985142E-2</v>
      </c>
      <c r="T30" s="53">
        <f t="shared" si="14"/>
        <v>2.2623225158274951</v>
      </c>
      <c r="U30" s="52">
        <f>'Расчет субсидий'!AB30-1</f>
        <v>0</v>
      </c>
      <c r="V30" s="52">
        <f>U30*'Расчет субсидий'!AC30</f>
        <v>0</v>
      </c>
      <c r="W30" s="53">
        <f t="shared" si="15"/>
        <v>0</v>
      </c>
      <c r="X30" s="52">
        <f>'Расчет субсидий'!AF30-1</f>
        <v>8.1891891891892055E-3</v>
      </c>
      <c r="Y30" s="52">
        <f>X30*'Расчет субсидий'!AG30</f>
        <v>0.16378378378378411</v>
      </c>
      <c r="Z30" s="53">
        <f t="shared" si="16"/>
        <v>10.331287843006121</v>
      </c>
      <c r="AA30" s="52">
        <f>'Расчет субсидий'!AJ30-1</f>
        <v>-8.0680772769089248E-2</v>
      </c>
      <c r="AB30" s="52">
        <f>AA30*'Расчет субсидий'!AK30</f>
        <v>-0.40340386384544624</v>
      </c>
      <c r="AC30" s="53">
        <f t="shared" si="17"/>
        <v>-25.446239780795619</v>
      </c>
      <c r="AD30" s="58">
        <f>'Расчет субсидий'!AN30-1</f>
        <v>0.20786885245901643</v>
      </c>
      <c r="AE30" s="58">
        <f>AD30*'Расчет субсидий'!AO30</f>
        <v>3.1180327868852462</v>
      </c>
      <c r="AF30" s="53">
        <f t="shared" si="18"/>
        <v>196.68182942804509</v>
      </c>
      <c r="AG30" s="52">
        <f t="shared" si="19"/>
        <v>8.3961332891902281</v>
      </c>
    </row>
    <row r="31" spans="1:33" ht="15" customHeight="1">
      <c r="A31" s="30" t="s">
        <v>21</v>
      </c>
      <c r="B31" s="50">
        <f>'Расчет субсидий'!AT31</f>
        <v>-2.3454545454542313</v>
      </c>
      <c r="C31" s="52">
        <f>'Расчет субсидий'!D31-1</f>
        <v>4.1276856571391685E-2</v>
      </c>
      <c r="D31" s="52">
        <f>C31*'Расчет субсидий'!E31</f>
        <v>0.20638428285695842</v>
      </c>
      <c r="E31" s="53">
        <f t="shared" si="10"/>
        <v>17.790210045712772</v>
      </c>
      <c r="F31" s="58">
        <f>'Расчет субсидий'!H31-1</f>
        <v>-8.716026241799435E-2</v>
      </c>
      <c r="G31" s="58">
        <f>F31*'Расчет субсидий'!I31</f>
        <v>-0.43580131208997175</v>
      </c>
      <c r="H31" s="53">
        <f t="shared" si="11"/>
        <v>-37.565829979656442</v>
      </c>
      <c r="I31" s="52">
        <f>'Расчет субсидий'!L31-1</f>
        <v>6.1452513966480549E-2</v>
      </c>
      <c r="J31" s="52">
        <f>I31*'Расчет субсидий'!M31</f>
        <v>0.61452513966480549</v>
      </c>
      <c r="K31" s="53">
        <f t="shared" si="12"/>
        <v>52.971724211116538</v>
      </c>
      <c r="L31" s="52">
        <f>'Расчет субсидий'!P31-1</f>
        <v>0.2101254813024136</v>
      </c>
      <c r="M31" s="52">
        <f>L31*'Расчет субсидий'!Q31</f>
        <v>4.2025096260482719</v>
      </c>
      <c r="N31" s="53">
        <f t="shared" si="13"/>
        <v>362.25398529182564</v>
      </c>
      <c r="O31" s="27" t="s">
        <v>365</v>
      </c>
      <c r="P31" s="27" t="s">
        <v>365</v>
      </c>
      <c r="Q31" s="27" t="s">
        <v>365</v>
      </c>
      <c r="R31" s="58">
        <f>'Расчет субсидий'!X31-1</f>
        <v>0.15138080112934538</v>
      </c>
      <c r="S31" s="58">
        <f>R31*'Расчет субсидий'!Y31</f>
        <v>0.75690400564672689</v>
      </c>
      <c r="T31" s="53">
        <f t="shared" si="14"/>
        <v>65.244703029199869</v>
      </c>
      <c r="U31" s="52">
        <f>'Расчет субсидий'!AB31-1</f>
        <v>1.7473684210526308E-2</v>
      </c>
      <c r="V31" s="52">
        <f>U31*'Расчет субсидий'!AC31</f>
        <v>0.26210526315789462</v>
      </c>
      <c r="W31" s="53">
        <f t="shared" si="15"/>
        <v>22.593327462331768</v>
      </c>
      <c r="X31" s="52">
        <f>'Расчет субсидий'!AF31-1</f>
        <v>-2.2800000000000042E-2</v>
      </c>
      <c r="Y31" s="52">
        <f>X31*'Расчет субсидий'!AG31</f>
        <v>-0.22800000000000042</v>
      </c>
      <c r="Z31" s="53">
        <f t="shared" si="16"/>
        <v>-19.65347280458262</v>
      </c>
      <c r="AA31" s="52">
        <f>'Расчет субсидий'!AJ31-1</f>
        <v>0.23646551724137921</v>
      </c>
      <c r="AB31" s="52">
        <f>AA31*'Расчет субсидий'!AK31</f>
        <v>2.3646551724137921</v>
      </c>
      <c r="AC31" s="53">
        <f t="shared" si="17"/>
        <v>203.83195668092108</v>
      </c>
      <c r="AD31" s="58">
        <f>'Расчет субсидий'!AN31-1</f>
        <v>-0.5180327868852459</v>
      </c>
      <c r="AE31" s="58">
        <f>AD31*'Расчет субсидий'!AO31</f>
        <v>-7.7704918032786887</v>
      </c>
      <c r="AF31" s="53">
        <f t="shared" si="18"/>
        <v>-669.81205848232275</v>
      </c>
      <c r="AG31" s="52">
        <f t="shared" si="19"/>
        <v>-2.7209625580211672E-2</v>
      </c>
    </row>
    <row r="32" spans="1:33" ht="15" customHeight="1">
      <c r="A32" s="30" t="s">
        <v>22</v>
      </c>
      <c r="B32" s="50">
        <f>'Расчет субсидий'!AT32</f>
        <v>72.254545454545223</v>
      </c>
      <c r="C32" s="52">
        <f>'Расчет субсидий'!D32-1</f>
        <v>0.18317758235988979</v>
      </c>
      <c r="D32" s="52">
        <f>C32*'Расчет субсидий'!E32</f>
        <v>0.91588791179944895</v>
      </c>
      <c r="E32" s="53">
        <f t="shared" si="10"/>
        <v>90.869177230976277</v>
      </c>
      <c r="F32" s="58">
        <f>'Расчет субсидий'!H32-1</f>
        <v>3.2258064516129004E-2</v>
      </c>
      <c r="G32" s="58">
        <f>F32*'Расчет субсидий'!I32</f>
        <v>0.16129032258064502</v>
      </c>
      <c r="H32" s="53">
        <f t="shared" si="11"/>
        <v>16.002306307795497</v>
      </c>
      <c r="I32" s="52">
        <f>'Расчет субсидий'!L32-1</f>
        <v>0.1178247734138973</v>
      </c>
      <c r="J32" s="52">
        <f>I32*'Расчет субсидий'!M32</f>
        <v>1.178247734138973</v>
      </c>
      <c r="K32" s="53">
        <f t="shared" si="12"/>
        <v>116.8990231185787</v>
      </c>
      <c r="L32" s="52">
        <f>'Расчет субсидий'!P32-1</f>
        <v>9.1292522788602337E-2</v>
      </c>
      <c r="M32" s="52">
        <f>L32*'Расчет субсидий'!Q32</f>
        <v>1.8258504557720467</v>
      </c>
      <c r="N32" s="53">
        <f t="shared" si="13"/>
        <v>181.15047324605246</v>
      </c>
      <c r="O32" s="27" t="s">
        <v>365</v>
      </c>
      <c r="P32" s="27" t="s">
        <v>365</v>
      </c>
      <c r="Q32" s="27" t="s">
        <v>365</v>
      </c>
      <c r="R32" s="58">
        <f>'Расчет субсидий'!X32-1</f>
        <v>0.29104662653849611</v>
      </c>
      <c r="S32" s="58">
        <f>R32*'Расчет субсидий'!Y32</f>
        <v>1.4552331326924806</v>
      </c>
      <c r="T32" s="53">
        <f t="shared" si="14"/>
        <v>144.37993529930699</v>
      </c>
      <c r="U32" s="52">
        <f>'Расчет субсидий'!AB32-1</f>
        <v>1.1203949867071739E-2</v>
      </c>
      <c r="V32" s="52">
        <f>U32*'Расчет субсидий'!AC32</f>
        <v>0.22407899734143477</v>
      </c>
      <c r="W32" s="53">
        <f t="shared" si="15"/>
        <v>22.231840666128278</v>
      </c>
      <c r="X32" s="52">
        <f>'Расчет субсидий'!AF32-1</f>
        <v>4.7587562544674888E-2</v>
      </c>
      <c r="Y32" s="52">
        <f>X32*'Расчет субсидий'!AG32</f>
        <v>0.47587562544674888</v>
      </c>
      <c r="Z32" s="53">
        <f t="shared" si="16"/>
        <v>47.213666641438387</v>
      </c>
      <c r="AA32" s="52">
        <f>'Расчет субсидий'!AJ32-1</f>
        <v>0.30000000000000004</v>
      </c>
      <c r="AB32" s="52">
        <f>AA32*'Расчет субсидий'!AK32</f>
        <v>3.0000000000000004</v>
      </c>
      <c r="AC32" s="53">
        <f t="shared" si="17"/>
        <v>297.64289732499651</v>
      </c>
      <c r="AD32" s="58">
        <f>'Расчет субсидий'!AN32-1</f>
        <v>-0.56721311475409841</v>
      </c>
      <c r="AE32" s="58">
        <f>AD32*'Расчет субсидий'!AO32</f>
        <v>-8.5081967213114762</v>
      </c>
      <c r="AF32" s="53">
        <f t="shared" si="18"/>
        <v>-844.13477438072789</v>
      </c>
      <c r="AG32" s="52">
        <f t="shared" si="19"/>
        <v>0.7282674584603015</v>
      </c>
    </row>
    <row r="33" spans="1:33" ht="15" customHeight="1">
      <c r="A33" s="30" t="s">
        <v>23</v>
      </c>
      <c r="B33" s="50">
        <f>'Расчет субсидий'!AT33</f>
        <v>448.43636363636324</v>
      </c>
      <c r="C33" s="52">
        <f>'Расчет субсидий'!D33-1</f>
        <v>-0.20649753940893179</v>
      </c>
      <c r="D33" s="52">
        <f>C33*'Расчет субсидий'!E33</f>
        <v>-1.032487697044659</v>
      </c>
      <c r="E33" s="53">
        <f t="shared" si="10"/>
        <v>-91.585315107463217</v>
      </c>
      <c r="F33" s="58">
        <f>'Расчет субсидий'!H33-1</f>
        <v>9.0909090909090828E-2</v>
      </c>
      <c r="G33" s="58">
        <f>F33*'Расчет субсидий'!I33</f>
        <v>0.45454545454545414</v>
      </c>
      <c r="H33" s="53">
        <f t="shared" si="11"/>
        <v>40.319791513612458</v>
      </c>
      <c r="I33" s="52">
        <f>'Расчет субсидий'!L33-1</f>
        <v>6.4638783269961975E-2</v>
      </c>
      <c r="J33" s="52">
        <f>I33*'Расчет субсидий'!M33</f>
        <v>0.96958174904942962</v>
      </c>
      <c r="K33" s="53">
        <f t="shared" si="12"/>
        <v>86.00533474956886</v>
      </c>
      <c r="L33" s="52">
        <f>'Расчет субсидий'!P33-1</f>
        <v>0.18432011796487546</v>
      </c>
      <c r="M33" s="52">
        <f>L33*'Расчет субсидий'!Q33</f>
        <v>3.6864023592975093</v>
      </c>
      <c r="N33" s="53">
        <f t="shared" si="13"/>
        <v>326.99694403676256</v>
      </c>
      <c r="O33" s="27" t="s">
        <v>365</v>
      </c>
      <c r="P33" s="27" t="s">
        <v>365</v>
      </c>
      <c r="Q33" s="27" t="s">
        <v>365</v>
      </c>
      <c r="R33" s="58">
        <f>'Расчет субсидий'!X33-1</f>
        <v>-0.10194620085614803</v>
      </c>
      <c r="S33" s="58">
        <f>R33*'Расчет субсидий'!Y33</f>
        <v>-0.50973100428074014</v>
      </c>
      <c r="T33" s="53">
        <f t="shared" si="14"/>
        <v>-45.214945205372274</v>
      </c>
      <c r="U33" s="52">
        <f>'Расчет субсидий'!AB33-1</f>
        <v>0</v>
      </c>
      <c r="V33" s="52">
        <f>U33*'Расчет субсидий'!AC33</f>
        <v>0</v>
      </c>
      <c r="W33" s="53">
        <f t="shared" si="15"/>
        <v>0</v>
      </c>
      <c r="X33" s="52">
        <f>'Расчет субсидий'!AF33-1</f>
        <v>-0.1899862448418157</v>
      </c>
      <c r="Y33" s="52">
        <f>X33*'Расчет субсидий'!AG33</f>
        <v>-1.899862448418157</v>
      </c>
      <c r="Z33" s="53">
        <f t="shared" si="16"/>
        <v>-168.52452721447523</v>
      </c>
      <c r="AA33" s="52">
        <f>'Расчет субсидий'!AJ33-1</f>
        <v>0.2354215215901303</v>
      </c>
      <c r="AB33" s="52">
        <f>AA33*'Расчет субсидий'!AK33</f>
        <v>2.354215215901303</v>
      </c>
      <c r="AC33" s="53">
        <f t="shared" si="17"/>
        <v>208.82722670329247</v>
      </c>
      <c r="AD33" s="58">
        <f>'Расчет субсидий'!AN33-1</f>
        <v>6.8852459016393475E-2</v>
      </c>
      <c r="AE33" s="58">
        <f>AD33*'Расчет субсидий'!AO33</f>
        <v>1.0327868852459021</v>
      </c>
      <c r="AF33" s="53">
        <f t="shared" si="18"/>
        <v>91.611854160437616</v>
      </c>
      <c r="AG33" s="52">
        <f t="shared" si="19"/>
        <v>5.0554505142960418</v>
      </c>
    </row>
    <row r="34" spans="1:33" ht="15" customHeight="1">
      <c r="A34" s="30" t="s">
        <v>24</v>
      </c>
      <c r="B34" s="50">
        <f>'Расчет субсидий'!AT34</f>
        <v>-676.89999999999964</v>
      </c>
      <c r="C34" s="52">
        <f>'Расчет субсидий'!D34-1</f>
        <v>0.11056558589263332</v>
      </c>
      <c r="D34" s="52">
        <f>C34*'Расчет субсидий'!E34</f>
        <v>0.55282792946316661</v>
      </c>
      <c r="E34" s="53">
        <f t="shared" si="10"/>
        <v>39.1712864998822</v>
      </c>
      <c r="F34" s="58">
        <f>'Расчет субсидий'!H34-1</f>
        <v>-5.6603773584905648E-3</v>
      </c>
      <c r="G34" s="58">
        <f>F34*'Расчет субсидий'!I34</f>
        <v>-2.8301886792452824E-2</v>
      </c>
      <c r="H34" s="53">
        <f t="shared" si="11"/>
        <v>-2.005364159352347</v>
      </c>
      <c r="I34" s="52">
        <f>'Расчет субсидий'!L34-1</f>
        <v>0.14035087719298245</v>
      </c>
      <c r="J34" s="52">
        <f>I34*'Расчет субсидий'!M34</f>
        <v>0.70175438596491224</v>
      </c>
      <c r="K34" s="53">
        <f t="shared" si="12"/>
        <v>49.723649331309666</v>
      </c>
      <c r="L34" s="52">
        <f>'Расчет субсидий'!P34-1</f>
        <v>-6.675897532820485E-2</v>
      </c>
      <c r="M34" s="52">
        <f>L34*'Расчет субсидий'!Q34</f>
        <v>-1.335179506564097</v>
      </c>
      <c r="N34" s="53">
        <f t="shared" si="13"/>
        <v>-94.605746549710531</v>
      </c>
      <c r="O34" s="27" t="s">
        <v>365</v>
      </c>
      <c r="P34" s="27" t="s">
        <v>365</v>
      </c>
      <c r="Q34" s="27" t="s">
        <v>365</v>
      </c>
      <c r="R34" s="58">
        <f>'Расчет субсидий'!X34-1</f>
        <v>-5.6210896767461271E-4</v>
      </c>
      <c r="S34" s="58">
        <f>R34*'Расчет субсидий'!Y34</f>
        <v>-5.6210896767461271E-3</v>
      </c>
      <c r="T34" s="53">
        <f t="shared" si="14"/>
        <v>-0.39828905602357617</v>
      </c>
      <c r="U34" s="52">
        <f>'Расчет субсидий'!AB34-1</f>
        <v>-4.5676651795198642E-2</v>
      </c>
      <c r="V34" s="52">
        <f>U34*'Расчет субсидий'!AC34</f>
        <v>-0.91353303590397283</v>
      </c>
      <c r="W34" s="53">
        <f t="shared" si="15"/>
        <v>-64.729479770044605</v>
      </c>
      <c r="X34" s="52">
        <f>'Расчет субсидий'!AF34-1</f>
        <v>0.14358662613981776</v>
      </c>
      <c r="Y34" s="52">
        <f>X34*'Расчет субсидий'!AG34</f>
        <v>2.1537993920972665</v>
      </c>
      <c r="Z34" s="53">
        <f t="shared" si="16"/>
        <v>152.61004112625119</v>
      </c>
      <c r="AA34" s="52">
        <f>'Расчет субсидий'!AJ34-1</f>
        <v>0.17637254901960797</v>
      </c>
      <c r="AB34" s="52">
        <f>AA34*'Расчет субсидий'!AK34</f>
        <v>1.7637254901960797</v>
      </c>
      <c r="AC34" s="53">
        <f t="shared" si="17"/>
        <v>124.97088660246301</v>
      </c>
      <c r="AD34" s="58">
        <f>'Расчет субсидий'!AN34-1</f>
        <v>-0.82950819672131149</v>
      </c>
      <c r="AE34" s="58">
        <f>AD34*'Расчет субсидий'!AO34</f>
        <v>-12.442622950819672</v>
      </c>
      <c r="AF34" s="53">
        <f t="shared" si="18"/>
        <v>-881.63698402477473</v>
      </c>
      <c r="AG34" s="52">
        <f t="shared" si="19"/>
        <v>-9.5531512720355156</v>
      </c>
    </row>
    <row r="35" spans="1:33" ht="15" customHeight="1">
      <c r="A35" s="30" t="s">
        <v>25</v>
      </c>
      <c r="B35" s="50">
        <f>'Расчет субсидий'!AT35</f>
        <v>-71.181818181818016</v>
      </c>
      <c r="C35" s="52">
        <f>'Расчет субсидий'!D35-1</f>
        <v>0.243577697270279</v>
      </c>
      <c r="D35" s="52">
        <f>C35*'Расчет субсидий'!E35</f>
        <v>1.217888486351395</v>
      </c>
      <c r="E35" s="53">
        <f t="shared" si="10"/>
        <v>60.894290017006377</v>
      </c>
      <c r="F35" s="58">
        <f>'Расчет субсидий'!H35-1</f>
        <v>-2.2115384615384537E-2</v>
      </c>
      <c r="G35" s="58">
        <f>F35*'Расчет субсидий'!I35</f>
        <v>-0.11057692307692268</v>
      </c>
      <c r="H35" s="53">
        <f t="shared" si="11"/>
        <v>-5.5288339601656524</v>
      </c>
      <c r="I35" s="52">
        <f>'Расчет субсидий'!L35-1</f>
        <v>4.9382716049382713E-2</v>
      </c>
      <c r="J35" s="52">
        <f>I35*'Расчет субсидий'!M35</f>
        <v>0.49382716049382713</v>
      </c>
      <c r="K35" s="53">
        <f t="shared" si="12"/>
        <v>24.691303568748467</v>
      </c>
      <c r="L35" s="52">
        <f>'Расчет субсидий'!P35-1</f>
        <v>-0.12360439838753945</v>
      </c>
      <c r="M35" s="52">
        <f>L35*'Расчет субсидий'!Q35</f>
        <v>-2.472087967750789</v>
      </c>
      <c r="N35" s="53">
        <f t="shared" si="13"/>
        <v>-123.60412578228002</v>
      </c>
      <c r="O35" s="27" t="s">
        <v>365</v>
      </c>
      <c r="P35" s="27" t="s">
        <v>365</v>
      </c>
      <c r="Q35" s="27" t="s">
        <v>365</v>
      </c>
      <c r="R35" s="58">
        <f>'Расчет субсидий'!X35-1</f>
        <v>2.7666666666666728E-2</v>
      </c>
      <c r="S35" s="58">
        <f>R35*'Расчет субсидий'!Y35</f>
        <v>0.13833333333333364</v>
      </c>
      <c r="T35" s="53">
        <f t="shared" si="14"/>
        <v>6.9166514121956792</v>
      </c>
      <c r="U35" s="52">
        <f>'Расчет субсидий'!AB35-1</f>
        <v>0</v>
      </c>
      <c r="V35" s="52">
        <f>U35*'Расчет субсидий'!AC35</f>
        <v>0</v>
      </c>
      <c r="W35" s="53">
        <f t="shared" si="15"/>
        <v>0</v>
      </c>
      <c r="X35" s="52">
        <f>'Расчет субсидий'!AF35-1</f>
        <v>0.20268749999999991</v>
      </c>
      <c r="Y35" s="52">
        <f>X35*'Расчет субсидий'!AG35</f>
        <v>2.0268749999999991</v>
      </c>
      <c r="Z35" s="53">
        <f t="shared" si="16"/>
        <v>101.34352648983672</v>
      </c>
      <c r="AA35" s="52">
        <f>'Расчет субсидий'!AJ35-1</f>
        <v>0.25314159292035399</v>
      </c>
      <c r="AB35" s="52">
        <f>AA35*'Расчет субсидий'!AK35</f>
        <v>1.2657079646017699</v>
      </c>
      <c r="AC35" s="53">
        <f t="shared" si="17"/>
        <v>63.285258656314198</v>
      </c>
      <c r="AD35" s="58">
        <f>'Расчет субсидий'!AN35-1</f>
        <v>-0.26557377049180331</v>
      </c>
      <c r="AE35" s="58">
        <f>AD35*'Расчет субсидий'!AO35</f>
        <v>-3.9836065573770494</v>
      </c>
      <c r="AF35" s="53">
        <f t="shared" si="18"/>
        <v>-199.17988858347377</v>
      </c>
      <c r="AG35" s="52">
        <f t="shared" si="19"/>
        <v>-1.423639503424436</v>
      </c>
    </row>
    <row r="36" spans="1:33" ht="15" customHeight="1">
      <c r="A36" s="30" t="s">
        <v>26</v>
      </c>
      <c r="B36" s="50">
        <f>'Расчет субсидий'!AT36</f>
        <v>687.70000000000073</v>
      </c>
      <c r="C36" s="52">
        <f>'Расчет субсидий'!D36-1</f>
        <v>1.9909864375368569E-2</v>
      </c>
      <c r="D36" s="52">
        <f>C36*'Расчет субсидий'!E36</f>
        <v>9.9549321876842845E-2</v>
      </c>
      <c r="E36" s="53">
        <f t="shared" si="10"/>
        <v>8.174979351631313</v>
      </c>
      <c r="F36" s="58">
        <f>'Расчет субсидий'!H36-1</f>
        <v>1.992409867172662E-2</v>
      </c>
      <c r="G36" s="58">
        <f>F36*'Расчет субсидий'!I36</f>
        <v>9.96204933586331E-2</v>
      </c>
      <c r="H36" s="53">
        <f t="shared" si="11"/>
        <v>8.1808239458795793</v>
      </c>
      <c r="I36" s="52">
        <f>'Расчет субсидий'!L36-1</f>
        <v>0.2004188481675393</v>
      </c>
      <c r="J36" s="52">
        <f>I36*'Расчет субсидий'!M36</f>
        <v>3.0062827225130895</v>
      </c>
      <c r="K36" s="53">
        <f t="shared" si="12"/>
        <v>246.87560616550428</v>
      </c>
      <c r="L36" s="52">
        <f>'Расчет субсидий'!P36-1</f>
        <v>-8.4012210762088757E-2</v>
      </c>
      <c r="M36" s="52">
        <f>L36*'Расчет субсидий'!Q36</f>
        <v>-1.6802442152417751</v>
      </c>
      <c r="N36" s="53">
        <f t="shared" si="13"/>
        <v>-137.98146995207938</v>
      </c>
      <c r="O36" s="27" t="s">
        <v>365</v>
      </c>
      <c r="P36" s="27" t="s">
        <v>365</v>
      </c>
      <c r="Q36" s="27" t="s">
        <v>365</v>
      </c>
      <c r="R36" s="58">
        <f>'Расчет субсидий'!X36-1</f>
        <v>5.2002088067309549E-2</v>
      </c>
      <c r="S36" s="58">
        <f>R36*'Расчет субсидий'!Y36</f>
        <v>0.26001044033654774</v>
      </c>
      <c r="T36" s="53">
        <f t="shared" si="14"/>
        <v>21.35202873194353</v>
      </c>
      <c r="U36" s="52">
        <f>'Расчет субсидий'!AB36-1</f>
        <v>5.6067280736884495E-3</v>
      </c>
      <c r="V36" s="52">
        <f>U36*'Расчет субсидий'!AC36</f>
        <v>8.4100921105326742E-2</v>
      </c>
      <c r="W36" s="53">
        <f t="shared" si="15"/>
        <v>6.906358381223205</v>
      </c>
      <c r="X36" s="52">
        <f>'Расчет субсидий'!AF36-1</f>
        <v>6.9878391019644548E-2</v>
      </c>
      <c r="Y36" s="52">
        <f>X36*'Расчет субсидий'!AG36</f>
        <v>1.397567820392891</v>
      </c>
      <c r="Z36" s="53">
        <f t="shared" si="16"/>
        <v>114.76811553122157</v>
      </c>
      <c r="AA36" s="52">
        <f>'Расчет субсидий'!AJ36-1</f>
        <v>0.21001538461538449</v>
      </c>
      <c r="AB36" s="52">
        <f>AA36*'Расчет субсидий'!AK36</f>
        <v>1.0500769230769225</v>
      </c>
      <c r="AC36" s="53">
        <f t="shared" si="17"/>
        <v>86.232201304178588</v>
      </c>
      <c r="AD36" s="58">
        <f>'Расчет субсидий'!AN36-1</f>
        <v>0.27049180327868849</v>
      </c>
      <c r="AE36" s="58">
        <f>AD36*'Расчет субсидий'!AO36</f>
        <v>4.0573770491803272</v>
      </c>
      <c r="AF36" s="53">
        <f t="shared" si="18"/>
        <v>333.19135654049819</v>
      </c>
      <c r="AG36" s="52">
        <f t="shared" si="19"/>
        <v>8.3743414765988042</v>
      </c>
    </row>
    <row r="37" spans="1:33" ht="15" customHeight="1">
      <c r="A37" s="30" t="s">
        <v>27</v>
      </c>
      <c r="B37" s="50">
        <f>'Расчет субсидий'!AT37</f>
        <v>30.336363636363785</v>
      </c>
      <c r="C37" s="52">
        <f>'Расчет субсидий'!D37-1</f>
        <v>-8.7436277989287881E-3</v>
      </c>
      <c r="D37" s="52">
        <f>C37*'Расчет субсидий'!E37</f>
        <v>-4.371813899464394E-2</v>
      </c>
      <c r="E37" s="53">
        <f t="shared" si="10"/>
        <v>-1.7743010164470412</v>
      </c>
      <c r="F37" s="58">
        <f>'Расчет субсидий'!H37-1</f>
        <v>9.6525096525097442E-3</v>
      </c>
      <c r="G37" s="58">
        <f>F37*'Расчет субсидий'!I37</f>
        <v>4.8262548262548721E-2</v>
      </c>
      <c r="H37" s="53">
        <f t="shared" si="11"/>
        <v>1.9587359024833075</v>
      </c>
      <c r="I37" s="52">
        <f>'Расчет субсидий'!L37-1</f>
        <v>-8.7837837837837829E-2</v>
      </c>
      <c r="J37" s="52">
        <f>I37*'Расчет субсидий'!M37</f>
        <v>-1.3175675675675675</v>
      </c>
      <c r="K37" s="53">
        <f t="shared" si="12"/>
        <v>-53.473490137793789</v>
      </c>
      <c r="L37" s="52">
        <f>'Расчет субсидий'!P37-1</f>
        <v>-3.6380523942211918E-2</v>
      </c>
      <c r="M37" s="52">
        <f>L37*'Расчет субсидий'!Q37</f>
        <v>-0.72761047884423835</v>
      </c>
      <c r="N37" s="53">
        <f t="shared" si="13"/>
        <v>-29.530077031618735</v>
      </c>
      <c r="O37" s="27" t="s">
        <v>365</v>
      </c>
      <c r="P37" s="27" t="s">
        <v>365</v>
      </c>
      <c r="Q37" s="27" t="s">
        <v>365</v>
      </c>
      <c r="R37" s="58">
        <f>'Расчет субсидий'!X37-1</f>
        <v>1.222572092659524E-3</v>
      </c>
      <c r="S37" s="58">
        <f>R37*'Расчет субсидий'!Y37</f>
        <v>6.1128604632976202E-3</v>
      </c>
      <c r="T37" s="53">
        <f t="shared" si="14"/>
        <v>0.24809049019119242</v>
      </c>
      <c r="U37" s="52">
        <f>'Расчет субсидий'!AB37-1</f>
        <v>0</v>
      </c>
      <c r="V37" s="52">
        <f>U37*'Расчет субсидий'!AC37</f>
        <v>0</v>
      </c>
      <c r="W37" s="53">
        <f t="shared" si="15"/>
        <v>0</v>
      </c>
      <c r="X37" s="52">
        <f>'Расчет субсидий'!AF37-1</f>
        <v>-6.5666666666666651E-2</v>
      </c>
      <c r="Y37" s="52">
        <f>X37*'Расчет субсидий'!AG37</f>
        <v>-0.65666666666666651</v>
      </c>
      <c r="Z37" s="53">
        <f t="shared" si="16"/>
        <v>-26.65082185397462</v>
      </c>
      <c r="AA37" s="52">
        <f>'Расчет субсидий'!AJ37-1</f>
        <v>-2.7804878048780401E-2</v>
      </c>
      <c r="AB37" s="52">
        <f>AA37*'Расчет субсидий'!AK37</f>
        <v>-0.41707317073170602</v>
      </c>
      <c r="AC37" s="53">
        <f t="shared" si="17"/>
        <v>-16.926917928796509</v>
      </c>
      <c r="AD37" s="58">
        <f>'Расчет субсидий'!AN37-1</f>
        <v>0.25704918032786872</v>
      </c>
      <c r="AE37" s="58">
        <f>AD37*'Расчет субсидий'!AO37</f>
        <v>3.855737704918031</v>
      </c>
      <c r="AF37" s="53">
        <f t="shared" si="18"/>
        <v>156.48514521231996</v>
      </c>
      <c r="AG37" s="52">
        <f t="shared" si="19"/>
        <v>0.74747709083905578</v>
      </c>
    </row>
    <row r="38" spans="1:33" ht="15" customHeight="1">
      <c r="A38" s="30" t="s">
        <v>28</v>
      </c>
      <c r="B38" s="50">
        <f>'Расчет субсидий'!AT38</f>
        <v>55.545454545454504</v>
      </c>
      <c r="C38" s="52">
        <f>'Расчет субсидий'!D38-1</f>
        <v>-0.19139549975969228</v>
      </c>
      <c r="D38" s="52">
        <f>C38*'Расчет субсидий'!E38</f>
        <v>-0.95697749879846139</v>
      </c>
      <c r="E38" s="53">
        <f t="shared" si="10"/>
        <v>-18.723741022565498</v>
      </c>
      <c r="F38" s="58">
        <f>'Расчет субсидий'!H38-1</f>
        <v>7.8048780487804947E-3</v>
      </c>
      <c r="G38" s="58">
        <f>F38*'Расчет субсидий'!I38</f>
        <v>3.9024390243902474E-2</v>
      </c>
      <c r="H38" s="53">
        <f t="shared" si="11"/>
        <v>0.76353161637318989</v>
      </c>
      <c r="I38" s="52">
        <f>'Расчет субсидий'!L38-1</f>
        <v>0.16847826086956519</v>
      </c>
      <c r="J38" s="52">
        <f>I38*'Расчет субсидий'!M38</f>
        <v>1.6847826086956519</v>
      </c>
      <c r="K38" s="53">
        <f t="shared" si="12"/>
        <v>32.963610204155003</v>
      </c>
      <c r="L38" s="52">
        <f>'Расчет субсидий'!P38-1</f>
        <v>3.1778786628146927E-2</v>
      </c>
      <c r="M38" s="52">
        <f>L38*'Расчет субсидий'!Q38</f>
        <v>0.63557573256293853</v>
      </c>
      <c r="N38" s="53">
        <f t="shared" si="13"/>
        <v>12.435355514290954</v>
      </c>
      <c r="O38" s="27" t="s">
        <v>365</v>
      </c>
      <c r="P38" s="27" t="s">
        <v>365</v>
      </c>
      <c r="Q38" s="27" t="s">
        <v>365</v>
      </c>
      <c r="R38" s="58">
        <f>'Расчет субсидий'!X38-1</f>
        <v>2.0002979167109913E-2</v>
      </c>
      <c r="S38" s="58">
        <f>R38*'Расчет субсидий'!Y38</f>
        <v>0.10001489583554957</v>
      </c>
      <c r="T38" s="53">
        <f t="shared" si="14"/>
        <v>1.9568412113920286</v>
      </c>
      <c r="U38" s="52">
        <f>'Расчет субсидий'!AB38-1</f>
        <v>4.8812664907651682E-2</v>
      </c>
      <c r="V38" s="52">
        <f>U38*'Расчет субсидий'!AC38</f>
        <v>0.73218997361477522</v>
      </c>
      <c r="W38" s="53">
        <f t="shared" si="15"/>
        <v>14.32566122243726</v>
      </c>
      <c r="X38" s="52">
        <f>'Расчет субсидий'!AF38-1</f>
        <v>2.9332273449920621E-2</v>
      </c>
      <c r="Y38" s="52">
        <f>X38*'Расчет субсидий'!AG38</f>
        <v>0.29332273449920621</v>
      </c>
      <c r="Z38" s="53">
        <f t="shared" si="16"/>
        <v>5.7390052782740586</v>
      </c>
      <c r="AA38" s="52">
        <f>'Расчет субсидий'!AJ38-1</f>
        <v>8.5199999999999942E-2</v>
      </c>
      <c r="AB38" s="52">
        <f>AA38*'Расчет субсидий'!AK38</f>
        <v>0.85199999999999942</v>
      </c>
      <c r="AC38" s="53">
        <f t="shared" si="17"/>
        <v>16.669804014467644</v>
      </c>
      <c r="AD38" s="58">
        <f>'Расчет субсидий'!AN38-1</f>
        <v>-3.6065573770491799E-2</v>
      </c>
      <c r="AE38" s="58">
        <f>AD38*'Расчет субсидий'!AO38</f>
        <v>-0.54098360655737698</v>
      </c>
      <c r="AF38" s="53">
        <f t="shared" si="18"/>
        <v>-10.584613493370131</v>
      </c>
      <c r="AG38" s="52">
        <f t="shared" si="19"/>
        <v>2.8389492300961847</v>
      </c>
    </row>
    <row r="39" spans="1:33" ht="15" customHeight="1">
      <c r="A39" s="30" t="s">
        <v>29</v>
      </c>
      <c r="B39" s="50">
        <f>'Расчет субсидий'!AT39</f>
        <v>86.227272727272066</v>
      </c>
      <c r="C39" s="52">
        <f>'Расчет субсидий'!D39-1</f>
        <v>-3.0363891990241032E-2</v>
      </c>
      <c r="D39" s="52">
        <f>C39*'Расчет субсидий'!E39</f>
        <v>-0.15181945995120516</v>
      </c>
      <c r="E39" s="53">
        <f t="shared" si="10"/>
        <v>-15.744772252275512</v>
      </c>
      <c r="F39" s="58">
        <f>'Расчет субсидий'!H39-1</f>
        <v>1.9774011299434902E-2</v>
      </c>
      <c r="G39" s="58">
        <f>F39*'Расчет субсидий'!I39</f>
        <v>9.8870056497174508E-2</v>
      </c>
      <c r="H39" s="53">
        <f t="shared" si="11"/>
        <v>10.253537475485324</v>
      </c>
      <c r="I39" s="52">
        <f>'Расчет субсидий'!L39-1</f>
        <v>4.4776119402984982E-2</v>
      </c>
      <c r="J39" s="52">
        <f>I39*'Расчет субсидий'!M39</f>
        <v>0.22388059701492491</v>
      </c>
      <c r="K39" s="53">
        <f t="shared" si="12"/>
        <v>23.218031554297358</v>
      </c>
      <c r="L39" s="52">
        <f>'Расчет субсидий'!P39-1</f>
        <v>-9.3844594571691475E-3</v>
      </c>
      <c r="M39" s="52">
        <f>L39*'Расчет субсидий'!Q39</f>
        <v>-0.18768918914338295</v>
      </c>
      <c r="N39" s="53">
        <f t="shared" si="13"/>
        <v>-19.464721704494298</v>
      </c>
      <c r="O39" s="27" t="s">
        <v>365</v>
      </c>
      <c r="P39" s="27" t="s">
        <v>365</v>
      </c>
      <c r="Q39" s="27" t="s">
        <v>365</v>
      </c>
      <c r="R39" s="58">
        <f>'Расчет субсидий'!X39-1</f>
        <v>-1.1475447139671413E-2</v>
      </c>
      <c r="S39" s="58">
        <f>R39*'Расчет субсидий'!Y39</f>
        <v>-5.7377235698357065E-2</v>
      </c>
      <c r="T39" s="53">
        <f t="shared" si="14"/>
        <v>-5.9504328946112359</v>
      </c>
      <c r="U39" s="52">
        <f>'Расчет субсидий'!AB39-1</f>
        <v>5.7142857142857828E-3</v>
      </c>
      <c r="V39" s="52">
        <f>U39*'Расчет субсидий'!AC39</f>
        <v>5.7142857142857828E-2</v>
      </c>
      <c r="W39" s="53">
        <f t="shared" si="15"/>
        <v>5.9261261490969321</v>
      </c>
      <c r="X39" s="52">
        <f>'Расчет субсидий'!AF39-1</f>
        <v>2.0030975735673806E-2</v>
      </c>
      <c r="Y39" s="52">
        <f>X39*'Расчет субсидий'!AG39</f>
        <v>0.20030975735673806</v>
      </c>
      <c r="Z39" s="53">
        <f t="shared" si="16"/>
        <v>20.773565592342727</v>
      </c>
      <c r="AA39" s="52">
        <f>'Расчет субсидий'!AJ39-1</f>
        <v>8.6504950495049471E-2</v>
      </c>
      <c r="AB39" s="52">
        <f>AA39*'Расчет субсидий'!AK39</f>
        <v>1.7300990099009894</v>
      </c>
      <c r="AC39" s="53">
        <f t="shared" si="17"/>
        <v>179.4237372042648</v>
      </c>
      <c r="AD39" s="58">
        <f>'Расчет субсидий'!AN39-1</f>
        <v>-7.2131147540983598E-2</v>
      </c>
      <c r="AE39" s="58">
        <f>AD39*'Расчет субсидий'!AO39</f>
        <v>-1.081967213114754</v>
      </c>
      <c r="AF39" s="53">
        <f t="shared" si="18"/>
        <v>-112.20779839683401</v>
      </c>
      <c r="AG39" s="52">
        <f t="shared" si="19"/>
        <v>0.83144918000498569</v>
      </c>
    </row>
    <row r="40" spans="1:33" ht="15" customHeight="1">
      <c r="A40" s="30" t="s">
        <v>30</v>
      </c>
      <c r="B40" s="50">
        <f>'Расчет субсидий'!AT40</f>
        <v>-30.245454545454777</v>
      </c>
      <c r="C40" s="52">
        <f>'Расчет субсидий'!D40-1</f>
        <v>5.5947514083814376E-2</v>
      </c>
      <c r="D40" s="52">
        <f>C40*'Расчет субсидий'!E40</f>
        <v>0.27973757041907188</v>
      </c>
      <c r="E40" s="53">
        <f t="shared" si="10"/>
        <v>13.750343933362279</v>
      </c>
      <c r="F40" s="58">
        <f>'Расчет субсидий'!H40-1</f>
        <v>4.5586808923375299E-2</v>
      </c>
      <c r="G40" s="58">
        <f>F40*'Расчет субсидий'!I40</f>
        <v>0.2279340446168765</v>
      </c>
      <c r="H40" s="53">
        <f t="shared" si="11"/>
        <v>11.203970574667984</v>
      </c>
      <c r="I40" s="52">
        <f>'Расчет субсидий'!L40-1</f>
        <v>0.10429447852760743</v>
      </c>
      <c r="J40" s="52">
        <f>I40*'Расчет субсидий'!M40</f>
        <v>1.0429447852760743</v>
      </c>
      <c r="K40" s="53">
        <f t="shared" si="12"/>
        <v>51.265368036080446</v>
      </c>
      <c r="L40" s="52">
        <f>'Расчет субсидий'!P40-1</f>
        <v>-0.28721245249423233</v>
      </c>
      <c r="M40" s="52">
        <f>L40*'Расчет субсидий'!Q40</f>
        <v>-5.7442490498846466</v>
      </c>
      <c r="N40" s="53">
        <f t="shared" si="13"/>
        <v>-282.35535168363759</v>
      </c>
      <c r="O40" s="27" t="s">
        <v>365</v>
      </c>
      <c r="P40" s="27" t="s">
        <v>365</v>
      </c>
      <c r="Q40" s="27" t="s">
        <v>365</v>
      </c>
      <c r="R40" s="58">
        <f>'Расчет субсидий'!X40-1</f>
        <v>7.6586579298628887E-2</v>
      </c>
      <c r="S40" s="58">
        <f>R40*'Расчет субсидий'!Y40</f>
        <v>0.38293289649314444</v>
      </c>
      <c r="T40" s="53">
        <f t="shared" si="14"/>
        <v>18.822852512414496</v>
      </c>
      <c r="U40" s="52">
        <f>'Расчет субсидий'!AB40-1</f>
        <v>1.8447837150127322E-2</v>
      </c>
      <c r="V40" s="52">
        <f>U40*'Расчет субсидий'!AC40</f>
        <v>0.36895674300254644</v>
      </c>
      <c r="W40" s="53">
        <f t="shared" si="15"/>
        <v>18.135862498619471</v>
      </c>
      <c r="X40" s="52">
        <f>'Расчет субсидий'!AF40-1</f>
        <v>9.0923076923076884E-2</v>
      </c>
      <c r="Y40" s="52">
        <f>X40*'Расчет субсидий'!AG40</f>
        <v>0.90923076923076884</v>
      </c>
      <c r="Z40" s="53">
        <f t="shared" si="16"/>
        <v>44.692730307870882</v>
      </c>
      <c r="AA40" s="52">
        <f>'Расчет субсидий'!AJ40-1</f>
        <v>0.19171974522293</v>
      </c>
      <c r="AB40" s="52">
        <f>AA40*'Расчет субсидий'!AK40</f>
        <v>1.9171974522293</v>
      </c>
      <c r="AC40" s="53">
        <f t="shared" si="17"/>
        <v>94.238769275167272</v>
      </c>
      <c r="AD40" s="58">
        <f>'Расчет субсидий'!AN40-1</f>
        <v>0</v>
      </c>
      <c r="AE40" s="58">
        <f>AD40*'Расчет субсидий'!AO40</f>
        <v>0</v>
      </c>
      <c r="AF40" s="53">
        <f t="shared" si="18"/>
        <v>0</v>
      </c>
      <c r="AG40" s="52">
        <f t="shared" si="19"/>
        <v>-0.61531478861686439</v>
      </c>
    </row>
    <row r="41" spans="1:33" ht="15" customHeight="1">
      <c r="A41" s="30" t="s">
        <v>31</v>
      </c>
      <c r="B41" s="50">
        <f>'Расчет субсидий'!AT41</f>
        <v>990.49090909090955</v>
      </c>
      <c r="C41" s="52">
        <f>'Расчет субсидий'!D41-1</f>
        <v>0.20144253912504517</v>
      </c>
      <c r="D41" s="52">
        <f>C41*'Расчет субсидий'!E41</f>
        <v>1.0072126956252259</v>
      </c>
      <c r="E41" s="53">
        <f t="shared" si="10"/>
        <v>92.581793614195675</v>
      </c>
      <c r="F41" s="58">
        <f>'Расчет субсидий'!H41-1</f>
        <v>2.1113243761996081E-2</v>
      </c>
      <c r="G41" s="58">
        <f>F41*'Расчет субсидий'!I41</f>
        <v>0.10556621880998041</v>
      </c>
      <c r="H41" s="53">
        <f t="shared" si="11"/>
        <v>9.7035213366028259</v>
      </c>
      <c r="I41" s="52">
        <f>'Расчет субсидий'!L41-1</f>
        <v>0.12149532710280364</v>
      </c>
      <c r="J41" s="52">
        <f>I41*'Расчет субсидий'!M41</f>
        <v>1.2149532710280364</v>
      </c>
      <c r="K41" s="53">
        <f t="shared" si="12"/>
        <v>111.67706034462384</v>
      </c>
      <c r="L41" s="52">
        <f>'Расчет субсидий'!P41-1</f>
        <v>6.412437387770531E-2</v>
      </c>
      <c r="M41" s="52">
        <f>L41*'Расчет субсидий'!Q41</f>
        <v>1.2824874775541062</v>
      </c>
      <c r="N41" s="53">
        <f t="shared" si="13"/>
        <v>117.88472432428991</v>
      </c>
      <c r="O41" s="27" t="s">
        <v>365</v>
      </c>
      <c r="P41" s="27" t="s">
        <v>365</v>
      </c>
      <c r="Q41" s="27" t="s">
        <v>365</v>
      </c>
      <c r="R41" s="58">
        <f>'Расчет субсидий'!X41-1</f>
        <v>-2.6747744638614512E-2</v>
      </c>
      <c r="S41" s="58">
        <f>R41*'Расчет субсидий'!Y41</f>
        <v>-0.13373872319307256</v>
      </c>
      <c r="T41" s="53">
        <f t="shared" si="14"/>
        <v>-12.293104448213017</v>
      </c>
      <c r="U41" s="52">
        <f>'Расчет субсидий'!AB41-1</f>
        <v>9.1157702825883646E-4</v>
      </c>
      <c r="V41" s="52">
        <f>U41*'Расчет субсидий'!AC41</f>
        <v>9.1157702825883646E-3</v>
      </c>
      <c r="W41" s="53">
        <f t="shared" si="15"/>
        <v>0.83791076760915006</v>
      </c>
      <c r="X41" s="52">
        <f>'Расчет субсидий'!AF41-1</f>
        <v>0.1134615384615385</v>
      </c>
      <c r="Y41" s="52">
        <f>X41*'Расчет субсидий'!AG41</f>
        <v>2.2692307692307701</v>
      </c>
      <c r="Z41" s="53">
        <f t="shared" si="16"/>
        <v>208.58499466142342</v>
      </c>
      <c r="AA41" s="52">
        <f>'Расчет субсидий'!AJ41-1</f>
        <v>0.20155454545454532</v>
      </c>
      <c r="AB41" s="52">
        <f>AA41*'Расчет субсидий'!AK41</f>
        <v>1.0077727272727266</v>
      </c>
      <c r="AC41" s="53">
        <f t="shared" si="17"/>
        <v>92.633271057472086</v>
      </c>
      <c r="AD41" s="58">
        <f>'Расчет субсидий'!AN41-1</f>
        <v>0.26754098360655743</v>
      </c>
      <c r="AE41" s="58">
        <f>AD41*'Расчет субсидий'!AO41</f>
        <v>4.0131147540983614</v>
      </c>
      <c r="AF41" s="53">
        <f t="shared" si="18"/>
        <v>368.88073743290568</v>
      </c>
      <c r="AG41" s="52">
        <f t="shared" si="19"/>
        <v>10.775714960708722</v>
      </c>
    </row>
    <row r="42" spans="1:33" ht="15" customHeight="1">
      <c r="A42" s="30" t="s">
        <v>32</v>
      </c>
      <c r="B42" s="50">
        <f>'Расчет субсидий'!AT42</f>
        <v>1049.7999999999993</v>
      </c>
      <c r="C42" s="52">
        <f>'Расчет субсидий'!D42-1</f>
        <v>4.2994909684486382E-2</v>
      </c>
      <c r="D42" s="52">
        <f>C42*'Расчет субсидий'!E42</f>
        <v>0.21497454842243191</v>
      </c>
      <c r="E42" s="53">
        <f t="shared" si="10"/>
        <v>18.301547328701105</v>
      </c>
      <c r="F42" s="58">
        <f>'Расчет субсидий'!H42-1</f>
        <v>1.5609756097560989E-2</v>
      </c>
      <c r="G42" s="58">
        <f>F42*'Расчет субсидий'!I42</f>
        <v>7.8048780487804947E-2</v>
      </c>
      <c r="H42" s="53">
        <f t="shared" si="11"/>
        <v>6.6445700690022482</v>
      </c>
      <c r="I42" s="52">
        <f>'Расчет субсидий'!L42-1</f>
        <v>9.8901098901098994E-2</v>
      </c>
      <c r="J42" s="52">
        <f>I42*'Расчет субсидий'!M42</f>
        <v>1.4835164835164849</v>
      </c>
      <c r="K42" s="53">
        <f t="shared" si="12"/>
        <v>126.29703067282776</v>
      </c>
      <c r="L42" s="52">
        <f>'Расчет субсидий'!P42-1</f>
        <v>0.21014308066431653</v>
      </c>
      <c r="M42" s="52">
        <f>L42*'Расчет субсидий'!Q42</f>
        <v>4.2028616132863306</v>
      </c>
      <c r="N42" s="53">
        <f t="shared" si="13"/>
        <v>357.80454614744809</v>
      </c>
      <c r="O42" s="27" t="s">
        <v>365</v>
      </c>
      <c r="P42" s="27" t="s">
        <v>365</v>
      </c>
      <c r="Q42" s="27" t="s">
        <v>365</v>
      </c>
      <c r="R42" s="58">
        <f>'Расчет субсидий'!X42-1</f>
        <v>5.7675458106537958E-2</v>
      </c>
      <c r="S42" s="58">
        <f>R42*'Расчет субсидий'!Y42</f>
        <v>0.28837729053268979</v>
      </c>
      <c r="T42" s="53">
        <f t="shared" si="14"/>
        <v>24.550583638560138</v>
      </c>
      <c r="U42" s="52">
        <f>'Расчет субсидий'!AB42-1</f>
        <v>4.112879015310722E-2</v>
      </c>
      <c r="V42" s="52">
        <f>U42*'Расчет субсидий'!AC42</f>
        <v>0.4112879015310722</v>
      </c>
      <c r="W42" s="53">
        <f t="shared" si="15"/>
        <v>35.014400778281328</v>
      </c>
      <c r="X42" s="52">
        <f>'Расчет субсидий'!AF42-1</f>
        <v>-7.8055964653902743E-2</v>
      </c>
      <c r="Y42" s="52">
        <f>X42*'Расчет субсидий'!AG42</f>
        <v>-0.78055964653902743</v>
      </c>
      <c r="Z42" s="53">
        <f t="shared" si="16"/>
        <v>-66.451816825947446</v>
      </c>
      <c r="AA42" s="52">
        <f>'Расчет субсидий'!AJ42-1</f>
        <v>0.21786078098471973</v>
      </c>
      <c r="AB42" s="52">
        <f>AA42*'Расчет субсидий'!AK42</f>
        <v>2.1786078098471973</v>
      </c>
      <c r="AC42" s="53">
        <f t="shared" si="17"/>
        <v>185.47262564425429</v>
      </c>
      <c r="AD42" s="58">
        <f>'Расчет субсидий'!AN42-1</f>
        <v>0.28360655737704921</v>
      </c>
      <c r="AE42" s="58">
        <f>AD42*'Расчет субсидий'!AO42</f>
        <v>4.2540983606557381</v>
      </c>
      <c r="AF42" s="53">
        <f t="shared" si="18"/>
        <v>362.16651254687173</v>
      </c>
      <c r="AG42" s="52">
        <f t="shared" si="19"/>
        <v>12.331213141740722</v>
      </c>
    </row>
    <row r="43" spans="1:33" ht="15" customHeight="1">
      <c r="A43" s="30" t="s">
        <v>1</v>
      </c>
      <c r="B43" s="50">
        <f>'Расчет субсидий'!AT43</f>
        <v>1362.8818181818206</v>
      </c>
      <c r="C43" s="52">
        <f>'Расчет субсидий'!D43-1</f>
        <v>0.10530418767591798</v>
      </c>
      <c r="D43" s="52">
        <f>C43*'Расчет субсидий'!E43</f>
        <v>0.52652093837958991</v>
      </c>
      <c r="E43" s="53">
        <f t="shared" si="10"/>
        <v>76.735786868875678</v>
      </c>
      <c r="F43" s="58">
        <f>'Расчет субсидий'!H43-1</f>
        <v>3.8797284190106307E-3</v>
      </c>
      <c r="G43" s="58">
        <f>F43*'Расчет субсидий'!I43</f>
        <v>1.9398642095053154E-2</v>
      </c>
      <c r="H43" s="53">
        <f t="shared" si="11"/>
        <v>2.8271811372455415</v>
      </c>
      <c r="I43" s="52">
        <f>'Расчет субсидий'!L43-1</f>
        <v>0.22170040485829956</v>
      </c>
      <c r="J43" s="52">
        <f>I43*'Расчет субсидий'!M43</f>
        <v>2.2170040485829956</v>
      </c>
      <c r="K43" s="53">
        <f t="shared" si="12"/>
        <v>323.10880300993921</v>
      </c>
      <c r="L43" s="52">
        <f>'Расчет субсидий'!P43-1</f>
        <v>1.9403759386676045E-2</v>
      </c>
      <c r="M43" s="52">
        <f>L43*'Расчет субсидий'!Q43</f>
        <v>0.3880751877335209</v>
      </c>
      <c r="N43" s="53">
        <f t="shared" si="13"/>
        <v>56.558538748081709</v>
      </c>
      <c r="O43" s="27" t="s">
        <v>365</v>
      </c>
      <c r="P43" s="27" t="s">
        <v>365</v>
      </c>
      <c r="Q43" s="27" t="s">
        <v>365</v>
      </c>
      <c r="R43" s="58">
        <f>'Расчет субсидий'!X43-1</f>
        <v>-8.0273024254212455E-2</v>
      </c>
      <c r="S43" s="58">
        <f>R43*'Расчет субсидий'!Y43</f>
        <v>-0.40136512127106228</v>
      </c>
      <c r="T43" s="53">
        <f t="shared" si="14"/>
        <v>-58.495429445300431</v>
      </c>
      <c r="U43" s="52">
        <f>'Расчет субсидий'!AB43-1</f>
        <v>0.10267957667192085</v>
      </c>
      <c r="V43" s="52">
        <f>U43*'Расчет субсидий'!AC43</f>
        <v>1.0267957667192085</v>
      </c>
      <c r="W43" s="53">
        <f t="shared" si="15"/>
        <v>149.64643448998928</v>
      </c>
      <c r="X43" s="52">
        <f>'Расчет субсидий'!AF43-1</f>
        <v>0.20425070422535208</v>
      </c>
      <c r="Y43" s="52">
        <f>X43*'Расчет субсидий'!AG43</f>
        <v>3.0637605633802814</v>
      </c>
      <c r="Z43" s="53">
        <f t="shared" si="16"/>
        <v>446.51610310570919</v>
      </c>
      <c r="AA43" s="52">
        <f>'Расчет субсидий'!AJ43-1</f>
        <v>-0.19888059701492533</v>
      </c>
      <c r="AB43" s="52">
        <f>AA43*'Расчет субсидий'!AK43</f>
        <v>-1.9888059701492533</v>
      </c>
      <c r="AC43" s="53">
        <f t="shared" si="17"/>
        <v>-289.85094404526058</v>
      </c>
      <c r="AD43" s="58">
        <f>'Расчет субсидий'!AN43-1</f>
        <v>0.30000000000000004</v>
      </c>
      <c r="AE43" s="58">
        <f>AD43*'Расчет субсидий'!AO43</f>
        <v>4.5000000000000009</v>
      </c>
      <c r="AF43" s="53">
        <f t="shared" si="18"/>
        <v>655.83534431254111</v>
      </c>
      <c r="AG43" s="52">
        <f t="shared" si="19"/>
        <v>9.3513840554703336</v>
      </c>
    </row>
    <row r="44" spans="1:33" ht="15" customHeight="1">
      <c r="A44" s="30" t="s">
        <v>33</v>
      </c>
      <c r="B44" s="50">
        <f>'Расчет субсидий'!AT44</f>
        <v>327.15454545454577</v>
      </c>
      <c r="C44" s="52">
        <f>'Расчет субсидий'!D44-1</f>
        <v>-1.5342578239659899E-3</v>
      </c>
      <c r="D44" s="52">
        <f>C44*'Расчет субсидий'!E44</f>
        <v>-7.6712891198299493E-3</v>
      </c>
      <c r="E44" s="53">
        <f t="shared" si="10"/>
        <v>-0.60541092218398807</v>
      </c>
      <c r="F44" s="58">
        <f>'Расчет субсидий'!H44-1</f>
        <v>5.6285178236399336E-3</v>
      </c>
      <c r="G44" s="58">
        <f>F44*'Расчет субсидий'!I44</f>
        <v>2.8142589118199668E-2</v>
      </c>
      <c r="H44" s="53">
        <f t="shared" si="11"/>
        <v>2.220986663982234</v>
      </c>
      <c r="I44" s="52">
        <f>'Расчет субсидий'!L44-1</f>
        <v>4.6511627906976827E-2</v>
      </c>
      <c r="J44" s="52">
        <f>I44*'Расчет субсидий'!M44</f>
        <v>0.46511627906976827</v>
      </c>
      <c r="K44" s="53">
        <f t="shared" si="12"/>
        <v>36.706539283798435</v>
      </c>
      <c r="L44" s="52">
        <f>'Расчет субсидий'!P44-1</f>
        <v>-9.5388021535103173E-2</v>
      </c>
      <c r="M44" s="52">
        <f>L44*'Расчет субсидий'!Q44</f>
        <v>-1.9077604307020635</v>
      </c>
      <c r="N44" s="53">
        <f t="shared" si="13"/>
        <v>-150.55865886632898</v>
      </c>
      <c r="O44" s="27" t="s">
        <v>365</v>
      </c>
      <c r="P44" s="27" t="s">
        <v>365</v>
      </c>
      <c r="Q44" s="27" t="s">
        <v>365</v>
      </c>
      <c r="R44" s="58">
        <f>'Расчет субсидий'!X44-1</f>
        <v>5.3279747781562747E-2</v>
      </c>
      <c r="S44" s="58">
        <f>R44*'Расчет субсидий'!Y44</f>
        <v>0.26639873890781374</v>
      </c>
      <c r="T44" s="53">
        <f t="shared" si="14"/>
        <v>21.023937915979122</v>
      </c>
      <c r="U44" s="52">
        <f>'Расчет субсидий'!AB44-1</f>
        <v>2.9652351738241212E-2</v>
      </c>
      <c r="V44" s="52">
        <f>U44*'Расчет субсидий'!AC44</f>
        <v>0.44478527607361817</v>
      </c>
      <c r="W44" s="53">
        <f t="shared" si="15"/>
        <v>35.10203564946044</v>
      </c>
      <c r="X44" s="52">
        <f>'Расчет субсидий'!AF44-1</f>
        <v>-6.7472306143001037E-2</v>
      </c>
      <c r="Y44" s="52">
        <f>X44*'Расчет субсидий'!AG44</f>
        <v>-0.67472306143001037</v>
      </c>
      <c r="Z44" s="53">
        <f t="shared" si="16"/>
        <v>-53.248509404140556</v>
      </c>
      <c r="AA44" s="52">
        <f>'Расчет субсидий'!AJ44-1</f>
        <v>0.24082051282051276</v>
      </c>
      <c r="AB44" s="52">
        <f>AA44*'Расчет субсидий'!AK44</f>
        <v>2.4082051282051276</v>
      </c>
      <c r="AC44" s="53">
        <f t="shared" si="17"/>
        <v>190.05328370509835</v>
      </c>
      <c r="AD44" s="58">
        <f>'Расчет субсидий'!AN44-1</f>
        <v>0.20819672131147549</v>
      </c>
      <c r="AE44" s="58">
        <f>AD44*'Расчет субсидий'!AO44</f>
        <v>3.1229508196721323</v>
      </c>
      <c r="AF44" s="53">
        <f t="shared" si="18"/>
        <v>246.4603414288807</v>
      </c>
      <c r="AG44" s="52">
        <f t="shared" si="19"/>
        <v>4.1454440497947562</v>
      </c>
    </row>
    <row r="45" spans="1:33" ht="15" customHeight="1">
      <c r="A45" s="30" t="s">
        <v>34</v>
      </c>
      <c r="B45" s="50">
        <f>'Расчет субсидий'!AT45</f>
        <v>-563.4636363636364</v>
      </c>
      <c r="C45" s="52">
        <f>'Расчет субсидий'!D45-1</f>
        <v>-0.40531454109095544</v>
      </c>
      <c r="D45" s="52">
        <f>C45*'Расчет субсидий'!E45</f>
        <v>-2.0265727054547771</v>
      </c>
      <c r="E45" s="53">
        <f t="shared" si="10"/>
        <v>-173.53485793120691</v>
      </c>
      <c r="F45" s="58">
        <f>'Расчет субсидий'!H45-1</f>
        <v>-4.6845124282982709E-2</v>
      </c>
      <c r="G45" s="58">
        <f>F45*'Расчет субсидий'!I45</f>
        <v>-0.23422562141491354</v>
      </c>
      <c r="H45" s="53">
        <f t="shared" si="11"/>
        <v>-20.05667491064149</v>
      </c>
      <c r="I45" s="52">
        <f>'Расчет субсидий'!L45-1</f>
        <v>0.20851405622489949</v>
      </c>
      <c r="J45" s="52">
        <f>I45*'Расчет субсидий'!M45</f>
        <v>3.1277108433734924</v>
      </c>
      <c r="K45" s="53">
        <f t="shared" si="12"/>
        <v>267.82501086380398</v>
      </c>
      <c r="L45" s="52">
        <f>'Расчет субсидий'!P45-1</f>
        <v>0.14226289517470891</v>
      </c>
      <c r="M45" s="52">
        <f>L45*'Расчет субсидий'!Q45</f>
        <v>2.8452579034941783</v>
      </c>
      <c r="N45" s="53">
        <f t="shared" si="13"/>
        <v>243.63864406715405</v>
      </c>
      <c r="O45" s="27" t="s">
        <v>365</v>
      </c>
      <c r="P45" s="27" t="s">
        <v>365</v>
      </c>
      <c r="Q45" s="27" t="s">
        <v>365</v>
      </c>
      <c r="R45" s="58">
        <f>'Расчет субсидий'!X45-1</f>
        <v>-6.7414634146341412E-2</v>
      </c>
      <c r="S45" s="58">
        <f>R45*'Расчет субсидий'!Y45</f>
        <v>-0.33707317073170706</v>
      </c>
      <c r="T45" s="53">
        <f t="shared" si="14"/>
        <v>-28.8634819949486</v>
      </c>
      <c r="U45" s="52">
        <f>'Расчет субсидий'!AB45-1</f>
        <v>5.4617676266137671E-3</v>
      </c>
      <c r="V45" s="52">
        <f>U45*'Расчет субсидий'!AC45</f>
        <v>0.10923535253227534</v>
      </c>
      <c r="W45" s="53">
        <f t="shared" si="15"/>
        <v>9.3537928995741666</v>
      </c>
      <c r="X45" s="52">
        <f>'Расчет субсидий'!AF45-1</f>
        <v>4.2666666666666631E-2</v>
      </c>
      <c r="Y45" s="52">
        <f>X45*'Расчет субсидий'!AG45</f>
        <v>0.42666666666666631</v>
      </c>
      <c r="Z45" s="53">
        <f t="shared" si="16"/>
        <v>36.535348169196872</v>
      </c>
      <c r="AA45" s="52">
        <f>'Расчет субсидий'!AJ45-1</f>
        <v>-2.2836879432624135E-2</v>
      </c>
      <c r="AB45" s="52">
        <f>AA45*'Расчет субсидий'!AK45</f>
        <v>-0.11418439716312068</v>
      </c>
      <c r="AC45" s="53">
        <f t="shared" si="17"/>
        <v>-9.7775782168229828</v>
      </c>
      <c r="AD45" s="58">
        <f>'Расчет субсидий'!AN45-1</f>
        <v>-0.69180327868852465</v>
      </c>
      <c r="AE45" s="58">
        <f>AD45*'Расчет субсидий'!AO45</f>
        <v>-10.377049180327869</v>
      </c>
      <c r="AF45" s="53">
        <f t="shared" si="18"/>
        <v>-888.58383930974537</v>
      </c>
      <c r="AG45" s="52">
        <f t="shared" si="19"/>
        <v>-6.5802343090257756</v>
      </c>
    </row>
    <row r="46" spans="1:33" ht="15" customHeight="1">
      <c r="A46" s="30" t="s">
        <v>35</v>
      </c>
      <c r="B46" s="50">
        <f>'Расчет субсидий'!AT46</f>
        <v>922.27272727272793</v>
      </c>
      <c r="C46" s="52">
        <f>'Расчет субсидий'!D46-1</f>
        <v>8.4276850663243419E-2</v>
      </c>
      <c r="D46" s="52">
        <f>C46*'Расчет субсидий'!E46</f>
        <v>0.42138425331621709</v>
      </c>
      <c r="E46" s="53">
        <f t="shared" si="10"/>
        <v>43.089409805658569</v>
      </c>
      <c r="F46" s="58">
        <f>'Расчет субсидий'!H46-1</f>
        <v>-7.4178403755868594E-2</v>
      </c>
      <c r="G46" s="58">
        <f>F46*'Расчет субсидий'!I46</f>
        <v>-0.37089201877934297</v>
      </c>
      <c r="H46" s="53">
        <f t="shared" si="11"/>
        <v>-37.926234938917382</v>
      </c>
      <c r="I46" s="52">
        <f>'Расчет субсидий'!L46-1</f>
        <v>6.9958847736625529E-2</v>
      </c>
      <c r="J46" s="52">
        <f>I46*'Расчет субсидий'!M46</f>
        <v>1.0493827160493829</v>
      </c>
      <c r="K46" s="53">
        <f t="shared" si="12"/>
        <v>107.30652970293777</v>
      </c>
      <c r="L46" s="52">
        <f>'Расчет субсидий'!P46-1</f>
        <v>0.10932009359510886</v>
      </c>
      <c r="M46" s="52">
        <f>L46*'Расчет субсидий'!Q46</f>
        <v>2.1864018719021772</v>
      </c>
      <c r="N46" s="53">
        <f t="shared" si="13"/>
        <v>223.57448223760238</v>
      </c>
      <c r="O46" s="27" t="s">
        <v>365</v>
      </c>
      <c r="P46" s="27" t="s">
        <v>365</v>
      </c>
      <c r="Q46" s="27" t="s">
        <v>365</v>
      </c>
      <c r="R46" s="58">
        <f>'Расчет субсидий'!X46-1</f>
        <v>5.0413971811995806E-2</v>
      </c>
      <c r="S46" s="58">
        <f>R46*'Расчет субсидий'!Y46</f>
        <v>0.25206985905997903</v>
      </c>
      <c r="T46" s="53">
        <f t="shared" si="14"/>
        <v>25.77585985050862</v>
      </c>
      <c r="U46" s="52">
        <f>'Расчет субсидий'!AB46-1</f>
        <v>1.2000000000000011E-2</v>
      </c>
      <c r="V46" s="52">
        <f>U46*'Расчет субсидий'!AC46</f>
        <v>0.18000000000000016</v>
      </c>
      <c r="W46" s="53">
        <f t="shared" si="15"/>
        <v>18.406225918456869</v>
      </c>
      <c r="X46" s="52">
        <f>'Расчет субсидий'!AF46-1</f>
        <v>2.7530430520382287E-2</v>
      </c>
      <c r="Y46" s="52">
        <f>X46*'Расчет субсидий'!AG46</f>
        <v>0.41295645780573431</v>
      </c>
      <c r="Z46" s="53">
        <f t="shared" si="16"/>
        <v>42.227610315877996</v>
      </c>
      <c r="AA46" s="52">
        <f>'Расчет субсидий'!AJ46-1</f>
        <v>0.11255832037325031</v>
      </c>
      <c r="AB46" s="52">
        <f>AA46*'Расчет субсидий'!AK46</f>
        <v>1.1255832037325031</v>
      </c>
      <c r="AC46" s="53">
        <f t="shared" si="17"/>
        <v>115.09854854400498</v>
      </c>
      <c r="AD46" s="58">
        <f>'Расчет субсидий'!AN46-1</f>
        <v>0.25081967213114753</v>
      </c>
      <c r="AE46" s="58">
        <f>AD46*'Расчет субсидий'!AO46</f>
        <v>3.762295081967213</v>
      </c>
      <c r="AF46" s="53">
        <f t="shared" si="18"/>
        <v>384.7202958365981</v>
      </c>
      <c r="AG46" s="52">
        <f t="shared" si="19"/>
        <v>9.0191814250538638</v>
      </c>
    </row>
    <row r="47" spans="1:33" ht="15" customHeight="1">
      <c r="A47" s="30" t="s">
        <v>36</v>
      </c>
      <c r="B47" s="50">
        <f>'Расчет субсидий'!AT47</f>
        <v>963.57272727272721</v>
      </c>
      <c r="C47" s="52">
        <f>'Расчет субсидий'!D47-1</f>
        <v>-2.6277044233773528E-2</v>
      </c>
      <c r="D47" s="52">
        <f>C47*'Расчет субсидий'!E47</f>
        <v>-0.13138522116886764</v>
      </c>
      <c r="E47" s="53">
        <f t="shared" si="10"/>
        <v>-13.985358388024455</v>
      </c>
      <c r="F47" s="58">
        <f>'Расчет субсидий'!H47-1</f>
        <v>2.8265107212475771E-2</v>
      </c>
      <c r="G47" s="58">
        <f>F47*'Расчет субсидий'!I47</f>
        <v>0.14132553606237885</v>
      </c>
      <c r="H47" s="53">
        <f t="shared" si="11"/>
        <v>15.04345963441116</v>
      </c>
      <c r="I47" s="52">
        <f>'Расчет субсидий'!L47-1</f>
        <v>0</v>
      </c>
      <c r="J47" s="52">
        <f>I47*'Расчет субсидий'!M47</f>
        <v>0</v>
      </c>
      <c r="K47" s="53">
        <f t="shared" si="12"/>
        <v>0</v>
      </c>
      <c r="L47" s="52">
        <f>'Расчет субсидий'!P47-1</f>
        <v>0.11897698688673919</v>
      </c>
      <c r="M47" s="52">
        <f>L47*'Расчет субсидий'!Q47</f>
        <v>2.3795397377347838</v>
      </c>
      <c r="N47" s="53">
        <f t="shared" si="13"/>
        <v>253.29116726145318</v>
      </c>
      <c r="O47" s="27" t="s">
        <v>365</v>
      </c>
      <c r="P47" s="27" t="s">
        <v>365</v>
      </c>
      <c r="Q47" s="27" t="s">
        <v>365</v>
      </c>
      <c r="R47" s="58">
        <f>'Расчет субсидий'!X47-1</f>
        <v>8.7363447409126049E-2</v>
      </c>
      <c r="S47" s="58">
        <f>R47*'Расчет субсидий'!Y47</f>
        <v>0.43681723704563025</v>
      </c>
      <c r="T47" s="53">
        <f t="shared" si="14"/>
        <v>46.497205361460693</v>
      </c>
      <c r="U47" s="52">
        <f>'Расчет субсидий'!AB47-1</f>
        <v>7.1737786023500227E-2</v>
      </c>
      <c r="V47" s="52">
        <f>U47*'Расчет субсидий'!AC47</f>
        <v>1.4347557204700045</v>
      </c>
      <c r="W47" s="53">
        <f t="shared" si="15"/>
        <v>152.72321172448491</v>
      </c>
      <c r="X47" s="52">
        <f>'Расчет субсидий'!AF47-1</f>
        <v>0.1180000000000001</v>
      </c>
      <c r="Y47" s="52">
        <f>X47*'Расчет субсидий'!AG47</f>
        <v>1.7700000000000016</v>
      </c>
      <c r="Z47" s="53">
        <f t="shared" si="16"/>
        <v>188.40843838126375</v>
      </c>
      <c r="AA47" s="52">
        <f>'Расчет субсидий'!AJ47-1</f>
        <v>0.20376086956521733</v>
      </c>
      <c r="AB47" s="52">
        <f>AA47*'Расчет субсидий'!AK47</f>
        <v>2.0376086956521733</v>
      </c>
      <c r="AC47" s="53">
        <f t="shared" si="17"/>
        <v>216.89416518638947</v>
      </c>
      <c r="AD47" s="58">
        <f>'Расчет субсидий'!AN47-1</f>
        <v>6.5573770491803351E-2</v>
      </c>
      <c r="AE47" s="58">
        <f>AD47*'Расчет субсидий'!AO47</f>
        <v>0.98360655737705027</v>
      </c>
      <c r="AF47" s="53">
        <f t="shared" si="18"/>
        <v>104.70043811128858</v>
      </c>
      <c r="AG47" s="52">
        <f t="shared" si="19"/>
        <v>9.0522682631731541</v>
      </c>
    </row>
    <row r="48" spans="1:33" ht="15" customHeight="1">
      <c r="A48" s="30" t="s">
        <v>37</v>
      </c>
      <c r="B48" s="50">
        <f>'Расчет субсидий'!AT48</f>
        <v>470.78181818181838</v>
      </c>
      <c r="C48" s="52">
        <f>'Расчет субсидий'!D48-1</f>
        <v>-1.2388750248448543E-2</v>
      </c>
      <c r="D48" s="52">
        <f>C48*'Расчет субсидий'!E48</f>
        <v>-6.1943751242242717E-2</v>
      </c>
      <c r="E48" s="53">
        <f t="shared" si="10"/>
        <v>-6.3745895274914757</v>
      </c>
      <c r="F48" s="58">
        <f>'Расчет субсидий'!H48-1</f>
        <v>1.1214953271028172E-2</v>
      </c>
      <c r="G48" s="58">
        <f>F48*'Расчет субсидий'!I48</f>
        <v>5.6074766355140859E-2</v>
      </c>
      <c r="H48" s="53">
        <f t="shared" si="11"/>
        <v>5.7706162638766019</v>
      </c>
      <c r="I48" s="52">
        <f>'Расчет субсидий'!L48-1</f>
        <v>-2.2842639593908642E-2</v>
      </c>
      <c r="J48" s="52">
        <f>I48*'Расчет субсидий'!M48</f>
        <v>-0.22842639593908642</v>
      </c>
      <c r="K48" s="53">
        <f t="shared" si="12"/>
        <v>-23.507205846502131</v>
      </c>
      <c r="L48" s="52">
        <f>'Расчет субсидий'!P48-1</f>
        <v>2.7861927976473355E-2</v>
      </c>
      <c r="M48" s="52">
        <f>L48*'Расчет субсидий'!Q48</f>
        <v>0.5572385595294671</v>
      </c>
      <c r="N48" s="53">
        <f t="shared" si="13"/>
        <v>57.345043118224417</v>
      </c>
      <c r="O48" s="27" t="s">
        <v>365</v>
      </c>
      <c r="P48" s="27" t="s">
        <v>365</v>
      </c>
      <c r="Q48" s="27" t="s">
        <v>365</v>
      </c>
      <c r="R48" s="58">
        <f>'Расчет субсидий'!X48-1</f>
        <v>0.14549337335561208</v>
      </c>
      <c r="S48" s="58">
        <f>R48*'Расчет субсидий'!Y48</f>
        <v>0.72746686677806038</v>
      </c>
      <c r="T48" s="53">
        <f t="shared" si="14"/>
        <v>74.8631230360172</v>
      </c>
      <c r="U48" s="52">
        <f>'Расчет субсидий'!AB48-1</f>
        <v>3.8801906058543167E-2</v>
      </c>
      <c r="V48" s="52">
        <f>U48*'Расчет субсидий'!AC48</f>
        <v>0.58202859087814751</v>
      </c>
      <c r="W48" s="53">
        <f t="shared" si="15"/>
        <v>59.896168470699315</v>
      </c>
      <c r="X48" s="52">
        <f>'Расчет субсидий'!AF48-1</f>
        <v>0.11769077144582241</v>
      </c>
      <c r="Y48" s="52">
        <f>X48*'Расчет субсидий'!AG48</f>
        <v>1.1769077144582241</v>
      </c>
      <c r="Z48" s="53">
        <f t="shared" si="16"/>
        <v>121.11477656672987</v>
      </c>
      <c r="AA48" s="52">
        <f>'Расчет субсидий'!AJ48-1</f>
        <v>0.21537074148296598</v>
      </c>
      <c r="AB48" s="52">
        <f>AA48*'Расчет субсидий'!AK48</f>
        <v>1.0768537074148299</v>
      </c>
      <c r="AC48" s="53">
        <f t="shared" si="17"/>
        <v>110.81828640119035</v>
      </c>
      <c r="AD48" s="58">
        <f>'Расчет субсидий'!AN48-1</f>
        <v>4.590163934426239E-2</v>
      </c>
      <c r="AE48" s="58">
        <f>AD48*'Расчет субсидий'!AO48</f>
        <v>0.68852459016393586</v>
      </c>
      <c r="AF48" s="53">
        <f t="shared" si="18"/>
        <v>70.85559969907429</v>
      </c>
      <c r="AG48" s="52">
        <f t="shared" si="19"/>
        <v>4.5747246483964759</v>
      </c>
    </row>
    <row r="49" spans="1:34" ht="15" customHeight="1">
      <c r="A49" s="30" t="s">
        <v>38</v>
      </c>
      <c r="B49" s="50">
        <f>'Расчет субсидий'!AT49</f>
        <v>1031.5636363636368</v>
      </c>
      <c r="C49" s="52">
        <f>'Расчет субсидий'!D49-1</f>
        <v>0.20458443470240151</v>
      </c>
      <c r="D49" s="52">
        <f>C49*'Расчет субсидий'!E49</f>
        <v>1.0229221735120075</v>
      </c>
      <c r="E49" s="53">
        <f t="shared" si="10"/>
        <v>149.15354914207609</v>
      </c>
      <c r="F49" s="58">
        <f>'Расчет субсидий'!H49-1</f>
        <v>-5.0380228136882144E-2</v>
      </c>
      <c r="G49" s="58">
        <f>F49*'Расчет субсидий'!I49</f>
        <v>-0.25190114068441072</v>
      </c>
      <c r="H49" s="53">
        <f t="shared" si="11"/>
        <v>-36.730017335552695</v>
      </c>
      <c r="I49" s="52">
        <f>'Расчет субсидий'!L49-1</f>
        <v>0.17773019271948609</v>
      </c>
      <c r="J49" s="52">
        <f>I49*'Расчет субсидий'!M49</f>
        <v>0.88865096359743045</v>
      </c>
      <c r="K49" s="53">
        <f t="shared" si="12"/>
        <v>129.57529771205679</v>
      </c>
      <c r="L49" s="52">
        <f>'Расчет субсидий'!P49-1</f>
        <v>1.5764775029202482E-2</v>
      </c>
      <c r="M49" s="52">
        <f>L49*'Расчет субсидий'!Q49</f>
        <v>0.31529550058404965</v>
      </c>
      <c r="N49" s="53">
        <f t="shared" si="13"/>
        <v>45.973627474687355</v>
      </c>
      <c r="O49" s="27" t="s">
        <v>365</v>
      </c>
      <c r="P49" s="27" t="s">
        <v>365</v>
      </c>
      <c r="Q49" s="27" t="s">
        <v>365</v>
      </c>
      <c r="R49" s="58">
        <f>'Расчет субсидий'!X49-1</f>
        <v>-7.8078935254174198E-2</v>
      </c>
      <c r="S49" s="58">
        <f>R49*'Расчет субсидий'!Y49</f>
        <v>-0.78078935254174198</v>
      </c>
      <c r="T49" s="53">
        <f t="shared" si="14"/>
        <v>-113.84786260337866</v>
      </c>
      <c r="U49" s="52">
        <f>'Расчет субсидий'!AB49-1</f>
        <v>7.3430241270793228E-3</v>
      </c>
      <c r="V49" s="52">
        <f>U49*'Расчет субсидий'!AC49</f>
        <v>7.3430241270793228E-2</v>
      </c>
      <c r="W49" s="53">
        <f t="shared" si="15"/>
        <v>10.706954432608356</v>
      </c>
      <c r="X49" s="52">
        <f>'Расчет субсидий'!AF49-1</f>
        <v>-5.1109578015407608E-2</v>
      </c>
      <c r="Y49" s="52">
        <f>X49*'Расчет субсидий'!AG49</f>
        <v>-1.0221915603081522</v>
      </c>
      <c r="Z49" s="53">
        <f t="shared" si="16"/>
        <v>-149.04701752586237</v>
      </c>
      <c r="AA49" s="52">
        <f>'Расчет субсидий'!AJ49-1</f>
        <v>0.23292342512259512</v>
      </c>
      <c r="AB49" s="52">
        <f>AA49*'Расчет субсидий'!AK49</f>
        <v>2.3292342512259512</v>
      </c>
      <c r="AC49" s="53">
        <f t="shared" si="17"/>
        <v>339.62853123112853</v>
      </c>
      <c r="AD49" s="58">
        <f>'Расчет субсидий'!AN49-1</f>
        <v>0.30000000000000004</v>
      </c>
      <c r="AE49" s="58">
        <f>AD49*'Расчет субсидий'!AO49</f>
        <v>4.5000000000000009</v>
      </c>
      <c r="AF49" s="53">
        <f t="shared" si="18"/>
        <v>656.15057383587339</v>
      </c>
      <c r="AG49" s="52">
        <f t="shared" si="19"/>
        <v>7.0746510766559281</v>
      </c>
    </row>
    <row r="50" spans="1:34" ht="15" customHeight="1">
      <c r="A50" s="30" t="s">
        <v>39</v>
      </c>
      <c r="B50" s="50">
        <f>'Расчет субсидий'!AT50</f>
        <v>805.42727272727279</v>
      </c>
      <c r="C50" s="52">
        <f>'Расчет субсидий'!D50-1</f>
        <v>-0.2215957256875335</v>
      </c>
      <c r="D50" s="52">
        <f>C50*'Расчет субсидий'!E50</f>
        <v>-1.1079786284376674</v>
      </c>
      <c r="E50" s="53">
        <f t="shared" si="10"/>
        <v>-107.40055633430457</v>
      </c>
      <c r="F50" s="58">
        <f>'Расчет субсидий'!H50-1</f>
        <v>6.7426400759734273E-2</v>
      </c>
      <c r="G50" s="58">
        <f>F50*'Расчет субсидий'!I50</f>
        <v>0.33713200379867136</v>
      </c>
      <c r="H50" s="53">
        <f t="shared" si="11"/>
        <v>32.679479402172589</v>
      </c>
      <c r="I50" s="52">
        <f>'Расчет субсидий'!L50-1</f>
        <v>7.4380165289256173E-2</v>
      </c>
      <c r="J50" s="52">
        <f>I50*'Расчет субсидий'!M50</f>
        <v>0.37190082644628086</v>
      </c>
      <c r="K50" s="53">
        <f t="shared" si="12"/>
        <v>36.049752798788113</v>
      </c>
      <c r="L50" s="52">
        <f>'Расчет субсидий'!P50-1</f>
        <v>1.4497465754257366E-2</v>
      </c>
      <c r="M50" s="52">
        <f>L50*'Расчет субсидий'!Q50</f>
        <v>0.28994931508514732</v>
      </c>
      <c r="N50" s="53">
        <f t="shared" si="13"/>
        <v>28.10588304650436</v>
      </c>
      <c r="O50" s="27" t="s">
        <v>365</v>
      </c>
      <c r="P50" s="27" t="s">
        <v>365</v>
      </c>
      <c r="Q50" s="27" t="s">
        <v>365</v>
      </c>
      <c r="R50" s="58">
        <f>'Расчет субсидий'!X50-1</f>
        <v>4.3643533849380578E-2</v>
      </c>
      <c r="S50" s="58">
        <f>R50*'Расчет субсидий'!Y50</f>
        <v>0.21821766924690289</v>
      </c>
      <c r="T50" s="53">
        <f t="shared" si="14"/>
        <v>21.152663487869013</v>
      </c>
      <c r="U50" s="52">
        <f>'Расчет субсидий'!AB50-1</f>
        <v>0.10309734513274327</v>
      </c>
      <c r="V50" s="52">
        <f>U50*'Расчет субсидий'!AC50</f>
        <v>2.0619469026548654</v>
      </c>
      <c r="W50" s="53">
        <f t="shared" si="15"/>
        <v>199.8723069137134</v>
      </c>
      <c r="X50" s="52">
        <f>'Расчет субсидий'!AF50-1</f>
        <v>8.665461121157314E-2</v>
      </c>
      <c r="Y50" s="52">
        <f>X50*'Расчет субсидий'!AG50</f>
        <v>1.2998191681735971</v>
      </c>
      <c r="Z50" s="53">
        <f t="shared" si="16"/>
        <v>125.99638495977632</v>
      </c>
      <c r="AA50" s="52">
        <f>'Расчет субсидий'!AJ50-1</f>
        <v>0.21823214285714276</v>
      </c>
      <c r="AB50" s="52">
        <f>AA50*'Расчет субсидий'!AK50</f>
        <v>2.1823214285714276</v>
      </c>
      <c r="AC50" s="53">
        <f t="shared" si="17"/>
        <v>211.5406646961616</v>
      </c>
      <c r="AD50" s="58">
        <f>'Расчет субсидий'!AN50-1</f>
        <v>0.17704918032786887</v>
      </c>
      <c r="AE50" s="58">
        <f>AD50*'Расчет субсидий'!AO50</f>
        <v>2.6557377049180331</v>
      </c>
      <c r="AF50" s="53">
        <f t="shared" si="18"/>
        <v>257.43069375659195</v>
      </c>
      <c r="AG50" s="52">
        <f t="shared" si="19"/>
        <v>8.309046390457258</v>
      </c>
    </row>
    <row r="51" spans="1:34" ht="15" customHeight="1">
      <c r="A51" s="30" t="s">
        <v>2</v>
      </c>
      <c r="B51" s="50">
        <f>'Расчет субсидий'!AT51</f>
        <v>533.24545454545387</v>
      </c>
      <c r="C51" s="52">
        <f>'Расчет субсидий'!D51-1</f>
        <v>0.18089305895030106</v>
      </c>
      <c r="D51" s="52">
        <f>C51*'Расчет субсидий'!E51</f>
        <v>0.90446529475150528</v>
      </c>
      <c r="E51" s="53">
        <f t="shared" si="10"/>
        <v>60.539843226666193</v>
      </c>
      <c r="F51" s="58">
        <f>'Расчет субсидий'!H51-1</f>
        <v>-5.7416267942582699E-3</v>
      </c>
      <c r="G51" s="58">
        <f>F51*'Расчет субсидий'!I51</f>
        <v>-2.870813397129135E-2</v>
      </c>
      <c r="H51" s="53">
        <f t="shared" si="11"/>
        <v>-1.921561766977036</v>
      </c>
      <c r="I51" s="52">
        <f>'Расчет субсидий'!L51-1</f>
        <v>2.0408163265306145E-2</v>
      </c>
      <c r="J51" s="52">
        <f>I51*'Расчет субсидий'!M51</f>
        <v>0.30612244897959218</v>
      </c>
      <c r="K51" s="53">
        <f t="shared" si="12"/>
        <v>20.490122923377967</v>
      </c>
      <c r="L51" s="52">
        <f>'Расчет субсидий'!P51-1</f>
        <v>7.0437293780835297E-2</v>
      </c>
      <c r="M51" s="52">
        <f>L51*'Расчет субсидий'!Q51</f>
        <v>1.4087458756167059</v>
      </c>
      <c r="N51" s="53">
        <f t="shared" si="13"/>
        <v>94.293562120014144</v>
      </c>
      <c r="O51" s="27" t="s">
        <v>365</v>
      </c>
      <c r="P51" s="27" t="s">
        <v>365</v>
      </c>
      <c r="Q51" s="27" t="s">
        <v>365</v>
      </c>
      <c r="R51" s="58">
        <f>'Расчет субсидий'!X51-1</f>
        <v>0.14627812028403975</v>
      </c>
      <c r="S51" s="58">
        <f>R51*'Расчет субсидий'!Y51</f>
        <v>0.73139060142019874</v>
      </c>
      <c r="T51" s="53">
        <f t="shared" si="14"/>
        <v>48.955192205137109</v>
      </c>
      <c r="U51" s="52">
        <f>'Расчет субсидий'!AB51-1</f>
        <v>-8.3577712609970711E-2</v>
      </c>
      <c r="V51" s="52">
        <f>U51*'Расчет субсидий'!AC51</f>
        <v>-1.2536656891495608</v>
      </c>
      <c r="W51" s="53">
        <f t="shared" si="15"/>
        <v>-83.913362646619703</v>
      </c>
      <c r="X51" s="52">
        <f>'Расчет субсидий'!AF51-1</f>
        <v>0.22483488372093019</v>
      </c>
      <c r="Y51" s="52">
        <f>X51*'Расчет субсидий'!AG51</f>
        <v>4.4966976744186038</v>
      </c>
      <c r="Z51" s="53">
        <f t="shared" si="16"/>
        <v>300.98376778714282</v>
      </c>
      <c r="AA51" s="52">
        <f>'Расчет субсидий'!AJ51-1</f>
        <v>0.30000000000000004</v>
      </c>
      <c r="AB51" s="52">
        <f>AA51*'Расчет субсидий'!AK51</f>
        <v>1.5000000000000002</v>
      </c>
      <c r="AC51" s="53">
        <f t="shared" si="17"/>
        <v>100.40160232455194</v>
      </c>
      <c r="AD51" s="58">
        <f>'Расчет субсидий'!AN51-1</f>
        <v>-6.5573770491803574E-3</v>
      </c>
      <c r="AE51" s="58">
        <f>AD51*'Расчет субсидий'!AO51</f>
        <v>-9.836065573770536E-2</v>
      </c>
      <c r="AF51" s="53">
        <f t="shared" si="18"/>
        <v>-6.5837116278395005</v>
      </c>
      <c r="AG51" s="52">
        <f t="shared" si="19"/>
        <v>7.9666874163280479</v>
      </c>
    </row>
    <row r="52" spans="1:34" ht="15" customHeight="1">
      <c r="A52" s="30" t="s">
        <v>40</v>
      </c>
      <c r="B52" s="50">
        <f>'Расчет субсидий'!AT52</f>
        <v>-18.472727272726843</v>
      </c>
      <c r="C52" s="52">
        <f>'Расчет субсидий'!D52-1</f>
        <v>0.17416939340548709</v>
      </c>
      <c r="D52" s="52">
        <f>C52*'Расчет субсидий'!E52</f>
        <v>0.87084696702743547</v>
      </c>
      <c r="E52" s="53">
        <f t="shared" si="10"/>
        <v>53.60032251114967</v>
      </c>
      <c r="F52" s="58">
        <f>'Расчет субсидий'!H52-1</f>
        <v>-8.5388994307400434E-3</v>
      </c>
      <c r="G52" s="58">
        <f>F52*'Расчет субсидий'!I52</f>
        <v>-4.2694497153700217E-2</v>
      </c>
      <c r="H52" s="53">
        <f t="shared" si="11"/>
        <v>-2.6278311845089051</v>
      </c>
      <c r="I52" s="52">
        <f>'Расчет субсидий'!L52-1</f>
        <v>3.0927835051546282E-2</v>
      </c>
      <c r="J52" s="52">
        <f>I52*'Расчет субсидий'!M52</f>
        <v>0.30927835051546282</v>
      </c>
      <c r="K52" s="53">
        <f t="shared" si="12"/>
        <v>19.035972979191577</v>
      </c>
      <c r="L52" s="52">
        <f>'Расчет субсидий'!P52-1</f>
        <v>-0.1922782418107355</v>
      </c>
      <c r="M52" s="52">
        <f>L52*'Расчет субсидий'!Q52</f>
        <v>-3.8455648362147099</v>
      </c>
      <c r="N52" s="53">
        <f t="shared" si="13"/>
        <v>-236.69315420851791</v>
      </c>
      <c r="O52" s="27" t="s">
        <v>365</v>
      </c>
      <c r="P52" s="27" t="s">
        <v>365</v>
      </c>
      <c r="Q52" s="27" t="s">
        <v>365</v>
      </c>
      <c r="R52" s="58">
        <f>'Расчет субсидий'!X52-1</f>
        <v>7.3089563937898117E-3</v>
      </c>
      <c r="S52" s="58">
        <f>R52*'Расчет субсидий'!Y52</f>
        <v>3.6544781968949058E-2</v>
      </c>
      <c r="T52" s="53">
        <f t="shared" si="14"/>
        <v>2.2493183920954114</v>
      </c>
      <c r="U52" s="52">
        <f>'Расчет субсидий'!AB52-1</f>
        <v>2.1897810218978186E-2</v>
      </c>
      <c r="V52" s="52">
        <f>U52*'Расчет субсидий'!AC52</f>
        <v>0.43795620437956373</v>
      </c>
      <c r="W52" s="53">
        <f t="shared" si="15"/>
        <v>26.956049328198493</v>
      </c>
      <c r="X52" s="52">
        <f>'Расчет субсидий'!AF52-1</f>
        <v>-3.2067796610169452E-2</v>
      </c>
      <c r="Y52" s="52">
        <f>X52*'Расчет субсидий'!AG52</f>
        <v>-0.48101694915254178</v>
      </c>
      <c r="Z52" s="53">
        <f t="shared" si="16"/>
        <v>-29.606422924009856</v>
      </c>
      <c r="AA52" s="52">
        <f>'Расчет субсидий'!AJ52-1</f>
        <v>0.26112440191387565</v>
      </c>
      <c r="AB52" s="52">
        <f>AA52*'Расчет субсидий'!AK52</f>
        <v>2.6112440191387565</v>
      </c>
      <c r="AC52" s="53">
        <f t="shared" si="17"/>
        <v>160.72114490896374</v>
      </c>
      <c r="AD52" s="58">
        <f>'Расчет субсидий'!AN52-1</f>
        <v>-1.3114754098360604E-2</v>
      </c>
      <c r="AE52" s="58">
        <f>AD52*'Расчет субсидий'!AO52</f>
        <v>-0.19672131147540906</v>
      </c>
      <c r="AF52" s="53">
        <f t="shared" si="18"/>
        <v>-12.108127075289064</v>
      </c>
      <c r="AG52" s="52">
        <f t="shared" si="19"/>
        <v>-0.30012727096619318</v>
      </c>
    </row>
    <row r="53" spans="1:34" ht="15" customHeight="1">
      <c r="A53" s="30" t="s">
        <v>3</v>
      </c>
      <c r="B53" s="50">
        <f>'Расчет субсидий'!AT53</f>
        <v>1074.5090909090904</v>
      </c>
      <c r="C53" s="52">
        <f>'Расчет субсидий'!D53-1</f>
        <v>-1.2920773609656933E-2</v>
      </c>
      <c r="D53" s="52">
        <f>C53*'Расчет субсидий'!E53</f>
        <v>-6.4603868048284663E-2</v>
      </c>
      <c r="E53" s="53">
        <f t="shared" si="10"/>
        <v>-4.4526604581879177</v>
      </c>
      <c r="F53" s="58">
        <f>'Расчет субсидий'!H53-1</f>
        <v>-2.9865125240847723E-2</v>
      </c>
      <c r="G53" s="58">
        <f>F53*'Расчет субсидий'!I53</f>
        <v>-0.14932562620423862</v>
      </c>
      <c r="H53" s="53">
        <f t="shared" si="11"/>
        <v>-10.291896310246036</v>
      </c>
      <c r="I53" s="52">
        <f>'Расчет субсидий'!L53-1</f>
        <v>0.23467625899280575</v>
      </c>
      <c r="J53" s="52">
        <f>I53*'Расчет субсидий'!M53</f>
        <v>2.3467625899280575</v>
      </c>
      <c r="K53" s="53">
        <f t="shared" si="12"/>
        <v>161.74475777700394</v>
      </c>
      <c r="L53" s="52">
        <f>'Расчет субсидий'!P53-1</f>
        <v>0.19884116064768431</v>
      </c>
      <c r="M53" s="52">
        <f>L53*'Расчет субсидий'!Q53</f>
        <v>3.9768232129536862</v>
      </c>
      <c r="N53" s="53">
        <f t="shared" si="13"/>
        <v>274.09262021723276</v>
      </c>
      <c r="O53" s="27" t="s">
        <v>365</v>
      </c>
      <c r="P53" s="27" t="s">
        <v>365</v>
      </c>
      <c r="Q53" s="27" t="s">
        <v>365</v>
      </c>
      <c r="R53" s="58">
        <f>'Расчет субсидий'!X53-1</f>
        <v>-0.1001113811582155</v>
      </c>
      <c r="S53" s="58">
        <f>R53*'Расчет субсидий'!Y53</f>
        <v>-0.50055690579107748</v>
      </c>
      <c r="T53" s="53">
        <f t="shared" si="14"/>
        <v>-34.499636149077361</v>
      </c>
      <c r="U53" s="52">
        <f>'Расчет субсидий'!AB53-1</f>
        <v>1.3333333333334085E-3</v>
      </c>
      <c r="V53" s="52">
        <f>U53*'Расчет субсидий'!AC53</f>
        <v>2.6666666666668171E-2</v>
      </c>
      <c r="W53" s="53">
        <f t="shared" si="15"/>
        <v>1.837933483016948</v>
      </c>
      <c r="X53" s="52">
        <f>'Расчет субсидий'!AF53-1</f>
        <v>0.21575373472159343</v>
      </c>
      <c r="Y53" s="52">
        <f>X53*'Расчет субсидий'!AG53</f>
        <v>3.2363060208239016</v>
      </c>
      <c r="Z53" s="53">
        <f t="shared" si="16"/>
        <v>223.05431988604715</v>
      </c>
      <c r="AA53" s="52">
        <f>'Расчет субсидий'!AJ53-1</f>
        <v>0.30000000000000004</v>
      </c>
      <c r="AB53" s="52">
        <f>AA53*'Расчет субсидий'!AK53</f>
        <v>3.0000000000000004</v>
      </c>
      <c r="AC53" s="53">
        <f t="shared" si="17"/>
        <v>206.76751683939503</v>
      </c>
      <c r="AD53" s="58">
        <f>'Расчет субсидий'!AN53-1</f>
        <v>0.24786885245901624</v>
      </c>
      <c r="AE53" s="58">
        <f>AD53*'Расчет субсидий'!AO53</f>
        <v>3.7180327868852436</v>
      </c>
      <c r="AF53" s="53">
        <f t="shared" si="18"/>
        <v>256.25613562390578</v>
      </c>
      <c r="AG53" s="52">
        <f t="shared" si="19"/>
        <v>15.590104877213959</v>
      </c>
    </row>
    <row r="54" spans="1:34" ht="15" customHeight="1">
      <c r="A54" s="30" t="s">
        <v>41</v>
      </c>
      <c r="B54" s="50">
        <f>'Расчет субсидий'!AT54</f>
        <v>1066.2363636363643</v>
      </c>
      <c r="C54" s="52">
        <f>'Расчет субсидий'!D54-1</f>
        <v>2.6917694321418661E-2</v>
      </c>
      <c r="D54" s="52">
        <f>C54*'Расчет субсидий'!E54</f>
        <v>0.13458847160709331</v>
      </c>
      <c r="E54" s="53">
        <f t="shared" si="10"/>
        <v>13.338614495478751</v>
      </c>
      <c r="F54" s="58">
        <f>'Расчет субсидий'!H54-1</f>
        <v>-3.0245746691871522E-2</v>
      </c>
      <c r="G54" s="58">
        <f>F54*'Расчет субсидий'!I54</f>
        <v>-0.15122873345935761</v>
      </c>
      <c r="H54" s="53">
        <f t="shared" si="11"/>
        <v>-14.987775343364303</v>
      </c>
      <c r="I54" s="52">
        <f>'Расчет субсидий'!L54-1</f>
        <v>0.20333333333333337</v>
      </c>
      <c r="J54" s="52">
        <f>I54*'Расчет субсидий'!M54</f>
        <v>2.0333333333333337</v>
      </c>
      <c r="K54" s="53">
        <f t="shared" si="12"/>
        <v>201.51688439792574</v>
      </c>
      <c r="L54" s="52">
        <f>'Расчет субсидий'!P54-1</f>
        <v>0.13795629195107639</v>
      </c>
      <c r="M54" s="52">
        <f>L54*'Расчет субсидий'!Q54</f>
        <v>2.7591258390215279</v>
      </c>
      <c r="N54" s="53">
        <f t="shared" si="13"/>
        <v>273.44775872529391</v>
      </c>
      <c r="O54" s="27" t="s">
        <v>365</v>
      </c>
      <c r="P54" s="27" t="s">
        <v>365</v>
      </c>
      <c r="Q54" s="27" t="s">
        <v>365</v>
      </c>
      <c r="R54" s="58">
        <f>'Расчет субсидий'!X54-1</f>
        <v>2.1025641025640418E-3</v>
      </c>
      <c r="S54" s="58">
        <f>R54*'Расчет субсидий'!Y54</f>
        <v>1.0512820512820209E-2</v>
      </c>
      <c r="T54" s="53">
        <f t="shared" si="14"/>
        <v>1.0418905750712124</v>
      </c>
      <c r="U54" s="52">
        <f>'Расчет субсидий'!AB54-1</f>
        <v>-2.2880215343203281E-2</v>
      </c>
      <c r="V54" s="52">
        <f>U54*'Расчет субсидий'!AC54</f>
        <v>-0.34320323014804921</v>
      </c>
      <c r="W54" s="53">
        <f t="shared" si="15"/>
        <v>-34.013727371183172</v>
      </c>
      <c r="X54" s="52">
        <f>'Расчет субсидий'!AF54-1</f>
        <v>-2.6170105686965317E-2</v>
      </c>
      <c r="Y54" s="52">
        <f>X54*'Расчет субсидий'!AG54</f>
        <v>-0.26170105686965317</v>
      </c>
      <c r="Z54" s="53">
        <f t="shared" si="16"/>
        <v>-25.93631883148371</v>
      </c>
      <c r="AA54" s="52">
        <f>'Расчет субсидий'!AJ54-1</f>
        <v>0.20770454545454542</v>
      </c>
      <c r="AB54" s="52">
        <f>AA54*'Расчет субсидий'!AK54</f>
        <v>2.0770454545454542</v>
      </c>
      <c r="AC54" s="53">
        <f t="shared" si="17"/>
        <v>205.8490469276426</v>
      </c>
      <c r="AD54" s="58">
        <f>'Расчет субсидий'!AN54-1</f>
        <v>0.30000000000000004</v>
      </c>
      <c r="AE54" s="58">
        <f>AD54*'Расчет субсидий'!AO54</f>
        <v>4.5000000000000009</v>
      </c>
      <c r="AF54" s="53">
        <f t="shared" si="18"/>
        <v>445.97999006098314</v>
      </c>
      <c r="AG54" s="52">
        <f t="shared" si="19"/>
        <v>10.758472898543172</v>
      </c>
    </row>
    <row r="55" spans="1:34" ht="15" customHeight="1">
      <c r="A55" s="31" t="s">
        <v>42</v>
      </c>
      <c r="B55" s="49">
        <f>'Расчет субсидий'!AT55</f>
        <v>-555.0090909090909</v>
      </c>
      <c r="C55" s="49"/>
      <c r="D55" s="49"/>
      <c r="E55" s="49">
        <f>SUM(E57:E378)</f>
        <v>80.01672040919496</v>
      </c>
      <c r="F55" s="49"/>
      <c r="G55" s="49"/>
      <c r="H55" s="49"/>
      <c r="I55" s="49"/>
      <c r="J55" s="49"/>
      <c r="K55" s="49"/>
      <c r="L55" s="49"/>
      <c r="M55" s="49"/>
      <c r="N55" s="49">
        <f>SUM(N57:N378)</f>
        <v>-893.21234219852079</v>
      </c>
      <c r="O55" s="49"/>
      <c r="P55" s="49"/>
      <c r="Q55" s="49"/>
      <c r="R55" s="49"/>
      <c r="S55" s="49"/>
      <c r="T55" s="49">
        <f>SUM(T57:T378)</f>
        <v>-593.96727219674392</v>
      </c>
      <c r="U55" s="49"/>
      <c r="V55" s="49"/>
      <c r="W55" s="49">
        <f>SUM(W57:W378)</f>
        <v>852.1538030769799</v>
      </c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4" ht="15" customHeight="1">
      <c r="A56" s="32" t="s">
        <v>43</v>
      </c>
      <c r="B56" s="54"/>
      <c r="C56" s="55"/>
      <c r="D56" s="55"/>
      <c r="E56" s="56"/>
      <c r="F56" s="55"/>
      <c r="G56" s="55"/>
      <c r="H56" s="56"/>
      <c r="I56" s="56"/>
      <c r="J56" s="56"/>
      <c r="K56" s="56"/>
      <c r="L56" s="55"/>
      <c r="M56" s="55"/>
      <c r="N56" s="56"/>
      <c r="O56" s="55"/>
      <c r="P56" s="55"/>
      <c r="Q56" s="56"/>
      <c r="R56" s="56"/>
      <c r="S56" s="56"/>
      <c r="T56" s="56"/>
      <c r="U56" s="56"/>
      <c r="V56" s="56"/>
      <c r="W56" s="56"/>
      <c r="X56" s="27"/>
      <c r="Y56" s="27"/>
      <c r="Z56" s="27"/>
      <c r="AA56" s="27"/>
      <c r="AB56" s="27"/>
      <c r="AC56" s="27"/>
      <c r="AD56" s="27"/>
      <c r="AE56" s="27"/>
      <c r="AF56" s="27"/>
      <c r="AG56" s="56"/>
    </row>
    <row r="57" spans="1:34" ht="15" customHeight="1">
      <c r="A57" s="33" t="s">
        <v>44</v>
      </c>
      <c r="B57" s="50">
        <f>'Расчет субсидий'!AT57</f>
        <v>46.736363636363649</v>
      </c>
      <c r="C57" s="52">
        <f>'Расчет субсидий'!D57-1</f>
        <v>0.10428571428571431</v>
      </c>
      <c r="D57" s="52">
        <f>C57*'Расчет субсидий'!E57</f>
        <v>0.52142857142857157</v>
      </c>
      <c r="E57" s="53">
        <f t="shared" ref="E57:E120" si="20">$B57*D57/$AG57</f>
        <v>4.4244293965160031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2">
        <f>'Расчет субсидий'!P57-1</f>
        <v>0.30000000000000004</v>
      </c>
      <c r="M57" s="52">
        <f>L57*'Расчет субсидий'!Q57</f>
        <v>6.0000000000000009</v>
      </c>
      <c r="N57" s="53">
        <f t="shared" ref="N57:N120" si="21">$B57*M57/$AG57</f>
        <v>50.911242370869076</v>
      </c>
      <c r="O57" s="27" t="s">
        <v>365</v>
      </c>
      <c r="P57" s="27" t="s">
        <v>365</v>
      </c>
      <c r="Q57" s="27" t="s">
        <v>365</v>
      </c>
      <c r="R57" s="58">
        <f>'Расчет субсидий'!X57-1</f>
        <v>-0.17387096774193544</v>
      </c>
      <c r="S57" s="58">
        <f>R57*'Расчет субсидий'!Y57</f>
        <v>-0.86935483870967722</v>
      </c>
      <c r="T57" s="53">
        <f t="shared" ref="T57:T120" si="22">$B57*S57/$AG57</f>
        <v>-7.3766558166393601</v>
      </c>
      <c r="U57" s="52">
        <f>'Расчет субсидий'!AB57-1</f>
        <v>-7.2046109510086609E-3</v>
      </c>
      <c r="V57" s="52">
        <f>U57*'Расчет субсидий'!AC57</f>
        <v>-0.14409221902017322</v>
      </c>
      <c r="W57" s="53">
        <f t="shared" ref="W57:W120" si="23">$B57*V57/$AG57</f>
        <v>-1.2226523143820647</v>
      </c>
      <c r="X57" s="27" t="s">
        <v>365</v>
      </c>
      <c r="Y57" s="27" t="s">
        <v>365</v>
      </c>
      <c r="Z57" s="27" t="s">
        <v>365</v>
      </c>
      <c r="AA57" s="27" t="s">
        <v>365</v>
      </c>
      <c r="AB57" s="27" t="s">
        <v>365</v>
      </c>
      <c r="AC57" s="27" t="s">
        <v>365</v>
      </c>
      <c r="AD57" s="27" t="s">
        <v>365</v>
      </c>
      <c r="AE57" s="27" t="s">
        <v>365</v>
      </c>
      <c r="AF57" s="27" t="s">
        <v>365</v>
      </c>
      <c r="AG57" s="52">
        <f>D57+M57+S57+V57</f>
        <v>5.5079815136987218</v>
      </c>
      <c r="AH57" s="80"/>
    </row>
    <row r="58" spans="1:34" ht="15" customHeight="1">
      <c r="A58" s="33" t="s">
        <v>45</v>
      </c>
      <c r="B58" s="50">
        <f>'Расчет субсидий'!AT58</f>
        <v>53.600000000000023</v>
      </c>
      <c r="C58" s="52">
        <f>'Расчет субсидий'!D58-1</f>
        <v>4.1600000000000081E-2</v>
      </c>
      <c r="D58" s="52">
        <f>C58*'Расчет субсидий'!E58</f>
        <v>0.20800000000000041</v>
      </c>
      <c r="E58" s="53">
        <f t="shared" si="20"/>
        <v>2.0846022255303454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2">
        <f>'Расчет субсидий'!P58-1</f>
        <v>0.20577767250907941</v>
      </c>
      <c r="M58" s="52">
        <f>L58*'Расчет субсидий'!Q58</f>
        <v>4.1155534501815882</v>
      </c>
      <c r="N58" s="53">
        <f t="shared" si="21"/>
        <v>41.24659558431545</v>
      </c>
      <c r="O58" s="27" t="s">
        <v>365</v>
      </c>
      <c r="P58" s="27" t="s">
        <v>365</v>
      </c>
      <c r="Q58" s="27" t="s">
        <v>365</v>
      </c>
      <c r="R58" s="58">
        <f>'Расчет субсидий'!X58-1</f>
        <v>1.0904845300642174E-2</v>
      </c>
      <c r="S58" s="58">
        <f>R58*'Расчет субсидий'!Y58</f>
        <v>5.4524226503210871E-2</v>
      </c>
      <c r="T58" s="53">
        <f t="shared" si="22"/>
        <v>0.5464486726630472</v>
      </c>
      <c r="U58" s="52">
        <f>'Расчет субсидий'!AB58-1</f>
        <v>4.8504446240905441E-2</v>
      </c>
      <c r="V58" s="52">
        <f>U58*'Расчет субсидий'!AC58</f>
        <v>0.97008892481810882</v>
      </c>
      <c r="W58" s="53">
        <f t="shared" si="23"/>
        <v>9.7223535174911806</v>
      </c>
      <c r="X58" s="27" t="s">
        <v>365</v>
      </c>
      <c r="Y58" s="27" t="s">
        <v>365</v>
      </c>
      <c r="Z58" s="27" t="s">
        <v>365</v>
      </c>
      <c r="AA58" s="27" t="s">
        <v>365</v>
      </c>
      <c r="AB58" s="27" t="s">
        <v>365</v>
      </c>
      <c r="AC58" s="27" t="s">
        <v>365</v>
      </c>
      <c r="AD58" s="27" t="s">
        <v>365</v>
      </c>
      <c r="AE58" s="27" t="s">
        <v>365</v>
      </c>
      <c r="AF58" s="27" t="s">
        <v>365</v>
      </c>
      <c r="AG58" s="52">
        <f t="shared" ref="AG58:AG121" si="24">D58+M58+S58+V58</f>
        <v>5.3481666015029079</v>
      </c>
      <c r="AH58" s="80"/>
    </row>
    <row r="59" spans="1:34" ht="15" customHeight="1">
      <c r="A59" s="33" t="s">
        <v>46</v>
      </c>
      <c r="B59" s="50">
        <f>'Расчет субсидий'!AT59</f>
        <v>15.963636363636397</v>
      </c>
      <c r="C59" s="52">
        <f>'Расчет субсидий'!D59-1</f>
        <v>-1.7101449275362279E-2</v>
      </c>
      <c r="D59" s="52">
        <f>C59*'Расчет субсидий'!E59</f>
        <v>-8.5507246376811397E-2</v>
      </c>
      <c r="E59" s="53">
        <f t="shared" si="20"/>
        <v>-0.63785997548854212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2">
        <f>'Расчет субсидий'!P59-1</f>
        <v>0.13277428371767996</v>
      </c>
      <c r="M59" s="52">
        <f>L59*'Расчет субсидий'!Q59</f>
        <v>2.6554856743535993</v>
      </c>
      <c r="N59" s="53">
        <f t="shared" si="21"/>
        <v>19.809175232810542</v>
      </c>
      <c r="O59" s="27" t="s">
        <v>365</v>
      </c>
      <c r="P59" s="27" t="s">
        <v>365</v>
      </c>
      <c r="Q59" s="27" t="s">
        <v>365</v>
      </c>
      <c r="R59" s="58">
        <f>'Расчет субсидий'!X59-1</f>
        <v>-8.5999999999999965E-2</v>
      </c>
      <c r="S59" s="58">
        <f>R59*'Расчет субсидий'!Y59</f>
        <v>-0.42999999999999983</v>
      </c>
      <c r="T59" s="53">
        <f t="shared" si="22"/>
        <v>-3.2076788936856064</v>
      </c>
      <c r="U59" s="52">
        <f>'Расчет субсидий'!AB59-1</f>
        <v>0</v>
      </c>
      <c r="V59" s="52">
        <f>U59*'Расчет субсидий'!AC59</f>
        <v>0</v>
      </c>
      <c r="W59" s="53">
        <f t="shared" si="23"/>
        <v>0</v>
      </c>
      <c r="X59" s="27" t="s">
        <v>365</v>
      </c>
      <c r="Y59" s="27" t="s">
        <v>365</v>
      </c>
      <c r="Z59" s="27" t="s">
        <v>365</v>
      </c>
      <c r="AA59" s="27" t="s">
        <v>365</v>
      </c>
      <c r="AB59" s="27" t="s">
        <v>365</v>
      </c>
      <c r="AC59" s="27" t="s">
        <v>365</v>
      </c>
      <c r="AD59" s="27" t="s">
        <v>365</v>
      </c>
      <c r="AE59" s="27" t="s">
        <v>365</v>
      </c>
      <c r="AF59" s="27" t="s">
        <v>365</v>
      </c>
      <c r="AG59" s="52">
        <f t="shared" si="24"/>
        <v>2.1399784279767884</v>
      </c>
      <c r="AH59" s="80"/>
    </row>
    <row r="60" spans="1:34" ht="15" customHeight="1">
      <c r="A60" s="33" t="s">
        <v>47</v>
      </c>
      <c r="B60" s="50">
        <f>'Расчет субсидий'!AT60</f>
        <v>38.627272727272697</v>
      </c>
      <c r="C60" s="52">
        <f>'Расчет субсидий'!D60-1</f>
        <v>-1</v>
      </c>
      <c r="D60" s="52">
        <f>C60*'Расчет субсидий'!E60</f>
        <v>0</v>
      </c>
      <c r="E60" s="53">
        <f t="shared" si="20"/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2">
        <f>'Расчет субсидий'!P60-1</f>
        <v>0.24165933375235693</v>
      </c>
      <c r="M60" s="52">
        <f>L60*'Расчет субсидий'!Q60</f>
        <v>4.8331866750471386</v>
      </c>
      <c r="N60" s="53">
        <f t="shared" si="21"/>
        <v>25.506332591970875</v>
      </c>
      <c r="O60" s="27" t="s">
        <v>365</v>
      </c>
      <c r="P60" s="27" t="s">
        <v>365</v>
      </c>
      <c r="Q60" s="27" t="s">
        <v>365</v>
      </c>
      <c r="R60" s="58">
        <f>'Расчет субсидий'!X60-1</f>
        <v>0.16758620689655168</v>
      </c>
      <c r="S60" s="58">
        <f>R60*'Расчет субсидий'!Y60</f>
        <v>0.83793103448275841</v>
      </c>
      <c r="T60" s="53">
        <f t="shared" si="22"/>
        <v>4.4220405896991348</v>
      </c>
      <c r="U60" s="52">
        <f>'Расчет субсидий'!AB60-1</f>
        <v>8.2417582417582347E-2</v>
      </c>
      <c r="V60" s="52">
        <f>U60*'Расчет субсидий'!AC60</f>
        <v>1.6483516483516469</v>
      </c>
      <c r="W60" s="53">
        <f t="shared" si="23"/>
        <v>8.6988995456026892</v>
      </c>
      <c r="X60" s="27" t="s">
        <v>365</v>
      </c>
      <c r="Y60" s="27" t="s">
        <v>365</v>
      </c>
      <c r="Z60" s="27" t="s">
        <v>365</v>
      </c>
      <c r="AA60" s="27" t="s">
        <v>365</v>
      </c>
      <c r="AB60" s="27" t="s">
        <v>365</v>
      </c>
      <c r="AC60" s="27" t="s">
        <v>365</v>
      </c>
      <c r="AD60" s="27" t="s">
        <v>365</v>
      </c>
      <c r="AE60" s="27" t="s">
        <v>365</v>
      </c>
      <c r="AF60" s="27" t="s">
        <v>365</v>
      </c>
      <c r="AG60" s="52">
        <f t="shared" si="24"/>
        <v>7.3194693578815437</v>
      </c>
      <c r="AH60" s="80"/>
    </row>
    <row r="61" spans="1:34" ht="15" customHeight="1">
      <c r="A61" s="33" t="s">
        <v>48</v>
      </c>
      <c r="B61" s="50">
        <f>'Расчет субсидий'!AT61</f>
        <v>62.490909090909099</v>
      </c>
      <c r="C61" s="52">
        <f>'Расчет субсидий'!D61-1</f>
        <v>2.5061425061424947E-2</v>
      </c>
      <c r="D61" s="52">
        <f>C61*'Расчет субсидий'!E61</f>
        <v>0.12530712530712473</v>
      </c>
      <c r="E61" s="53">
        <f t="shared" si="20"/>
        <v>1.3208652929244324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2">
        <f>'Расчет субсидий'!P61-1</f>
        <v>0.24803921568627452</v>
      </c>
      <c r="M61" s="52">
        <f>L61*'Расчет субсидий'!Q61</f>
        <v>4.9607843137254903</v>
      </c>
      <c r="N61" s="53">
        <f t="shared" si="21"/>
        <v>52.291741667713325</v>
      </c>
      <c r="O61" s="27" t="s">
        <v>365</v>
      </c>
      <c r="P61" s="27" t="s">
        <v>365</v>
      </c>
      <c r="Q61" s="27" t="s">
        <v>365</v>
      </c>
      <c r="R61" s="58">
        <f>'Расчет субсидий'!X61-1</f>
        <v>-3.5714285714285698E-2</v>
      </c>
      <c r="S61" s="58">
        <f>R61*'Расчет субсидий'!Y61</f>
        <v>-0.17857142857142849</v>
      </c>
      <c r="T61" s="53">
        <f t="shared" si="22"/>
        <v>-1.8823255399868564</v>
      </c>
      <c r="U61" s="52">
        <f>'Расчет субсидий'!AB61-1</f>
        <v>5.1041666666666652E-2</v>
      </c>
      <c r="V61" s="52">
        <f>U61*'Расчет субсидий'!AC61</f>
        <v>1.020833333333333</v>
      </c>
      <c r="W61" s="53">
        <f t="shared" si="23"/>
        <v>10.760627670258199</v>
      </c>
      <c r="X61" s="27" t="s">
        <v>365</v>
      </c>
      <c r="Y61" s="27" t="s">
        <v>365</v>
      </c>
      <c r="Z61" s="27" t="s">
        <v>365</v>
      </c>
      <c r="AA61" s="27" t="s">
        <v>365</v>
      </c>
      <c r="AB61" s="27" t="s">
        <v>365</v>
      </c>
      <c r="AC61" s="27" t="s">
        <v>365</v>
      </c>
      <c r="AD61" s="27" t="s">
        <v>365</v>
      </c>
      <c r="AE61" s="27" t="s">
        <v>365</v>
      </c>
      <c r="AF61" s="27" t="s">
        <v>365</v>
      </c>
      <c r="AG61" s="52">
        <f t="shared" si="24"/>
        <v>5.9283533437945195</v>
      </c>
      <c r="AH61" s="80"/>
    </row>
    <row r="62" spans="1:34" ht="15" customHeight="1">
      <c r="A62" s="32" t="s">
        <v>49</v>
      </c>
      <c r="B62" s="54"/>
      <c r="C62" s="55"/>
      <c r="D62" s="55"/>
      <c r="E62" s="56"/>
      <c r="F62" s="55"/>
      <c r="G62" s="55"/>
      <c r="H62" s="56"/>
      <c r="I62" s="56"/>
      <c r="J62" s="56"/>
      <c r="K62" s="56"/>
      <c r="L62" s="55"/>
      <c r="M62" s="55"/>
      <c r="N62" s="56"/>
      <c r="O62" s="55"/>
      <c r="P62" s="55"/>
      <c r="Q62" s="56"/>
      <c r="R62" s="56"/>
      <c r="S62" s="56"/>
      <c r="T62" s="56"/>
      <c r="U62" s="56"/>
      <c r="V62" s="56"/>
      <c r="W62" s="56"/>
      <c r="X62" s="27"/>
      <c r="Y62" s="27"/>
      <c r="Z62" s="27"/>
      <c r="AA62" s="27"/>
      <c r="AB62" s="27"/>
      <c r="AC62" s="27"/>
      <c r="AD62" s="27"/>
      <c r="AE62" s="27"/>
      <c r="AF62" s="27"/>
      <c r="AG62" s="56"/>
      <c r="AH62" s="80"/>
    </row>
    <row r="63" spans="1:34" ht="15" customHeight="1">
      <c r="A63" s="33" t="s">
        <v>50</v>
      </c>
      <c r="B63" s="50">
        <f>'Расчет субсидий'!AT63</f>
        <v>11.636363636363626</v>
      </c>
      <c r="C63" s="52">
        <f>'Расчет субсидий'!D63-1</f>
        <v>-0.12885341819286922</v>
      </c>
      <c r="D63" s="52">
        <f>C63*'Расчет субсидий'!E63</f>
        <v>-0.64426709096434609</v>
      </c>
      <c r="E63" s="53">
        <f t="shared" si="20"/>
        <v>-2.9074840354594942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2">
        <f>'Расчет субсидий'!P63-1</f>
        <v>0.13997559399899506</v>
      </c>
      <c r="M63" s="52">
        <f>L63*'Расчет субсидий'!Q63</f>
        <v>2.7995118799799013</v>
      </c>
      <c r="N63" s="53">
        <f t="shared" si="21"/>
        <v>12.633791500878015</v>
      </c>
      <c r="O63" s="27" t="s">
        <v>365</v>
      </c>
      <c r="P63" s="27" t="s">
        <v>365</v>
      </c>
      <c r="Q63" s="27" t="s">
        <v>365</v>
      </c>
      <c r="R63" s="58">
        <f>'Расчет субсидий'!X63-1</f>
        <v>8.4649567655412428E-2</v>
      </c>
      <c r="S63" s="58">
        <f>R63*'Расчет субсидий'!Y63</f>
        <v>0.42324783827706214</v>
      </c>
      <c r="T63" s="53">
        <f t="shared" si="22"/>
        <v>1.910056170945104</v>
      </c>
      <c r="U63" s="52">
        <f>'Расчет субсидий'!AB63-1</f>
        <v>0</v>
      </c>
      <c r="V63" s="52">
        <f>U63*'Расчет субсидий'!AC63</f>
        <v>0</v>
      </c>
      <c r="W63" s="53">
        <f t="shared" si="23"/>
        <v>0</v>
      </c>
      <c r="X63" s="27" t="s">
        <v>365</v>
      </c>
      <c r="Y63" s="27" t="s">
        <v>365</v>
      </c>
      <c r="Z63" s="27" t="s">
        <v>365</v>
      </c>
      <c r="AA63" s="27" t="s">
        <v>365</v>
      </c>
      <c r="AB63" s="27" t="s">
        <v>365</v>
      </c>
      <c r="AC63" s="27" t="s">
        <v>365</v>
      </c>
      <c r="AD63" s="27" t="s">
        <v>365</v>
      </c>
      <c r="AE63" s="27" t="s">
        <v>365</v>
      </c>
      <c r="AF63" s="27" t="s">
        <v>365</v>
      </c>
      <c r="AG63" s="52">
        <f t="shared" si="24"/>
        <v>2.5784926272926176</v>
      </c>
      <c r="AH63" s="80"/>
    </row>
    <row r="64" spans="1:34" ht="15" customHeight="1">
      <c r="A64" s="33" t="s">
        <v>51</v>
      </c>
      <c r="B64" s="50">
        <f>'Расчет субсидий'!AT64</f>
        <v>-23.663636363636385</v>
      </c>
      <c r="C64" s="52">
        <f>'Расчет субсидий'!D64-1</f>
        <v>-9.9999999999999978E-2</v>
      </c>
      <c r="D64" s="52">
        <f>C64*'Расчет субсидий'!E64</f>
        <v>-0.49999999999999989</v>
      </c>
      <c r="E64" s="53">
        <f t="shared" si="20"/>
        <v>-1.5763537620934074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2">
        <f>'Расчет субсидий'!P64-1</f>
        <v>-0.19944341372912799</v>
      </c>
      <c r="M64" s="52">
        <f>L64*'Расчет субсидий'!Q64</f>
        <v>-3.9888682745825599</v>
      </c>
      <c r="N64" s="53">
        <f t="shared" si="21"/>
        <v>-12.575735022266516</v>
      </c>
      <c r="O64" s="27" t="s">
        <v>365</v>
      </c>
      <c r="P64" s="27" t="s">
        <v>365</v>
      </c>
      <c r="Q64" s="27" t="s">
        <v>365</v>
      </c>
      <c r="R64" s="58">
        <f>'Расчет субсидий'!X64-1</f>
        <v>-0.49498806682577567</v>
      </c>
      <c r="S64" s="58">
        <f>R64*'Расчет субсидий'!Y64</f>
        <v>-2.4749403341288785</v>
      </c>
      <c r="T64" s="53">
        <f t="shared" si="22"/>
        <v>-7.8027630133215453</v>
      </c>
      <c r="U64" s="52">
        <f>'Расчет субсидий'!AB64-1</f>
        <v>-2.7100271002710064E-2</v>
      </c>
      <c r="V64" s="52">
        <f>U64*'Расчет субсидий'!AC64</f>
        <v>-0.54200542005420127</v>
      </c>
      <c r="W64" s="53">
        <f t="shared" si="23"/>
        <v>-1.7087845659549157</v>
      </c>
      <c r="X64" s="27" t="s">
        <v>365</v>
      </c>
      <c r="Y64" s="27" t="s">
        <v>365</v>
      </c>
      <c r="Z64" s="27" t="s">
        <v>365</v>
      </c>
      <c r="AA64" s="27" t="s">
        <v>365</v>
      </c>
      <c r="AB64" s="27" t="s">
        <v>365</v>
      </c>
      <c r="AC64" s="27" t="s">
        <v>365</v>
      </c>
      <c r="AD64" s="27" t="s">
        <v>365</v>
      </c>
      <c r="AE64" s="27" t="s">
        <v>365</v>
      </c>
      <c r="AF64" s="27" t="s">
        <v>365</v>
      </c>
      <c r="AG64" s="52">
        <f t="shared" si="24"/>
        <v>-7.5058140287656396</v>
      </c>
      <c r="AH64" s="80"/>
    </row>
    <row r="65" spans="1:34" ht="15" customHeight="1">
      <c r="A65" s="33" t="s">
        <v>52</v>
      </c>
      <c r="B65" s="50">
        <f>'Расчет субсидий'!AT65</f>
        <v>-47.74545454545455</v>
      </c>
      <c r="C65" s="52">
        <f>'Расчет субсидий'!D65-1</f>
        <v>-1</v>
      </c>
      <c r="D65" s="52">
        <f>C65*'Расчет субсидий'!E65</f>
        <v>0</v>
      </c>
      <c r="E65" s="53">
        <f t="shared" si="20"/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2">
        <f>'Расчет субсидий'!P65-1</f>
        <v>-0.54258901067411713</v>
      </c>
      <c r="M65" s="52">
        <f>L65*'Расчет субсидий'!Q65</f>
        <v>-10.851780213482343</v>
      </c>
      <c r="N65" s="53">
        <f t="shared" si="21"/>
        <v>-49.334691187928776</v>
      </c>
      <c r="O65" s="27" t="s">
        <v>365</v>
      </c>
      <c r="P65" s="27" t="s">
        <v>365</v>
      </c>
      <c r="Q65" s="27" t="s">
        <v>365</v>
      </c>
      <c r="R65" s="58">
        <f>'Расчет субсидий'!X65-1</f>
        <v>-0.11190370040124831</v>
      </c>
      <c r="S65" s="58">
        <f>R65*'Расчет субсидий'!Y65</f>
        <v>-0.55951850200624154</v>
      </c>
      <c r="T65" s="53">
        <f t="shared" si="22"/>
        <v>-2.5436999245631053</v>
      </c>
      <c r="U65" s="52">
        <f>'Расчет субсидий'!AB65-1</f>
        <v>4.5454545454545414E-2</v>
      </c>
      <c r="V65" s="52">
        <f>U65*'Расчет субсидий'!AC65</f>
        <v>0.90909090909090828</v>
      </c>
      <c r="W65" s="53">
        <f t="shared" si="23"/>
        <v>4.1329365670373353</v>
      </c>
      <c r="X65" s="27" t="s">
        <v>365</v>
      </c>
      <c r="Y65" s="27" t="s">
        <v>365</v>
      </c>
      <c r="Z65" s="27" t="s">
        <v>365</v>
      </c>
      <c r="AA65" s="27" t="s">
        <v>365</v>
      </c>
      <c r="AB65" s="27" t="s">
        <v>365</v>
      </c>
      <c r="AC65" s="27" t="s">
        <v>365</v>
      </c>
      <c r="AD65" s="27" t="s">
        <v>365</v>
      </c>
      <c r="AE65" s="27" t="s">
        <v>365</v>
      </c>
      <c r="AF65" s="27" t="s">
        <v>365</v>
      </c>
      <c r="AG65" s="52">
        <f t="shared" si="24"/>
        <v>-10.502207806397676</v>
      </c>
      <c r="AH65" s="80"/>
    </row>
    <row r="66" spans="1:34" ht="15" customHeight="1">
      <c r="A66" s="33" t="s">
        <v>53</v>
      </c>
      <c r="B66" s="50">
        <f>'Расчет субсидий'!AT66</f>
        <v>19.445454545454538</v>
      </c>
      <c r="C66" s="52">
        <f>'Расчет субсидий'!D66-1</f>
        <v>-1</v>
      </c>
      <c r="D66" s="52">
        <f>C66*'Расчет субсидий'!E66</f>
        <v>0</v>
      </c>
      <c r="E66" s="53">
        <f t="shared" si="20"/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2">
        <f>'Расчет субсидий'!P66-1</f>
        <v>0.23761809713905513</v>
      </c>
      <c r="M66" s="52">
        <f>L66*'Расчет субсидий'!Q66</f>
        <v>4.7523619427811026</v>
      </c>
      <c r="N66" s="53">
        <f t="shared" si="21"/>
        <v>18.957229775618799</v>
      </c>
      <c r="O66" s="27" t="s">
        <v>365</v>
      </c>
      <c r="P66" s="27" t="s">
        <v>365</v>
      </c>
      <c r="Q66" s="27" t="s">
        <v>365</v>
      </c>
      <c r="R66" s="58">
        <f>'Расчет субсидий'!X66-1</f>
        <v>-3.5421686746987979E-2</v>
      </c>
      <c r="S66" s="58">
        <f>R66*'Расчет субсидий'!Y66</f>
        <v>-0.1771084337349399</v>
      </c>
      <c r="T66" s="53">
        <f t="shared" si="22"/>
        <v>-0.70648770315427567</v>
      </c>
      <c r="U66" s="52">
        <f>'Расчет субсидий'!AB66-1</f>
        <v>1.4975041597337757E-2</v>
      </c>
      <c r="V66" s="52">
        <f>U66*'Расчет субсидий'!AC66</f>
        <v>0.29950083194675514</v>
      </c>
      <c r="W66" s="53">
        <f t="shared" si="23"/>
        <v>1.1947124729900123</v>
      </c>
      <c r="X66" s="27" t="s">
        <v>365</v>
      </c>
      <c r="Y66" s="27" t="s">
        <v>365</v>
      </c>
      <c r="Z66" s="27" t="s">
        <v>365</v>
      </c>
      <c r="AA66" s="27" t="s">
        <v>365</v>
      </c>
      <c r="AB66" s="27" t="s">
        <v>365</v>
      </c>
      <c r="AC66" s="27" t="s">
        <v>365</v>
      </c>
      <c r="AD66" s="27" t="s">
        <v>365</v>
      </c>
      <c r="AE66" s="27" t="s">
        <v>365</v>
      </c>
      <c r="AF66" s="27" t="s">
        <v>365</v>
      </c>
      <c r="AG66" s="52">
        <f t="shared" si="24"/>
        <v>4.8747543409929177</v>
      </c>
      <c r="AH66" s="80"/>
    </row>
    <row r="67" spans="1:34" ht="15" customHeight="1">
      <c r="A67" s="33" t="s">
        <v>54</v>
      </c>
      <c r="B67" s="50">
        <f>'Расчет субсидий'!AT67</f>
        <v>-34.845454545454572</v>
      </c>
      <c r="C67" s="52">
        <f>'Расчет субсидий'!D67-1</f>
        <v>-1</v>
      </c>
      <c r="D67" s="52">
        <f>C67*'Расчет субсидий'!E67</f>
        <v>0</v>
      </c>
      <c r="E67" s="53">
        <f t="shared" si="20"/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2">
        <f>'Расчет субсидий'!P67-1</f>
        <v>-0.23024268823895455</v>
      </c>
      <c r="M67" s="52">
        <f>L67*'Расчет субсидий'!Q67</f>
        <v>-4.604853764779091</v>
      </c>
      <c r="N67" s="53">
        <f t="shared" si="21"/>
        <v>-31.059903661416019</v>
      </c>
      <c r="O67" s="27" t="s">
        <v>365</v>
      </c>
      <c r="P67" s="27" t="s">
        <v>365</v>
      </c>
      <c r="Q67" s="27" t="s">
        <v>365</v>
      </c>
      <c r="R67" s="58">
        <f>'Расчет субсидий'!X67-1</f>
        <v>-0.34069529652351738</v>
      </c>
      <c r="S67" s="58">
        <f>R67*'Расчет субсидий'!Y67</f>
        <v>-1.703476482617587</v>
      </c>
      <c r="T67" s="53">
        <f t="shared" si="22"/>
        <v>-11.490009920462331</v>
      </c>
      <c r="U67" s="52">
        <f>'Расчет субсидий'!AB67-1</f>
        <v>5.7112068965517349E-2</v>
      </c>
      <c r="V67" s="52">
        <f>U67*'Расчет субсидий'!AC67</f>
        <v>1.142241379310347</v>
      </c>
      <c r="W67" s="53">
        <f t="shared" si="23"/>
        <v>7.7044590364237795</v>
      </c>
      <c r="X67" s="27" t="s">
        <v>365</v>
      </c>
      <c r="Y67" s="27" t="s">
        <v>365</v>
      </c>
      <c r="Z67" s="27" t="s">
        <v>365</v>
      </c>
      <c r="AA67" s="27" t="s">
        <v>365</v>
      </c>
      <c r="AB67" s="27" t="s">
        <v>365</v>
      </c>
      <c r="AC67" s="27" t="s">
        <v>365</v>
      </c>
      <c r="AD67" s="27" t="s">
        <v>365</v>
      </c>
      <c r="AE67" s="27" t="s">
        <v>365</v>
      </c>
      <c r="AF67" s="27" t="s">
        <v>365</v>
      </c>
      <c r="AG67" s="52">
        <f t="shared" si="24"/>
        <v>-5.1660888680863311</v>
      </c>
      <c r="AH67" s="80"/>
    </row>
    <row r="68" spans="1:34" ht="15" customHeight="1">
      <c r="A68" s="33" t="s">
        <v>55</v>
      </c>
      <c r="B68" s="50">
        <f>'Расчет субсидий'!AT68</f>
        <v>-14.463636363636397</v>
      </c>
      <c r="C68" s="52">
        <f>'Расчет субсидий'!D68-1</f>
        <v>-1</v>
      </c>
      <c r="D68" s="52">
        <f>C68*'Расчет субсидий'!E68</f>
        <v>0</v>
      </c>
      <c r="E68" s="53">
        <f t="shared" si="20"/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2">
        <f>'Расчет субсидий'!P68-1</f>
        <v>0</v>
      </c>
      <c r="M68" s="52">
        <f>L68*'Расчет субсидий'!Q68</f>
        <v>0</v>
      </c>
      <c r="N68" s="53">
        <f t="shared" si="21"/>
        <v>0</v>
      </c>
      <c r="O68" s="27" t="s">
        <v>365</v>
      </c>
      <c r="P68" s="27" t="s">
        <v>365</v>
      </c>
      <c r="Q68" s="27" t="s">
        <v>365</v>
      </c>
      <c r="R68" s="58">
        <f>'Расчет субсидий'!X68-1</f>
        <v>-0.1119449656035022</v>
      </c>
      <c r="S68" s="58">
        <f>R68*'Расчет субсидий'!Y68</f>
        <v>-0.559724828017511</v>
      </c>
      <c r="T68" s="53">
        <f t="shared" si="22"/>
        <v>-3.525596133389187</v>
      </c>
      <c r="U68" s="52">
        <f>'Расчет субсидий'!AB68-1</f>
        <v>-8.6826347305389184E-2</v>
      </c>
      <c r="V68" s="52">
        <f>U68*'Расчет субсидий'!AC68</f>
        <v>-1.7365269461077837</v>
      </c>
      <c r="W68" s="53">
        <f t="shared" si="23"/>
        <v>-10.938040230247209</v>
      </c>
      <c r="X68" s="27" t="s">
        <v>365</v>
      </c>
      <c r="Y68" s="27" t="s">
        <v>365</v>
      </c>
      <c r="Z68" s="27" t="s">
        <v>365</v>
      </c>
      <c r="AA68" s="27" t="s">
        <v>365</v>
      </c>
      <c r="AB68" s="27" t="s">
        <v>365</v>
      </c>
      <c r="AC68" s="27" t="s">
        <v>365</v>
      </c>
      <c r="AD68" s="27" t="s">
        <v>365</v>
      </c>
      <c r="AE68" s="27" t="s">
        <v>365</v>
      </c>
      <c r="AF68" s="27" t="s">
        <v>365</v>
      </c>
      <c r="AG68" s="52">
        <f t="shared" si="24"/>
        <v>-2.2962517741252948</v>
      </c>
      <c r="AH68" s="80"/>
    </row>
    <row r="69" spans="1:34" ht="15" customHeight="1">
      <c r="A69" s="33" t="s">
        <v>56</v>
      </c>
      <c r="B69" s="50">
        <f>'Расчет субсидий'!AT69</f>
        <v>66.427272727272737</v>
      </c>
      <c r="C69" s="52">
        <f>'Расчет субсидий'!D69-1</f>
        <v>-1</v>
      </c>
      <c r="D69" s="52">
        <f>C69*'Расчет субсидий'!E69</f>
        <v>0</v>
      </c>
      <c r="E69" s="53">
        <f t="shared" si="20"/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2">
        <f>'Расчет субсидий'!P69-1</f>
        <v>0.2196825396825397</v>
      </c>
      <c r="M69" s="52">
        <f>L69*'Расчет субсидий'!Q69</f>
        <v>4.393650793650794</v>
      </c>
      <c r="N69" s="53">
        <f t="shared" si="21"/>
        <v>41.300482732834304</v>
      </c>
      <c r="O69" s="27" t="s">
        <v>365</v>
      </c>
      <c r="P69" s="27" t="s">
        <v>365</v>
      </c>
      <c r="Q69" s="27" t="s">
        <v>365</v>
      </c>
      <c r="R69" s="58">
        <f>'Расчет субсидий'!X69-1</f>
        <v>-0.11483608075569551</v>
      </c>
      <c r="S69" s="58">
        <f>R69*'Расчет субсидий'!Y69</f>
        <v>-0.57418040377847757</v>
      </c>
      <c r="T69" s="53">
        <f t="shared" si="22"/>
        <v>-5.3973173940117229</v>
      </c>
      <c r="U69" s="52">
        <f>'Расчет субсидий'!AB69-1</f>
        <v>0.16236162361623618</v>
      </c>
      <c r="V69" s="52">
        <f>U69*'Расчет субсидий'!AC69</f>
        <v>3.2472324723247237</v>
      </c>
      <c r="W69" s="53">
        <f t="shared" si="23"/>
        <v>30.524107388450158</v>
      </c>
      <c r="X69" s="27" t="s">
        <v>365</v>
      </c>
      <c r="Y69" s="27" t="s">
        <v>365</v>
      </c>
      <c r="Z69" s="27" t="s">
        <v>365</v>
      </c>
      <c r="AA69" s="27" t="s">
        <v>365</v>
      </c>
      <c r="AB69" s="27" t="s">
        <v>365</v>
      </c>
      <c r="AC69" s="27" t="s">
        <v>365</v>
      </c>
      <c r="AD69" s="27" t="s">
        <v>365</v>
      </c>
      <c r="AE69" s="27" t="s">
        <v>365</v>
      </c>
      <c r="AF69" s="27" t="s">
        <v>365</v>
      </c>
      <c r="AG69" s="52">
        <f t="shared" si="24"/>
        <v>7.0667028621970402</v>
      </c>
      <c r="AH69" s="80"/>
    </row>
    <row r="70" spans="1:34" ht="15" customHeight="1">
      <c r="A70" s="33" t="s">
        <v>57</v>
      </c>
      <c r="B70" s="50">
        <f>'Расчет субсидий'!AT70</f>
        <v>-3.9727272727272727</v>
      </c>
      <c r="C70" s="52">
        <f>'Расчет субсидий'!D70-1</f>
        <v>0.10154122686247513</v>
      </c>
      <c r="D70" s="52">
        <f>C70*'Расчет субсидий'!E70</f>
        <v>0.50770613431237566</v>
      </c>
      <c r="E70" s="53">
        <f t="shared" si="20"/>
        <v>0.33978737460860797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2">
        <f>'Расчет субсидий'!P70-1</f>
        <v>-0.11305377872542044</v>
      </c>
      <c r="M70" s="52">
        <f>L70*'Расчет субсидий'!Q70</f>
        <v>-2.2610755745084088</v>
      </c>
      <c r="N70" s="53">
        <f t="shared" si="21"/>
        <v>-1.5132472927363936</v>
      </c>
      <c r="O70" s="27" t="s">
        <v>365</v>
      </c>
      <c r="P70" s="27" t="s">
        <v>365</v>
      </c>
      <c r="Q70" s="27" t="s">
        <v>365</v>
      </c>
      <c r="R70" s="58">
        <f>'Расчет субсидий'!X70-1</f>
        <v>2.501226091221187E-2</v>
      </c>
      <c r="S70" s="58">
        <f>R70*'Расчет субсидий'!Y70</f>
        <v>0.12506130456105935</v>
      </c>
      <c r="T70" s="53">
        <f t="shared" si="22"/>
        <v>8.3698520600864967E-2</v>
      </c>
      <c r="U70" s="52">
        <f>'Расчет субсидий'!AB70-1</f>
        <v>-0.2153846153846154</v>
      </c>
      <c r="V70" s="52">
        <f>U70*'Расчет субсидий'!AC70</f>
        <v>-4.3076923076923084</v>
      </c>
      <c r="W70" s="53">
        <f t="shared" si="23"/>
        <v>-2.8829658752003517</v>
      </c>
      <c r="X70" s="27" t="s">
        <v>365</v>
      </c>
      <c r="Y70" s="27" t="s">
        <v>365</v>
      </c>
      <c r="Z70" s="27" t="s">
        <v>365</v>
      </c>
      <c r="AA70" s="27" t="s">
        <v>365</v>
      </c>
      <c r="AB70" s="27" t="s">
        <v>365</v>
      </c>
      <c r="AC70" s="27" t="s">
        <v>365</v>
      </c>
      <c r="AD70" s="27" t="s">
        <v>365</v>
      </c>
      <c r="AE70" s="27" t="s">
        <v>365</v>
      </c>
      <c r="AF70" s="27" t="s">
        <v>365</v>
      </c>
      <c r="AG70" s="52">
        <f t="shared" si="24"/>
        <v>-5.9360004433272824</v>
      </c>
      <c r="AH70" s="80"/>
    </row>
    <row r="71" spans="1:34" ht="15" customHeight="1">
      <c r="A71" s="33" t="s">
        <v>58</v>
      </c>
      <c r="B71" s="50">
        <f>'Расчет субсидий'!AT71</f>
        <v>-25.990909090909071</v>
      </c>
      <c r="C71" s="52">
        <f>'Расчет субсидий'!D71-1</f>
        <v>-1</v>
      </c>
      <c r="D71" s="52">
        <f>C71*'Расчет субсидий'!E71</f>
        <v>0</v>
      </c>
      <c r="E71" s="53">
        <f t="shared" si="20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2">
        <f>'Расчет субсидий'!P71-1</f>
        <v>-0.29838540574543926</v>
      </c>
      <c r="M71" s="52">
        <f>L71*'Расчет субсидий'!Q71</f>
        <v>-5.9677081149087847</v>
      </c>
      <c r="N71" s="53">
        <f t="shared" si="21"/>
        <v>-25.560151081610876</v>
      </c>
      <c r="O71" s="27" t="s">
        <v>365</v>
      </c>
      <c r="P71" s="27" t="s">
        <v>365</v>
      </c>
      <c r="Q71" s="27" t="s">
        <v>365</v>
      </c>
      <c r="R71" s="58">
        <f>'Расчет субсидий'!X71-1</f>
        <v>-3.1028471818710046E-2</v>
      </c>
      <c r="S71" s="58">
        <f>R71*'Расчет субсидий'!Y71</f>
        <v>-0.15514235909355023</v>
      </c>
      <c r="T71" s="53">
        <f t="shared" si="22"/>
        <v>-0.6644866104764714</v>
      </c>
      <c r="U71" s="52">
        <f>'Расчет субсидий'!AB71-1</f>
        <v>2.7285129604366354E-3</v>
      </c>
      <c r="V71" s="52">
        <f>U71*'Расчет субсидий'!AC71</f>
        <v>5.4570259208732708E-2</v>
      </c>
      <c r="W71" s="53">
        <f t="shared" si="23"/>
        <v>0.23372860117827574</v>
      </c>
      <c r="X71" s="27" t="s">
        <v>365</v>
      </c>
      <c r="Y71" s="27" t="s">
        <v>365</v>
      </c>
      <c r="Z71" s="27" t="s">
        <v>365</v>
      </c>
      <c r="AA71" s="27" t="s">
        <v>365</v>
      </c>
      <c r="AB71" s="27" t="s">
        <v>365</v>
      </c>
      <c r="AC71" s="27" t="s">
        <v>365</v>
      </c>
      <c r="AD71" s="27" t="s">
        <v>365</v>
      </c>
      <c r="AE71" s="27" t="s">
        <v>365</v>
      </c>
      <c r="AF71" s="27" t="s">
        <v>365</v>
      </c>
      <c r="AG71" s="52">
        <f t="shared" si="24"/>
        <v>-6.0682802147936021</v>
      </c>
      <c r="AH71" s="80"/>
    </row>
    <row r="72" spans="1:34" ht="15" customHeight="1">
      <c r="A72" s="33" t="s">
        <v>59</v>
      </c>
      <c r="B72" s="50">
        <f>'Расчет субсидий'!AT72</f>
        <v>-40.654545454545456</v>
      </c>
      <c r="C72" s="52">
        <f>'Расчет субсидий'!D72-1</f>
        <v>-1</v>
      </c>
      <c r="D72" s="52">
        <f>C72*'Расчет субсидий'!E72</f>
        <v>0</v>
      </c>
      <c r="E72" s="53">
        <f t="shared" si="20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2">
        <f>'Расчет субсидий'!P72-1</f>
        <v>-0.55394456289978677</v>
      </c>
      <c r="M72" s="52">
        <f>L72*'Расчет субсидий'!Q72</f>
        <v>-11.078891257995735</v>
      </c>
      <c r="N72" s="53">
        <f t="shared" si="21"/>
        <v>-44.934697572748512</v>
      </c>
      <c r="O72" s="27" t="s">
        <v>365</v>
      </c>
      <c r="P72" s="27" t="s">
        <v>365</v>
      </c>
      <c r="Q72" s="27" t="s">
        <v>365</v>
      </c>
      <c r="R72" s="58">
        <f>'Расчет субсидий'!X72-1</f>
        <v>-8.7448559670781911E-2</v>
      </c>
      <c r="S72" s="58">
        <f>R72*'Расчет субсидий'!Y72</f>
        <v>-0.43724279835390956</v>
      </c>
      <c r="T72" s="53">
        <f t="shared" si="22"/>
        <v>-1.7734060613435034</v>
      </c>
      <c r="U72" s="52">
        <f>'Расчет субсидий'!AB72-1</f>
        <v>7.4626865671641784E-2</v>
      </c>
      <c r="V72" s="52">
        <f>U72*'Расчет субсидий'!AC72</f>
        <v>1.4925373134328357</v>
      </c>
      <c r="W72" s="53">
        <f t="shared" si="23"/>
        <v>6.0535581795465667</v>
      </c>
      <c r="X72" s="27" t="s">
        <v>365</v>
      </c>
      <c r="Y72" s="27" t="s">
        <v>365</v>
      </c>
      <c r="Z72" s="27" t="s">
        <v>365</v>
      </c>
      <c r="AA72" s="27" t="s">
        <v>365</v>
      </c>
      <c r="AB72" s="27" t="s">
        <v>365</v>
      </c>
      <c r="AC72" s="27" t="s">
        <v>365</v>
      </c>
      <c r="AD72" s="27" t="s">
        <v>365</v>
      </c>
      <c r="AE72" s="27" t="s">
        <v>365</v>
      </c>
      <c r="AF72" s="27" t="s">
        <v>365</v>
      </c>
      <c r="AG72" s="52">
        <f t="shared" si="24"/>
        <v>-10.02359674291681</v>
      </c>
      <c r="AH72" s="80"/>
    </row>
    <row r="73" spans="1:34" ht="15" customHeight="1">
      <c r="A73" s="33" t="s">
        <v>60</v>
      </c>
      <c r="B73" s="50">
        <f>'Расчет субсидий'!AT73</f>
        <v>29.100000000000023</v>
      </c>
      <c r="C73" s="52">
        <f>'Расчет субсидий'!D73-1</f>
        <v>-1</v>
      </c>
      <c r="D73" s="52">
        <f>C73*'Расчет субсидий'!E73</f>
        <v>0</v>
      </c>
      <c r="E73" s="53">
        <f t="shared" si="20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2">
        <f>'Расчет субсидий'!P73-1</f>
        <v>0.29679389312977089</v>
      </c>
      <c r="M73" s="52">
        <f>L73*'Расчет субсидий'!Q73</f>
        <v>5.9358778625954178</v>
      </c>
      <c r="N73" s="53">
        <f t="shared" si="21"/>
        <v>32.038079970404191</v>
      </c>
      <c r="O73" s="27" t="s">
        <v>365</v>
      </c>
      <c r="P73" s="27" t="s">
        <v>365</v>
      </c>
      <c r="Q73" s="27" t="s">
        <v>365</v>
      </c>
      <c r="R73" s="58">
        <f>'Расчет субсидий'!X73-1</f>
        <v>-0.1088709677419355</v>
      </c>
      <c r="S73" s="58">
        <f>R73*'Расчет субсидий'!Y73</f>
        <v>-0.54435483870967749</v>
      </c>
      <c r="T73" s="53">
        <f t="shared" si="22"/>
        <v>-2.9380799704041718</v>
      </c>
      <c r="U73" s="52">
        <f>'Расчет субсидий'!AB73-1</f>
        <v>0</v>
      </c>
      <c r="V73" s="52">
        <f>U73*'Расчет субсидий'!AC73</f>
        <v>0</v>
      </c>
      <c r="W73" s="53">
        <f t="shared" si="23"/>
        <v>0</v>
      </c>
      <c r="X73" s="27" t="s">
        <v>365</v>
      </c>
      <c r="Y73" s="27" t="s">
        <v>365</v>
      </c>
      <c r="Z73" s="27" t="s">
        <v>365</v>
      </c>
      <c r="AA73" s="27" t="s">
        <v>365</v>
      </c>
      <c r="AB73" s="27" t="s">
        <v>365</v>
      </c>
      <c r="AC73" s="27" t="s">
        <v>365</v>
      </c>
      <c r="AD73" s="27" t="s">
        <v>365</v>
      </c>
      <c r="AE73" s="27" t="s">
        <v>365</v>
      </c>
      <c r="AF73" s="27" t="s">
        <v>365</v>
      </c>
      <c r="AG73" s="52">
        <f t="shared" si="24"/>
        <v>5.3915230238857408</v>
      </c>
      <c r="AH73" s="80"/>
    </row>
    <row r="74" spans="1:34" ht="15" customHeight="1">
      <c r="A74" s="33" t="s">
        <v>61</v>
      </c>
      <c r="B74" s="50">
        <f>'Расчет субсидий'!AT74</f>
        <v>-58.509090909090929</v>
      </c>
      <c r="C74" s="52">
        <f>'Расчет субсидий'!D74-1</f>
        <v>0.30000000000000004</v>
      </c>
      <c r="D74" s="52">
        <f>C74*'Расчет субсидий'!E74</f>
        <v>1.5000000000000002</v>
      </c>
      <c r="E74" s="53">
        <f t="shared" si="20"/>
        <v>7.4347429978856949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2">
        <f>'Расчет субсидий'!P74-1</f>
        <v>-0.5843219353337985</v>
      </c>
      <c r="M74" s="52">
        <f>L74*'Расчет субсидий'!Q74</f>
        <v>-11.68643870667597</v>
      </c>
      <c r="N74" s="53">
        <f t="shared" si="21"/>
        <v>-57.923778896453008</v>
      </c>
      <c r="O74" s="27" t="s">
        <v>365</v>
      </c>
      <c r="P74" s="27" t="s">
        <v>365</v>
      </c>
      <c r="Q74" s="27" t="s">
        <v>365</v>
      </c>
      <c r="R74" s="58">
        <f>'Расчет субсидий'!X74-1</f>
        <v>-0.44223412394797246</v>
      </c>
      <c r="S74" s="58">
        <f>R74*'Расчет субсидий'!Y74</f>
        <v>-2.2111706197398622</v>
      </c>
      <c r="T74" s="53">
        <f t="shared" si="22"/>
        <v>-10.959656854827672</v>
      </c>
      <c r="U74" s="52">
        <f>'Расчет субсидий'!AB74-1</f>
        <v>2.9654036243822013E-2</v>
      </c>
      <c r="V74" s="52">
        <f>U74*'Расчет субсидий'!AC74</f>
        <v>0.59308072487644026</v>
      </c>
      <c r="W74" s="53">
        <f t="shared" si="23"/>
        <v>2.9396018443040575</v>
      </c>
      <c r="X74" s="27" t="s">
        <v>365</v>
      </c>
      <c r="Y74" s="27" t="s">
        <v>365</v>
      </c>
      <c r="Z74" s="27" t="s">
        <v>365</v>
      </c>
      <c r="AA74" s="27" t="s">
        <v>365</v>
      </c>
      <c r="AB74" s="27" t="s">
        <v>365</v>
      </c>
      <c r="AC74" s="27" t="s">
        <v>365</v>
      </c>
      <c r="AD74" s="27" t="s">
        <v>365</v>
      </c>
      <c r="AE74" s="27" t="s">
        <v>365</v>
      </c>
      <c r="AF74" s="27" t="s">
        <v>365</v>
      </c>
      <c r="AG74" s="52">
        <f t="shared" si="24"/>
        <v>-11.804528601539392</v>
      </c>
      <c r="AH74" s="80"/>
    </row>
    <row r="75" spans="1:34" ht="15" customHeight="1">
      <c r="A75" s="32" t="s">
        <v>62</v>
      </c>
      <c r="B75" s="54"/>
      <c r="C75" s="55"/>
      <c r="D75" s="55"/>
      <c r="E75" s="56"/>
      <c r="F75" s="55"/>
      <c r="G75" s="55"/>
      <c r="H75" s="56"/>
      <c r="I75" s="56"/>
      <c r="J75" s="56"/>
      <c r="K75" s="56"/>
      <c r="L75" s="55"/>
      <c r="M75" s="55"/>
      <c r="N75" s="56"/>
      <c r="O75" s="55"/>
      <c r="P75" s="55"/>
      <c r="Q75" s="56"/>
      <c r="R75" s="56"/>
      <c r="S75" s="56"/>
      <c r="T75" s="56"/>
      <c r="U75" s="56"/>
      <c r="V75" s="56"/>
      <c r="W75" s="56"/>
      <c r="X75" s="27"/>
      <c r="Y75" s="27"/>
      <c r="Z75" s="27"/>
      <c r="AA75" s="27"/>
      <c r="AB75" s="27"/>
      <c r="AC75" s="27"/>
      <c r="AD75" s="27"/>
      <c r="AE75" s="27"/>
      <c r="AF75" s="27"/>
      <c r="AG75" s="56"/>
      <c r="AH75" s="80"/>
    </row>
    <row r="76" spans="1:34" ht="15" customHeight="1">
      <c r="A76" s="33" t="s">
        <v>63</v>
      </c>
      <c r="B76" s="50">
        <f>'Расчет субсидий'!AT76</f>
        <v>68.790909090909167</v>
      </c>
      <c r="C76" s="52">
        <f>'Расчет субсидий'!D76-1</f>
        <v>-1</v>
      </c>
      <c r="D76" s="52">
        <f>C76*'Расчет субсидий'!E76</f>
        <v>0</v>
      </c>
      <c r="E76" s="53">
        <f t="shared" si="20"/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2">
        <f>'Расчет субсидий'!P76-1</f>
        <v>0.25603595368677623</v>
      </c>
      <c r="M76" s="52">
        <f>L76*'Расчет субсидий'!Q76</f>
        <v>5.1207190737355246</v>
      </c>
      <c r="N76" s="53">
        <f t="shared" si="21"/>
        <v>83.860866159075229</v>
      </c>
      <c r="O76" s="27" t="s">
        <v>365</v>
      </c>
      <c r="P76" s="27" t="s">
        <v>365</v>
      </c>
      <c r="Q76" s="27" t="s">
        <v>365</v>
      </c>
      <c r="R76" s="58">
        <f>'Расчет субсидий'!X76-1</f>
        <v>-0.18404059040590404</v>
      </c>
      <c r="S76" s="58">
        <f>R76*'Расчет субсидий'!Y76</f>
        <v>-0.92020295202952018</v>
      </c>
      <c r="T76" s="53">
        <f t="shared" si="22"/>
        <v>-15.069957068166078</v>
      </c>
      <c r="U76" s="52">
        <f>'Расчет субсидий'!AB76-1</f>
        <v>0</v>
      </c>
      <c r="V76" s="52">
        <f>U76*'Расчет субсидий'!AC76</f>
        <v>0</v>
      </c>
      <c r="W76" s="53">
        <f t="shared" si="23"/>
        <v>0</v>
      </c>
      <c r="X76" s="27" t="s">
        <v>365</v>
      </c>
      <c r="Y76" s="27" t="s">
        <v>365</v>
      </c>
      <c r="Z76" s="27" t="s">
        <v>365</v>
      </c>
      <c r="AA76" s="27" t="s">
        <v>365</v>
      </c>
      <c r="AB76" s="27" t="s">
        <v>365</v>
      </c>
      <c r="AC76" s="27" t="s">
        <v>365</v>
      </c>
      <c r="AD76" s="27" t="s">
        <v>365</v>
      </c>
      <c r="AE76" s="27" t="s">
        <v>365</v>
      </c>
      <c r="AF76" s="27" t="s">
        <v>365</v>
      </c>
      <c r="AG76" s="52">
        <f t="shared" si="24"/>
        <v>4.2005161217060047</v>
      </c>
      <c r="AH76" s="80"/>
    </row>
    <row r="77" spans="1:34" ht="15" customHeight="1">
      <c r="A77" s="33" t="s">
        <v>64</v>
      </c>
      <c r="B77" s="50">
        <f>'Расчет субсидий'!AT77</f>
        <v>59.836363636363672</v>
      </c>
      <c r="C77" s="52">
        <f>'Расчет субсидий'!D77-1</f>
        <v>0.30000000000000004</v>
      </c>
      <c r="D77" s="52">
        <f>C77*'Расчет субсидий'!E77</f>
        <v>1.5000000000000002</v>
      </c>
      <c r="E77" s="53">
        <f t="shared" si="20"/>
        <v>15.614692942458266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2">
        <f>'Расчет субсидий'!P77-1</f>
        <v>0.20535608986337772</v>
      </c>
      <c r="M77" s="52">
        <f>L77*'Расчет субсидий'!Q77</f>
        <v>4.1071217972675544</v>
      </c>
      <c r="N77" s="53">
        <f t="shared" si="21"/>
        <v>42.754297161073453</v>
      </c>
      <c r="O77" s="27" t="s">
        <v>365</v>
      </c>
      <c r="P77" s="27" t="s">
        <v>365</v>
      </c>
      <c r="Q77" s="27" t="s">
        <v>365</v>
      </c>
      <c r="R77" s="58">
        <f>'Расчет субсидий'!X77-1</f>
        <v>2.8192168841988385E-2</v>
      </c>
      <c r="S77" s="58">
        <f>R77*'Расчет субсидий'!Y77</f>
        <v>0.14096084420994193</v>
      </c>
      <c r="T77" s="53">
        <f t="shared" si="22"/>
        <v>1.467373532831959</v>
      </c>
      <c r="U77" s="52">
        <f>'Расчет субсидий'!AB77-1</f>
        <v>0</v>
      </c>
      <c r="V77" s="52">
        <f>U77*'Расчет субсидий'!AC77</f>
        <v>0</v>
      </c>
      <c r="W77" s="53">
        <f t="shared" si="23"/>
        <v>0</v>
      </c>
      <c r="X77" s="27" t="s">
        <v>365</v>
      </c>
      <c r="Y77" s="27" t="s">
        <v>365</v>
      </c>
      <c r="Z77" s="27" t="s">
        <v>365</v>
      </c>
      <c r="AA77" s="27" t="s">
        <v>365</v>
      </c>
      <c r="AB77" s="27" t="s">
        <v>365</v>
      </c>
      <c r="AC77" s="27" t="s">
        <v>365</v>
      </c>
      <c r="AD77" s="27" t="s">
        <v>365</v>
      </c>
      <c r="AE77" s="27" t="s">
        <v>365</v>
      </c>
      <c r="AF77" s="27" t="s">
        <v>365</v>
      </c>
      <c r="AG77" s="52">
        <f t="shared" si="24"/>
        <v>5.7480826414774961</v>
      </c>
      <c r="AH77" s="80"/>
    </row>
    <row r="78" spans="1:34" ht="15" customHeight="1">
      <c r="A78" s="33" t="s">
        <v>65</v>
      </c>
      <c r="B78" s="50">
        <f>'Расчет субсидий'!AT78</f>
        <v>21.636363636363626</v>
      </c>
      <c r="C78" s="52">
        <f>'Расчет субсидий'!D78-1</f>
        <v>0</v>
      </c>
      <c r="D78" s="52">
        <f>C78*'Расчет субсидий'!E78</f>
        <v>0</v>
      </c>
      <c r="E78" s="53">
        <f t="shared" si="20"/>
        <v>0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2">
        <f>'Расчет субсидий'!P78-1</f>
        <v>0.30000000000000004</v>
      </c>
      <c r="M78" s="52">
        <f>L78*'Расчет субсидий'!Q78</f>
        <v>6.0000000000000009</v>
      </c>
      <c r="N78" s="53">
        <f t="shared" si="21"/>
        <v>31.191020325614303</v>
      </c>
      <c r="O78" s="27" t="s">
        <v>365</v>
      </c>
      <c r="P78" s="27" t="s">
        <v>365</v>
      </c>
      <c r="Q78" s="27" t="s">
        <v>365</v>
      </c>
      <c r="R78" s="58">
        <f>'Расчет субсидий'!X78-1</f>
        <v>-0.36759259259259258</v>
      </c>
      <c r="S78" s="58">
        <f>R78*'Расчет субсидий'!Y78</f>
        <v>-1.8379629629629628</v>
      </c>
      <c r="T78" s="53">
        <f t="shared" si="22"/>
        <v>-9.5546566892506757</v>
      </c>
      <c r="U78" s="52">
        <f>'Расчет субсидий'!AB78-1</f>
        <v>0</v>
      </c>
      <c r="V78" s="52">
        <f>U78*'Расчет субсидий'!AC78</f>
        <v>0</v>
      </c>
      <c r="W78" s="53">
        <f t="shared" si="23"/>
        <v>0</v>
      </c>
      <c r="X78" s="27" t="s">
        <v>365</v>
      </c>
      <c r="Y78" s="27" t="s">
        <v>365</v>
      </c>
      <c r="Z78" s="27" t="s">
        <v>365</v>
      </c>
      <c r="AA78" s="27" t="s">
        <v>365</v>
      </c>
      <c r="AB78" s="27" t="s">
        <v>365</v>
      </c>
      <c r="AC78" s="27" t="s">
        <v>365</v>
      </c>
      <c r="AD78" s="27" t="s">
        <v>365</v>
      </c>
      <c r="AE78" s="27" t="s">
        <v>365</v>
      </c>
      <c r="AF78" s="27" t="s">
        <v>365</v>
      </c>
      <c r="AG78" s="52">
        <f t="shared" si="24"/>
        <v>4.1620370370370381</v>
      </c>
      <c r="AH78" s="80"/>
    </row>
    <row r="79" spans="1:34" ht="15" customHeight="1">
      <c r="A79" s="33" t="s">
        <v>66</v>
      </c>
      <c r="B79" s="50">
        <f>'Расчет субсидий'!AT79</f>
        <v>33.236363636363649</v>
      </c>
      <c r="C79" s="52">
        <f>'Расчет субсидий'!D79-1</f>
        <v>-7.3012227959947329E-2</v>
      </c>
      <c r="D79" s="52">
        <f>C79*'Расчет субсидий'!E79</f>
        <v>-0.36506113979973664</v>
      </c>
      <c r="E79" s="53">
        <f t="shared" si="20"/>
        <v>-3.6689767011646786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2">
        <f>'Расчет субсидий'!P79-1</f>
        <v>0.20045697378154026</v>
      </c>
      <c r="M79" s="52">
        <f>L79*'Расчет субсидий'!Q79</f>
        <v>4.0091394756308052</v>
      </c>
      <c r="N79" s="53">
        <f t="shared" si="21"/>
        <v>40.293084429304713</v>
      </c>
      <c r="O79" s="27" t="s">
        <v>365</v>
      </c>
      <c r="P79" s="27" t="s">
        <v>365</v>
      </c>
      <c r="Q79" s="27" t="s">
        <v>365</v>
      </c>
      <c r="R79" s="58">
        <f>'Расчет субсидий'!X79-1</f>
        <v>-6.7415730337078705E-2</v>
      </c>
      <c r="S79" s="58">
        <f>R79*'Расчет субсидий'!Y79</f>
        <v>-0.33707865168539353</v>
      </c>
      <c r="T79" s="53">
        <f t="shared" si="22"/>
        <v>-3.3877440917763915</v>
      </c>
      <c r="U79" s="52">
        <f>'Расчет субсидий'!AB79-1</f>
        <v>0</v>
      </c>
      <c r="V79" s="52">
        <f>U79*'Расчет субсидий'!AC79</f>
        <v>0</v>
      </c>
      <c r="W79" s="53">
        <f t="shared" si="23"/>
        <v>0</v>
      </c>
      <c r="X79" s="27" t="s">
        <v>365</v>
      </c>
      <c r="Y79" s="27" t="s">
        <v>365</v>
      </c>
      <c r="Z79" s="27" t="s">
        <v>365</v>
      </c>
      <c r="AA79" s="27" t="s">
        <v>365</v>
      </c>
      <c r="AB79" s="27" t="s">
        <v>365</v>
      </c>
      <c r="AC79" s="27" t="s">
        <v>365</v>
      </c>
      <c r="AD79" s="27" t="s">
        <v>365</v>
      </c>
      <c r="AE79" s="27" t="s">
        <v>365</v>
      </c>
      <c r="AF79" s="27" t="s">
        <v>365</v>
      </c>
      <c r="AG79" s="52">
        <f t="shared" si="24"/>
        <v>3.306999684145675</v>
      </c>
      <c r="AH79" s="80"/>
    </row>
    <row r="80" spans="1:34" ht="15" customHeight="1">
      <c r="A80" s="33" t="s">
        <v>67</v>
      </c>
      <c r="B80" s="50">
        <f>'Расчет субсидий'!AT80</f>
        <v>52.518181818181915</v>
      </c>
      <c r="C80" s="52">
        <f>'Расчет субсидий'!D80-1</f>
        <v>-1</v>
      </c>
      <c r="D80" s="52">
        <f>C80*'Расчет субсидий'!E80</f>
        <v>0</v>
      </c>
      <c r="E80" s="53">
        <f t="shared" si="20"/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2">
        <f>'Расчет субсидий'!P80-1</f>
        <v>0.23557240333586038</v>
      </c>
      <c r="M80" s="52">
        <f>L80*'Расчет субсидий'!Q80</f>
        <v>4.7114480667172076</v>
      </c>
      <c r="N80" s="53">
        <f t="shared" si="21"/>
        <v>50.781068488660893</v>
      </c>
      <c r="O80" s="27" t="s">
        <v>365</v>
      </c>
      <c r="P80" s="27" t="s">
        <v>365</v>
      </c>
      <c r="Q80" s="27" t="s">
        <v>365</v>
      </c>
      <c r="R80" s="58">
        <f>'Расчет субсидий'!X80-1</f>
        <v>3.223374175306315E-2</v>
      </c>
      <c r="S80" s="58">
        <f>R80*'Расчет субсидий'!Y80</f>
        <v>0.16116870876531575</v>
      </c>
      <c r="T80" s="53">
        <f t="shared" si="22"/>
        <v>1.7371133295210279</v>
      </c>
      <c r="U80" s="52">
        <f>'Расчет субсидий'!AB80-1</f>
        <v>0</v>
      </c>
      <c r="V80" s="52">
        <f>U80*'Расчет субсидий'!AC80</f>
        <v>0</v>
      </c>
      <c r="W80" s="53">
        <f t="shared" si="23"/>
        <v>0</v>
      </c>
      <c r="X80" s="27" t="s">
        <v>365</v>
      </c>
      <c r="Y80" s="27" t="s">
        <v>365</v>
      </c>
      <c r="Z80" s="27" t="s">
        <v>365</v>
      </c>
      <c r="AA80" s="27" t="s">
        <v>365</v>
      </c>
      <c r="AB80" s="27" t="s">
        <v>365</v>
      </c>
      <c r="AC80" s="27" t="s">
        <v>365</v>
      </c>
      <c r="AD80" s="27" t="s">
        <v>365</v>
      </c>
      <c r="AE80" s="27" t="s">
        <v>365</v>
      </c>
      <c r="AF80" s="27" t="s">
        <v>365</v>
      </c>
      <c r="AG80" s="52">
        <f t="shared" si="24"/>
        <v>4.8726167754825234</v>
      </c>
      <c r="AH80" s="80"/>
    </row>
    <row r="81" spans="1:34" ht="15" customHeight="1">
      <c r="A81" s="32" t="s">
        <v>68</v>
      </c>
      <c r="B81" s="54"/>
      <c r="C81" s="55"/>
      <c r="D81" s="55"/>
      <c r="E81" s="56"/>
      <c r="F81" s="55"/>
      <c r="G81" s="55"/>
      <c r="H81" s="56"/>
      <c r="I81" s="56"/>
      <c r="J81" s="56"/>
      <c r="K81" s="56"/>
      <c r="L81" s="55"/>
      <c r="M81" s="55"/>
      <c r="N81" s="56"/>
      <c r="O81" s="55"/>
      <c r="P81" s="55"/>
      <c r="Q81" s="56"/>
      <c r="R81" s="56"/>
      <c r="S81" s="56"/>
      <c r="T81" s="56"/>
      <c r="U81" s="56"/>
      <c r="V81" s="56"/>
      <c r="W81" s="56"/>
      <c r="X81" s="27"/>
      <c r="Y81" s="27"/>
      <c r="Z81" s="27"/>
      <c r="AA81" s="27"/>
      <c r="AB81" s="27"/>
      <c r="AC81" s="27"/>
      <c r="AD81" s="27"/>
      <c r="AE81" s="27"/>
      <c r="AF81" s="27"/>
      <c r="AG81" s="56"/>
      <c r="AH81" s="80"/>
    </row>
    <row r="82" spans="1:34" ht="15" customHeight="1">
      <c r="A82" s="33" t="s">
        <v>69</v>
      </c>
      <c r="B82" s="50">
        <f>'Расчет субсидий'!AT82</f>
        <v>8.0727272727272634</v>
      </c>
      <c r="C82" s="52">
        <f>'Расчет субсидий'!D82-1</f>
        <v>1.8409169850643892E-3</v>
      </c>
      <c r="D82" s="52">
        <f>C82*'Расчет субсидий'!E82</f>
        <v>9.2045849253219458E-3</v>
      </c>
      <c r="E82" s="53">
        <f t="shared" si="20"/>
        <v>1.4786588985667445E-2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2">
        <f>'Расчет субсидий'!P82-1</f>
        <v>0.30000000000000004</v>
      </c>
      <c r="M82" s="52">
        <f>L82*'Расчет субсидий'!Q82</f>
        <v>6.0000000000000009</v>
      </c>
      <c r="N82" s="53">
        <f t="shared" si="21"/>
        <v>9.6386240806943899</v>
      </c>
      <c r="O82" s="27" t="s">
        <v>365</v>
      </c>
      <c r="P82" s="27" t="s">
        <v>365</v>
      </c>
      <c r="Q82" s="27" t="s">
        <v>365</v>
      </c>
      <c r="R82" s="58">
        <f>'Расчет субсидий'!X82-1</f>
        <v>-7.4842436974789872E-2</v>
      </c>
      <c r="S82" s="58">
        <f>R82*'Расчет субсидий'!Y82</f>
        <v>-0.37421218487394936</v>
      </c>
      <c r="T82" s="53">
        <f t="shared" si="22"/>
        <v>-0.60114842940255142</v>
      </c>
      <c r="U82" s="52">
        <f>'Расчет субсидий'!AB82-1</f>
        <v>-3.0487804878048808E-2</v>
      </c>
      <c r="V82" s="52">
        <f>U82*'Расчет субсидий'!AC82</f>
        <v>-0.60975609756097615</v>
      </c>
      <c r="W82" s="53">
        <f t="shared" si="23"/>
        <v>-0.97953496755024361</v>
      </c>
      <c r="X82" s="27" t="s">
        <v>365</v>
      </c>
      <c r="Y82" s="27" t="s">
        <v>365</v>
      </c>
      <c r="Z82" s="27" t="s">
        <v>365</v>
      </c>
      <c r="AA82" s="27" t="s">
        <v>365</v>
      </c>
      <c r="AB82" s="27" t="s">
        <v>365</v>
      </c>
      <c r="AC82" s="27" t="s">
        <v>365</v>
      </c>
      <c r="AD82" s="27" t="s">
        <v>365</v>
      </c>
      <c r="AE82" s="27" t="s">
        <v>365</v>
      </c>
      <c r="AF82" s="27" t="s">
        <v>365</v>
      </c>
      <c r="AG82" s="52">
        <f t="shared" si="24"/>
        <v>5.0252363024903977</v>
      </c>
      <c r="AH82" s="80"/>
    </row>
    <row r="83" spans="1:34" ht="15" customHeight="1">
      <c r="A83" s="33" t="s">
        <v>70</v>
      </c>
      <c r="B83" s="50">
        <f>'Расчет субсидий'!AT83</f>
        <v>52.781818181818153</v>
      </c>
      <c r="C83" s="52">
        <f>'Расчет субсидий'!D83-1</f>
        <v>4.9499421642535291E-2</v>
      </c>
      <c r="D83" s="52">
        <f>C83*'Расчет субсидий'!E83</f>
        <v>0.24749710821267645</v>
      </c>
      <c r="E83" s="53">
        <f t="shared" si="20"/>
        <v>2.2621925487381649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2">
        <f>'Расчет субсидий'!P83-1</f>
        <v>0.21325704541374968</v>
      </c>
      <c r="M83" s="52">
        <f>L83*'Расчет субсидий'!Q83</f>
        <v>4.2651409082749936</v>
      </c>
      <c r="N83" s="53">
        <f t="shared" si="21"/>
        <v>38.984576634838568</v>
      </c>
      <c r="O83" s="27" t="s">
        <v>365</v>
      </c>
      <c r="P83" s="27" t="s">
        <v>365</v>
      </c>
      <c r="Q83" s="27" t="s">
        <v>365</v>
      </c>
      <c r="R83" s="58">
        <f>'Расчет субсидий'!X83-1</f>
        <v>0.19357684842068124</v>
      </c>
      <c r="S83" s="58">
        <f>R83*'Расчет субсидий'!Y83</f>
        <v>0.96788424210340618</v>
      </c>
      <c r="T83" s="53">
        <f t="shared" si="22"/>
        <v>8.846731730885196</v>
      </c>
      <c r="U83" s="52">
        <f>'Расчет субсидий'!AB83-1</f>
        <v>1.4705882352941124E-2</v>
      </c>
      <c r="V83" s="52">
        <f>U83*'Расчет субсидий'!AC83</f>
        <v>0.29411764705882248</v>
      </c>
      <c r="W83" s="53">
        <f t="shared" si="23"/>
        <v>2.6883172673562226</v>
      </c>
      <c r="X83" s="27" t="s">
        <v>365</v>
      </c>
      <c r="Y83" s="27" t="s">
        <v>365</v>
      </c>
      <c r="Z83" s="27" t="s">
        <v>365</v>
      </c>
      <c r="AA83" s="27" t="s">
        <v>365</v>
      </c>
      <c r="AB83" s="27" t="s">
        <v>365</v>
      </c>
      <c r="AC83" s="27" t="s">
        <v>365</v>
      </c>
      <c r="AD83" s="27" t="s">
        <v>365</v>
      </c>
      <c r="AE83" s="27" t="s">
        <v>365</v>
      </c>
      <c r="AF83" s="27" t="s">
        <v>365</v>
      </c>
      <c r="AG83" s="52">
        <f t="shared" si="24"/>
        <v>5.7746399056498987</v>
      </c>
      <c r="AH83" s="80"/>
    </row>
    <row r="84" spans="1:34" ht="15" customHeight="1">
      <c r="A84" s="33" t="s">
        <v>71</v>
      </c>
      <c r="B84" s="50">
        <f>'Расчет субсидий'!AT84</f>
        <v>19.181818181818187</v>
      </c>
      <c r="C84" s="52">
        <f>'Расчет субсидий'!D84-1</f>
        <v>2.1762589928057574E-2</v>
      </c>
      <c r="D84" s="52">
        <f>C84*'Расчет субсидий'!E84</f>
        <v>0.10881294964028787</v>
      </c>
      <c r="E84" s="53">
        <f t="shared" si="20"/>
        <v>0.33436319386898755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2">
        <f>'Расчет субсидий'!P84-1</f>
        <v>0.30000000000000004</v>
      </c>
      <c r="M84" s="52">
        <f>L84*'Расчет субсидий'!Q84</f>
        <v>6.0000000000000009</v>
      </c>
      <c r="N84" s="53">
        <f t="shared" si="21"/>
        <v>18.4369523098668</v>
      </c>
      <c r="O84" s="27" t="s">
        <v>365</v>
      </c>
      <c r="P84" s="27" t="s">
        <v>365</v>
      </c>
      <c r="Q84" s="27" t="s">
        <v>365</v>
      </c>
      <c r="R84" s="58">
        <f>'Расчет субсидий'!X84-1</f>
        <v>-9.97899159663862E-3</v>
      </c>
      <c r="S84" s="58">
        <f>R84*'Расчет субсидий'!Y84</f>
        <v>-4.98949579831931E-2</v>
      </c>
      <c r="T84" s="53">
        <f t="shared" si="22"/>
        <v>-0.15331849347315649</v>
      </c>
      <c r="U84" s="52">
        <f>'Расчет субсидий'!AB84-1</f>
        <v>9.1743119266054496E-3</v>
      </c>
      <c r="V84" s="52">
        <f>U84*'Расчет субсидий'!AC84</f>
        <v>0.18348623853210899</v>
      </c>
      <c r="W84" s="53">
        <f t="shared" si="23"/>
        <v>0.56382117155555622</v>
      </c>
      <c r="X84" s="27" t="s">
        <v>365</v>
      </c>
      <c r="Y84" s="27" t="s">
        <v>365</v>
      </c>
      <c r="Z84" s="27" t="s">
        <v>365</v>
      </c>
      <c r="AA84" s="27" t="s">
        <v>365</v>
      </c>
      <c r="AB84" s="27" t="s">
        <v>365</v>
      </c>
      <c r="AC84" s="27" t="s">
        <v>365</v>
      </c>
      <c r="AD84" s="27" t="s">
        <v>365</v>
      </c>
      <c r="AE84" s="27" t="s">
        <v>365</v>
      </c>
      <c r="AF84" s="27" t="s">
        <v>365</v>
      </c>
      <c r="AG84" s="52">
        <f t="shared" si="24"/>
        <v>6.2424042301892042</v>
      </c>
      <c r="AH84" s="80"/>
    </row>
    <row r="85" spans="1:34" ht="15" customHeight="1">
      <c r="A85" s="33" t="s">
        <v>72</v>
      </c>
      <c r="B85" s="50">
        <f>'Расчет субсидий'!AT85</f>
        <v>28.981818181818198</v>
      </c>
      <c r="C85" s="52">
        <f>'Расчет субсидий'!D85-1</f>
        <v>1.8759532282663915E-2</v>
      </c>
      <c r="D85" s="52">
        <f>C85*'Расчет субсидий'!E85</f>
        <v>9.3797661413319577E-2</v>
      </c>
      <c r="E85" s="53">
        <f t="shared" si="20"/>
        <v>0.46283730962212916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2">
        <f>'Расчет субсидий'!P85-1</f>
        <v>0.26282442748091595</v>
      </c>
      <c r="M85" s="52">
        <f>L85*'Расчет субсидий'!Q85</f>
        <v>5.2564885496183189</v>
      </c>
      <c r="N85" s="53">
        <f t="shared" si="21"/>
        <v>25.937736418014691</v>
      </c>
      <c r="O85" s="27" t="s">
        <v>365</v>
      </c>
      <c r="P85" s="27" t="s">
        <v>365</v>
      </c>
      <c r="Q85" s="27" t="s">
        <v>365</v>
      </c>
      <c r="R85" s="58">
        <f>'Расчет субсидий'!X85-1</f>
        <v>-2.7246188777165115E-2</v>
      </c>
      <c r="S85" s="58">
        <f>R85*'Расчет субсидий'!Y85</f>
        <v>-0.13623094388582557</v>
      </c>
      <c r="T85" s="53">
        <f t="shared" si="22"/>
        <v>-0.67222106186162389</v>
      </c>
      <c r="U85" s="52">
        <f>'Расчет субсидий'!AB85-1</f>
        <v>3.2967032967033072E-2</v>
      </c>
      <c r="V85" s="52">
        <f>U85*'Расчет субсидий'!AC85</f>
        <v>0.65934065934066144</v>
      </c>
      <c r="W85" s="53">
        <f t="shared" si="23"/>
        <v>3.2534655160430015</v>
      </c>
      <c r="X85" s="27" t="s">
        <v>365</v>
      </c>
      <c r="Y85" s="27" t="s">
        <v>365</v>
      </c>
      <c r="Z85" s="27" t="s">
        <v>365</v>
      </c>
      <c r="AA85" s="27" t="s">
        <v>365</v>
      </c>
      <c r="AB85" s="27" t="s">
        <v>365</v>
      </c>
      <c r="AC85" s="27" t="s">
        <v>365</v>
      </c>
      <c r="AD85" s="27" t="s">
        <v>365</v>
      </c>
      <c r="AE85" s="27" t="s">
        <v>365</v>
      </c>
      <c r="AF85" s="27" t="s">
        <v>365</v>
      </c>
      <c r="AG85" s="52">
        <f t="shared" si="24"/>
        <v>5.8733959264864746</v>
      </c>
      <c r="AH85" s="80"/>
    </row>
    <row r="86" spans="1:34" ht="15" customHeight="1">
      <c r="A86" s="33" t="s">
        <v>73</v>
      </c>
      <c r="B86" s="50">
        <f>'Расчет субсидий'!AT86</f>
        <v>16.800000000000011</v>
      </c>
      <c r="C86" s="52">
        <f>'Расчет субсидий'!D86-1</f>
        <v>0</v>
      </c>
      <c r="D86" s="52">
        <f>C86*'Расчет субсидий'!E86</f>
        <v>0</v>
      </c>
      <c r="E86" s="53">
        <f t="shared" si="20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2">
        <f>'Расчет субсидий'!P86-1</f>
        <v>0.25028372324539561</v>
      </c>
      <c r="M86" s="52">
        <f>L86*'Расчет субсидий'!Q86</f>
        <v>5.0056744649079121</v>
      </c>
      <c r="N86" s="53">
        <f t="shared" si="21"/>
        <v>16.211384787838554</v>
      </c>
      <c r="O86" s="27" t="s">
        <v>365</v>
      </c>
      <c r="P86" s="27" t="s">
        <v>365</v>
      </c>
      <c r="Q86" s="27" t="s">
        <v>365</v>
      </c>
      <c r="R86" s="58">
        <f>'Расчет субсидий'!X86-1</f>
        <v>3.6349962396590607E-2</v>
      </c>
      <c r="S86" s="58">
        <f>R86*'Расчет субсидий'!Y86</f>
        <v>0.18174981198295304</v>
      </c>
      <c r="T86" s="53">
        <f t="shared" si="22"/>
        <v>0.58861521216145773</v>
      </c>
      <c r="U86" s="52">
        <f>'Расчет субсидий'!AB86-1</f>
        <v>0</v>
      </c>
      <c r="V86" s="52">
        <f>U86*'Расчет субсидий'!AC86</f>
        <v>0</v>
      </c>
      <c r="W86" s="53">
        <f t="shared" si="23"/>
        <v>0</v>
      </c>
      <c r="X86" s="27" t="s">
        <v>365</v>
      </c>
      <c r="Y86" s="27" t="s">
        <v>365</v>
      </c>
      <c r="Z86" s="27" t="s">
        <v>365</v>
      </c>
      <c r="AA86" s="27" t="s">
        <v>365</v>
      </c>
      <c r="AB86" s="27" t="s">
        <v>365</v>
      </c>
      <c r="AC86" s="27" t="s">
        <v>365</v>
      </c>
      <c r="AD86" s="27" t="s">
        <v>365</v>
      </c>
      <c r="AE86" s="27" t="s">
        <v>365</v>
      </c>
      <c r="AF86" s="27" t="s">
        <v>365</v>
      </c>
      <c r="AG86" s="52">
        <f t="shared" si="24"/>
        <v>5.1874242768908649</v>
      </c>
      <c r="AH86" s="80"/>
    </row>
    <row r="87" spans="1:34" ht="15" customHeight="1">
      <c r="A87" s="33" t="s">
        <v>74</v>
      </c>
      <c r="B87" s="50">
        <f>'Расчет субсидий'!AT87</f>
        <v>19.954545454545439</v>
      </c>
      <c r="C87" s="52">
        <f>'Расчет субсидий'!D87-1</f>
        <v>0</v>
      </c>
      <c r="D87" s="52">
        <f>C87*'Расчет субсидий'!E87</f>
        <v>0</v>
      </c>
      <c r="E87" s="53">
        <f t="shared" si="20"/>
        <v>0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2">
        <f>'Расчет субсидий'!P87-1</f>
        <v>0.20368520620507002</v>
      </c>
      <c r="M87" s="52">
        <f>L87*'Расчет субсидий'!Q87</f>
        <v>4.0737041241014005</v>
      </c>
      <c r="N87" s="53">
        <f t="shared" si="21"/>
        <v>23.464167844137865</v>
      </c>
      <c r="O87" s="27" t="s">
        <v>365</v>
      </c>
      <c r="P87" s="27" t="s">
        <v>365</v>
      </c>
      <c r="Q87" s="27" t="s">
        <v>365</v>
      </c>
      <c r="R87" s="58">
        <f>'Расчет субсидий'!X87-1</f>
        <v>-0.12186379928315416</v>
      </c>
      <c r="S87" s="58">
        <f>R87*'Расчет субсидий'!Y87</f>
        <v>-0.60931899641577081</v>
      </c>
      <c r="T87" s="53">
        <f t="shared" si="22"/>
        <v>-3.5096223895924279</v>
      </c>
      <c r="U87" s="52">
        <f>'Расчет субсидий'!AB87-1</f>
        <v>0</v>
      </c>
      <c r="V87" s="52">
        <f>U87*'Расчет субсидий'!AC87</f>
        <v>0</v>
      </c>
      <c r="W87" s="53">
        <f t="shared" si="23"/>
        <v>0</v>
      </c>
      <c r="X87" s="27" t="s">
        <v>365</v>
      </c>
      <c r="Y87" s="27" t="s">
        <v>365</v>
      </c>
      <c r="Z87" s="27" t="s">
        <v>365</v>
      </c>
      <c r="AA87" s="27" t="s">
        <v>365</v>
      </c>
      <c r="AB87" s="27" t="s">
        <v>365</v>
      </c>
      <c r="AC87" s="27" t="s">
        <v>365</v>
      </c>
      <c r="AD87" s="27" t="s">
        <v>365</v>
      </c>
      <c r="AE87" s="27" t="s">
        <v>365</v>
      </c>
      <c r="AF87" s="27" t="s">
        <v>365</v>
      </c>
      <c r="AG87" s="52">
        <f t="shared" si="24"/>
        <v>3.4643851276856297</v>
      </c>
      <c r="AH87" s="80"/>
    </row>
    <row r="88" spans="1:34" ht="15" customHeight="1">
      <c r="A88" s="33" t="s">
        <v>75</v>
      </c>
      <c r="B88" s="50">
        <f>'Расчет субсидий'!AT88</f>
        <v>-57.372727272727275</v>
      </c>
      <c r="C88" s="52">
        <f>'Расчет субсидий'!D88-1</f>
        <v>3.5223670306439026E-4</v>
      </c>
      <c r="D88" s="52">
        <f>C88*'Расчет субсидий'!E88</f>
        <v>1.7611835153219513E-3</v>
      </c>
      <c r="E88" s="53">
        <f t="shared" si="20"/>
        <v>1.111049256836848E-2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2">
        <f>'Расчет субсидий'!P88-1</f>
        <v>-0.49811636668061954</v>
      </c>
      <c r="M88" s="52">
        <f>L88*'Расчет субсидий'!Q88</f>
        <v>-9.9623273336123912</v>
      </c>
      <c r="N88" s="53">
        <f t="shared" si="21"/>
        <v>-62.847717367784213</v>
      </c>
      <c r="O88" s="27" t="s">
        <v>365</v>
      </c>
      <c r="P88" s="27" t="s">
        <v>365</v>
      </c>
      <c r="Q88" s="27" t="s">
        <v>365</v>
      </c>
      <c r="R88" s="58">
        <f>'Расчет субсидий'!X88-1</f>
        <v>0.12051310903567014</v>
      </c>
      <c r="S88" s="58">
        <f>R88*'Расчет субсидий'!Y88</f>
        <v>0.6025655451783507</v>
      </c>
      <c r="T88" s="53">
        <f t="shared" si="22"/>
        <v>3.8013074466207071</v>
      </c>
      <c r="U88" s="52">
        <f>'Расчет субсидий'!AB88-1</f>
        <v>1.3177159590043841E-2</v>
      </c>
      <c r="V88" s="52">
        <f>U88*'Расчет субсидий'!AC88</f>
        <v>0.26354319180087682</v>
      </c>
      <c r="W88" s="53">
        <f t="shared" si="23"/>
        <v>1.662572155867859</v>
      </c>
      <c r="X88" s="27" t="s">
        <v>365</v>
      </c>
      <c r="Y88" s="27" t="s">
        <v>365</v>
      </c>
      <c r="Z88" s="27" t="s">
        <v>365</v>
      </c>
      <c r="AA88" s="27" t="s">
        <v>365</v>
      </c>
      <c r="AB88" s="27" t="s">
        <v>365</v>
      </c>
      <c r="AC88" s="27" t="s">
        <v>365</v>
      </c>
      <c r="AD88" s="27" t="s">
        <v>365</v>
      </c>
      <c r="AE88" s="27" t="s">
        <v>365</v>
      </c>
      <c r="AF88" s="27" t="s">
        <v>365</v>
      </c>
      <c r="AG88" s="52">
        <f t="shared" si="24"/>
        <v>-9.0944574131178406</v>
      </c>
      <c r="AH88" s="80"/>
    </row>
    <row r="89" spans="1:34" ht="15" customHeight="1">
      <c r="A89" s="33" t="s">
        <v>76</v>
      </c>
      <c r="B89" s="50">
        <f>'Расчет субсидий'!AT89</f>
        <v>31.954545454545439</v>
      </c>
      <c r="C89" s="52">
        <f>'Расчет субсидий'!D89-1</f>
        <v>9.1715976331359084E-3</v>
      </c>
      <c r="D89" s="52">
        <f>C89*'Расчет субсидий'!E89</f>
        <v>4.5857988165679542E-2</v>
      </c>
      <c r="E89" s="53">
        <f t="shared" si="20"/>
        <v>0.19867319207440667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2">
        <f>'Расчет субсидий'!P89-1</f>
        <v>0.27746050789842025</v>
      </c>
      <c r="M89" s="52">
        <f>L89*'Расчет субсидий'!Q89</f>
        <v>5.549210157968405</v>
      </c>
      <c r="N89" s="53">
        <f t="shared" si="21"/>
        <v>24.04116141319102</v>
      </c>
      <c r="O89" s="27" t="s">
        <v>365</v>
      </c>
      <c r="P89" s="27" t="s">
        <v>365</v>
      </c>
      <c r="Q89" s="27" t="s">
        <v>365</v>
      </c>
      <c r="R89" s="58">
        <f>'Расчет субсидий'!X89-1</f>
        <v>0.20058823529411751</v>
      </c>
      <c r="S89" s="58">
        <f>R89*'Расчет субсидий'!Y89</f>
        <v>1.0029411764705876</v>
      </c>
      <c r="T89" s="53">
        <f t="shared" si="22"/>
        <v>4.3450995772509318</v>
      </c>
      <c r="U89" s="52">
        <f>'Расчет субсидий'!AB89-1</f>
        <v>3.8888888888888973E-2</v>
      </c>
      <c r="V89" s="52">
        <f>U89*'Расчет субсидий'!AC89</f>
        <v>0.77777777777777946</v>
      </c>
      <c r="W89" s="53">
        <f t="shared" si="23"/>
        <v>3.3696112720290805</v>
      </c>
      <c r="X89" s="27" t="s">
        <v>365</v>
      </c>
      <c r="Y89" s="27" t="s">
        <v>365</v>
      </c>
      <c r="Z89" s="27" t="s">
        <v>365</v>
      </c>
      <c r="AA89" s="27" t="s">
        <v>365</v>
      </c>
      <c r="AB89" s="27" t="s">
        <v>365</v>
      </c>
      <c r="AC89" s="27" t="s">
        <v>365</v>
      </c>
      <c r="AD89" s="27" t="s">
        <v>365</v>
      </c>
      <c r="AE89" s="27" t="s">
        <v>365</v>
      </c>
      <c r="AF89" s="27" t="s">
        <v>365</v>
      </c>
      <c r="AG89" s="52">
        <f t="shared" si="24"/>
        <v>7.3757871003824516</v>
      </c>
      <c r="AH89" s="80"/>
    </row>
    <row r="90" spans="1:34" ht="15" customHeight="1">
      <c r="A90" s="32" t="s">
        <v>77</v>
      </c>
      <c r="B90" s="54"/>
      <c r="C90" s="55"/>
      <c r="D90" s="55"/>
      <c r="E90" s="56"/>
      <c r="F90" s="55"/>
      <c r="G90" s="55"/>
      <c r="H90" s="56"/>
      <c r="I90" s="56"/>
      <c r="J90" s="56"/>
      <c r="K90" s="56"/>
      <c r="L90" s="55"/>
      <c r="M90" s="55"/>
      <c r="N90" s="56"/>
      <c r="O90" s="55"/>
      <c r="P90" s="55"/>
      <c r="Q90" s="56"/>
      <c r="R90" s="56"/>
      <c r="S90" s="56"/>
      <c r="T90" s="56"/>
      <c r="U90" s="56"/>
      <c r="V90" s="56"/>
      <c r="W90" s="56"/>
      <c r="X90" s="27"/>
      <c r="Y90" s="27"/>
      <c r="Z90" s="27"/>
      <c r="AA90" s="27"/>
      <c r="AB90" s="27"/>
      <c r="AC90" s="27"/>
      <c r="AD90" s="27"/>
      <c r="AE90" s="27"/>
      <c r="AF90" s="27"/>
      <c r="AG90" s="56"/>
      <c r="AH90" s="80"/>
    </row>
    <row r="91" spans="1:34" ht="15" customHeight="1">
      <c r="A91" s="33" t="s">
        <v>78</v>
      </c>
      <c r="B91" s="50">
        <f>'Расчет субсидий'!AT91</f>
        <v>-43.145454545454584</v>
      </c>
      <c r="C91" s="52">
        <f>'Расчет субсидий'!D91-1</f>
        <v>0.2039291039718043</v>
      </c>
      <c r="D91" s="52">
        <f>C91*'Расчет субсидий'!E91</f>
        <v>1.0196455198590215</v>
      </c>
      <c r="E91" s="53">
        <f t="shared" si="20"/>
        <v>10.399932477145208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2">
        <f>'Расчет субсидий'!P91-1</f>
        <v>-0.32700978307103357</v>
      </c>
      <c r="M91" s="52">
        <f>L91*'Расчет субсидий'!Q91</f>
        <v>-6.5401956614206718</v>
      </c>
      <c r="N91" s="53">
        <f t="shared" si="21"/>
        <v>-66.707097654386104</v>
      </c>
      <c r="O91" s="27" t="s">
        <v>365</v>
      </c>
      <c r="P91" s="27" t="s">
        <v>365</v>
      </c>
      <c r="Q91" s="27" t="s">
        <v>365</v>
      </c>
      <c r="R91" s="58">
        <f>'Расчет субсидий'!X91-1</f>
        <v>0.25808396946564871</v>
      </c>
      <c r="S91" s="58">
        <f>R91*'Расчет субсидий'!Y91</f>
        <v>1.2904198473282436</v>
      </c>
      <c r="T91" s="53">
        <f t="shared" si="22"/>
        <v>13.16171063178631</v>
      </c>
      <c r="U91" s="52">
        <f>'Расчет субсидий'!AB91-1</f>
        <v>0</v>
      </c>
      <c r="V91" s="52">
        <f>U91*'Расчет субсидий'!AC91</f>
        <v>0</v>
      </c>
      <c r="W91" s="53">
        <f t="shared" si="23"/>
        <v>0</v>
      </c>
      <c r="X91" s="27" t="s">
        <v>365</v>
      </c>
      <c r="Y91" s="27" t="s">
        <v>365</v>
      </c>
      <c r="Z91" s="27" t="s">
        <v>365</v>
      </c>
      <c r="AA91" s="27" t="s">
        <v>365</v>
      </c>
      <c r="AB91" s="27" t="s">
        <v>365</v>
      </c>
      <c r="AC91" s="27" t="s">
        <v>365</v>
      </c>
      <c r="AD91" s="27" t="s">
        <v>365</v>
      </c>
      <c r="AE91" s="27" t="s">
        <v>365</v>
      </c>
      <c r="AF91" s="27" t="s">
        <v>365</v>
      </c>
      <c r="AG91" s="52">
        <f t="shared" si="24"/>
        <v>-4.2301302942334065</v>
      </c>
      <c r="AH91" s="80"/>
    </row>
    <row r="92" spans="1:34" ht="15" customHeight="1">
      <c r="A92" s="33" t="s">
        <v>79</v>
      </c>
      <c r="B92" s="50">
        <f>'Расчет субсидий'!AT92</f>
        <v>23.845454545454459</v>
      </c>
      <c r="C92" s="52">
        <f>'Расчет субсидий'!D92-1</f>
        <v>0.15403367444910177</v>
      </c>
      <c r="D92" s="52">
        <f>C92*'Расчет субсидий'!E92</f>
        <v>0.77016837224550883</v>
      </c>
      <c r="E92" s="53">
        <f t="shared" si="20"/>
        <v>9.737892487612072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2">
        <f>'Расчет субсидий'!P92-1</f>
        <v>-1.9211757727542245E-2</v>
      </c>
      <c r="M92" s="52">
        <f>L92*'Расчет субсидий'!Q92</f>
        <v>-0.38423515455084489</v>
      </c>
      <c r="N92" s="53">
        <f t="shared" si="21"/>
        <v>-4.8582112169420553</v>
      </c>
      <c r="O92" s="27" t="s">
        <v>365</v>
      </c>
      <c r="P92" s="27" t="s">
        <v>365</v>
      </c>
      <c r="Q92" s="27" t="s">
        <v>365</v>
      </c>
      <c r="R92" s="58">
        <f>'Расчет субсидий'!X92-1</f>
        <v>0.30000000000000004</v>
      </c>
      <c r="S92" s="58">
        <f>R92*'Расчет субсидий'!Y92</f>
        <v>1.5000000000000002</v>
      </c>
      <c r="T92" s="53">
        <f t="shared" si="22"/>
        <v>18.965773274784443</v>
      </c>
      <c r="U92" s="52">
        <f>'Расчет субсидий'!AB92-1</f>
        <v>0</v>
      </c>
      <c r="V92" s="52">
        <f>U92*'Расчет субсидий'!AC92</f>
        <v>0</v>
      </c>
      <c r="W92" s="53">
        <f t="shared" si="23"/>
        <v>0</v>
      </c>
      <c r="X92" s="27" t="s">
        <v>365</v>
      </c>
      <c r="Y92" s="27" t="s">
        <v>365</v>
      </c>
      <c r="Z92" s="27" t="s">
        <v>365</v>
      </c>
      <c r="AA92" s="27" t="s">
        <v>365</v>
      </c>
      <c r="AB92" s="27" t="s">
        <v>365</v>
      </c>
      <c r="AC92" s="27" t="s">
        <v>365</v>
      </c>
      <c r="AD92" s="27" t="s">
        <v>365</v>
      </c>
      <c r="AE92" s="27" t="s">
        <v>365</v>
      </c>
      <c r="AF92" s="27" t="s">
        <v>365</v>
      </c>
      <c r="AG92" s="52">
        <f t="shared" si="24"/>
        <v>1.8859332176946642</v>
      </c>
      <c r="AH92" s="80"/>
    </row>
    <row r="93" spans="1:34" ht="15" customHeight="1">
      <c r="A93" s="33" t="s">
        <v>80</v>
      </c>
      <c r="B93" s="50">
        <f>'Расчет субсидий'!AT93</f>
        <v>76.390909090909076</v>
      </c>
      <c r="C93" s="52">
        <f>'Расчет субсидий'!D93-1</f>
        <v>2.4793388429751984E-2</v>
      </c>
      <c r="D93" s="52">
        <f>C93*'Расчет субсидий'!E93</f>
        <v>0.12396694214875992</v>
      </c>
      <c r="E93" s="53">
        <f t="shared" si="20"/>
        <v>1.975538119508067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2">
        <f>'Расчет субсидий'!P93-1</f>
        <v>0.24036269430051815</v>
      </c>
      <c r="M93" s="52">
        <f>L93*'Расчет субсидий'!Q93</f>
        <v>4.8072538860103631</v>
      </c>
      <c r="N93" s="53">
        <f t="shared" si="21"/>
        <v>76.608433969198785</v>
      </c>
      <c r="O93" s="27" t="s">
        <v>365</v>
      </c>
      <c r="P93" s="27" t="s">
        <v>365</v>
      </c>
      <c r="Q93" s="27" t="s">
        <v>365</v>
      </c>
      <c r="R93" s="58">
        <f>'Расчет субсидий'!X93-1</f>
        <v>-3.5616438356164348E-2</v>
      </c>
      <c r="S93" s="58">
        <f>R93*'Расчет субсидий'!Y93</f>
        <v>-0.17808219178082174</v>
      </c>
      <c r="T93" s="53">
        <f t="shared" si="22"/>
        <v>-2.8379191433663897</v>
      </c>
      <c r="U93" s="52">
        <f>'Расчет субсидий'!AB93-1</f>
        <v>2.0232675771370001E-3</v>
      </c>
      <c r="V93" s="52">
        <f>U93*'Расчет субсидий'!AC93</f>
        <v>4.0465351542740002E-2</v>
      </c>
      <c r="W93" s="53">
        <f t="shared" si="23"/>
        <v>0.64485614556862014</v>
      </c>
      <c r="X93" s="27" t="s">
        <v>365</v>
      </c>
      <c r="Y93" s="27" t="s">
        <v>365</v>
      </c>
      <c r="Z93" s="27" t="s">
        <v>365</v>
      </c>
      <c r="AA93" s="27" t="s">
        <v>365</v>
      </c>
      <c r="AB93" s="27" t="s">
        <v>365</v>
      </c>
      <c r="AC93" s="27" t="s">
        <v>365</v>
      </c>
      <c r="AD93" s="27" t="s">
        <v>365</v>
      </c>
      <c r="AE93" s="27" t="s">
        <v>365</v>
      </c>
      <c r="AF93" s="27" t="s">
        <v>365</v>
      </c>
      <c r="AG93" s="52">
        <f t="shared" si="24"/>
        <v>4.793603987921041</v>
      </c>
      <c r="AH93" s="80"/>
    </row>
    <row r="94" spans="1:34" ht="15" customHeight="1">
      <c r="A94" s="33" t="s">
        <v>81</v>
      </c>
      <c r="B94" s="50">
        <f>'Расчет субсидий'!AT94</f>
        <v>-84.772727272727252</v>
      </c>
      <c r="C94" s="52">
        <f>'Расчет субсидий'!D94-1</f>
        <v>0.16131968145620013</v>
      </c>
      <c r="D94" s="52">
        <f>C94*'Расчет субсидий'!E94</f>
        <v>0.80659840728100063</v>
      </c>
      <c r="E94" s="53">
        <f t="shared" si="20"/>
        <v>12.584334986308479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2">
        <f>'Расчет субсидий'!P94-1</f>
        <v>-0.3890283948232568</v>
      </c>
      <c r="M94" s="52">
        <f>L94*'Расчет субсидий'!Q94</f>
        <v>-7.7805678964651364</v>
      </c>
      <c r="N94" s="53">
        <f t="shared" si="21"/>
        <v>-121.39036217898705</v>
      </c>
      <c r="O94" s="27" t="s">
        <v>365</v>
      </c>
      <c r="P94" s="27" t="s">
        <v>365</v>
      </c>
      <c r="Q94" s="27" t="s">
        <v>365</v>
      </c>
      <c r="R94" s="58">
        <f>'Расчет субсидий'!X94-1</f>
        <v>7.2000000000000952E-3</v>
      </c>
      <c r="S94" s="58">
        <f>R94*'Расчет субсидий'!Y94</f>
        <v>3.6000000000000476E-2</v>
      </c>
      <c r="T94" s="53">
        <f t="shared" si="22"/>
        <v>0.5616624771604386</v>
      </c>
      <c r="U94" s="52">
        <f>'Расчет субсидий'!AB94-1</f>
        <v>7.5221238938053103E-2</v>
      </c>
      <c r="V94" s="52">
        <f>U94*'Расчет субсидий'!AC94</f>
        <v>1.5044247787610621</v>
      </c>
      <c r="W94" s="53">
        <f t="shared" si="23"/>
        <v>23.471637442790882</v>
      </c>
      <c r="X94" s="27" t="s">
        <v>365</v>
      </c>
      <c r="Y94" s="27" t="s">
        <v>365</v>
      </c>
      <c r="Z94" s="27" t="s">
        <v>365</v>
      </c>
      <c r="AA94" s="27" t="s">
        <v>365</v>
      </c>
      <c r="AB94" s="27" t="s">
        <v>365</v>
      </c>
      <c r="AC94" s="27" t="s">
        <v>365</v>
      </c>
      <c r="AD94" s="27" t="s">
        <v>365</v>
      </c>
      <c r="AE94" s="27" t="s">
        <v>365</v>
      </c>
      <c r="AF94" s="27" t="s">
        <v>365</v>
      </c>
      <c r="AG94" s="52">
        <f t="shared" si="24"/>
        <v>-5.4335447104230727</v>
      </c>
      <c r="AH94" s="80"/>
    </row>
    <row r="95" spans="1:34">
      <c r="A95" s="33" t="s">
        <v>82</v>
      </c>
      <c r="B95" s="50">
        <f>'Расчет субсидий'!AT95</f>
        <v>71.636363636363626</v>
      </c>
      <c r="C95" s="52">
        <f>'Расчет субсидий'!D95-1</f>
        <v>2.1739130434782705E-2</v>
      </c>
      <c r="D95" s="52">
        <f>C95*'Расчет субсидий'!E95</f>
        <v>0.10869565217391353</v>
      </c>
      <c r="E95" s="53">
        <f t="shared" si="20"/>
        <v>1.2819551080723275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2">
        <f>'Расчет субсидий'!P95-1</f>
        <v>0.30000000000000004</v>
      </c>
      <c r="M95" s="52">
        <f>L95*'Расчет субсидий'!Q95</f>
        <v>6.0000000000000009</v>
      </c>
      <c r="N95" s="53">
        <f t="shared" si="21"/>
        <v>70.763921965592175</v>
      </c>
      <c r="O95" s="27" t="s">
        <v>365</v>
      </c>
      <c r="P95" s="27" t="s">
        <v>365</v>
      </c>
      <c r="Q95" s="27" t="s">
        <v>365</v>
      </c>
      <c r="R95" s="58">
        <f>'Расчет субсидий'!X95-1</f>
        <v>-4.1944444444444451E-2</v>
      </c>
      <c r="S95" s="58">
        <f>R95*'Расчет субсидий'!Y95</f>
        <v>-0.20972222222222225</v>
      </c>
      <c r="T95" s="53">
        <f t="shared" si="22"/>
        <v>-2.473461161297319</v>
      </c>
      <c r="U95" s="52">
        <f>'Расчет субсидий'!AB95-1</f>
        <v>8.7500000000000355E-3</v>
      </c>
      <c r="V95" s="52">
        <f>U95*'Расчет субсидий'!AC95</f>
        <v>0.17500000000000071</v>
      </c>
      <c r="W95" s="53">
        <f t="shared" si="23"/>
        <v>2.0639477239964465</v>
      </c>
      <c r="X95" s="27" t="s">
        <v>365</v>
      </c>
      <c r="Y95" s="27" t="s">
        <v>365</v>
      </c>
      <c r="Z95" s="27" t="s">
        <v>365</v>
      </c>
      <c r="AA95" s="27" t="s">
        <v>365</v>
      </c>
      <c r="AB95" s="27" t="s">
        <v>365</v>
      </c>
      <c r="AC95" s="27" t="s">
        <v>365</v>
      </c>
      <c r="AD95" s="27" t="s">
        <v>365</v>
      </c>
      <c r="AE95" s="27" t="s">
        <v>365</v>
      </c>
      <c r="AF95" s="27" t="s">
        <v>365</v>
      </c>
      <c r="AG95" s="52">
        <f t="shared" si="24"/>
        <v>6.0739734299516925</v>
      </c>
      <c r="AH95" s="80"/>
    </row>
    <row r="96" spans="1:34" ht="15" customHeight="1">
      <c r="A96" s="33" t="s">
        <v>83</v>
      </c>
      <c r="B96" s="50">
        <f>'Расчет субсидий'!AT96</f>
        <v>52.072727272727263</v>
      </c>
      <c r="C96" s="52">
        <f>'Расчет субсидий'!D96-1</f>
        <v>2.2388059701492491E-2</v>
      </c>
      <c r="D96" s="52">
        <f>C96*'Расчет субсидий'!E96</f>
        <v>0.11194029850746245</v>
      </c>
      <c r="E96" s="53">
        <f t="shared" si="20"/>
        <v>0.98625495164955268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2">
        <f>'Расчет субсидий'!P96-1</f>
        <v>0.30000000000000004</v>
      </c>
      <c r="M96" s="52">
        <f>L96*'Расчет субсидий'!Q96</f>
        <v>6.0000000000000009</v>
      </c>
      <c r="N96" s="53">
        <f t="shared" si="21"/>
        <v>52.86326540841614</v>
      </c>
      <c r="O96" s="27" t="s">
        <v>365</v>
      </c>
      <c r="P96" s="27" t="s">
        <v>365</v>
      </c>
      <c r="Q96" s="27" t="s">
        <v>365</v>
      </c>
      <c r="R96" s="58">
        <f>'Расчет субсидий'!X96-1</f>
        <v>-4.0333333333333332E-2</v>
      </c>
      <c r="S96" s="58">
        <f>R96*'Расчет субсидий'!Y96</f>
        <v>-0.20166666666666666</v>
      </c>
      <c r="T96" s="53">
        <f t="shared" si="22"/>
        <v>-1.7767930873384312</v>
      </c>
      <c r="U96" s="52">
        <f>'Расчет субсидий'!AB96-1</f>
        <v>0</v>
      </c>
      <c r="V96" s="52">
        <f>U96*'Расчет субсидий'!AC96</f>
        <v>0</v>
      </c>
      <c r="W96" s="53">
        <f t="shared" si="23"/>
        <v>0</v>
      </c>
      <c r="X96" s="27" t="s">
        <v>365</v>
      </c>
      <c r="Y96" s="27" t="s">
        <v>365</v>
      </c>
      <c r="Z96" s="27" t="s">
        <v>365</v>
      </c>
      <c r="AA96" s="27" t="s">
        <v>365</v>
      </c>
      <c r="AB96" s="27" t="s">
        <v>365</v>
      </c>
      <c r="AC96" s="27" t="s">
        <v>365</v>
      </c>
      <c r="AD96" s="27" t="s">
        <v>365</v>
      </c>
      <c r="AE96" s="27" t="s">
        <v>365</v>
      </c>
      <c r="AF96" s="27" t="s">
        <v>365</v>
      </c>
      <c r="AG96" s="52">
        <f t="shared" si="24"/>
        <v>5.9102736318407967</v>
      </c>
      <c r="AH96" s="80"/>
    </row>
    <row r="97" spans="1:34" ht="15" customHeight="1">
      <c r="A97" s="33" t="s">
        <v>84</v>
      </c>
      <c r="B97" s="50">
        <f>'Расчет субсидий'!AT97</f>
        <v>65.254545454545394</v>
      </c>
      <c r="C97" s="52">
        <f>'Расчет субсидий'!D97-1</f>
        <v>0.2075362318840579</v>
      </c>
      <c r="D97" s="52">
        <f>C97*'Расчет субсидий'!E97</f>
        <v>1.0376811594202895</v>
      </c>
      <c r="E97" s="53">
        <f t="shared" si="20"/>
        <v>9.910225693959017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2">
        <f>'Расчет субсидий'!P97-1</f>
        <v>0.30000000000000004</v>
      </c>
      <c r="M97" s="52">
        <f>L97*'Расчет субсидий'!Q97</f>
        <v>6.0000000000000009</v>
      </c>
      <c r="N97" s="53">
        <f t="shared" si="21"/>
        <v>57.302142979036802</v>
      </c>
      <c r="O97" s="27" t="s">
        <v>365</v>
      </c>
      <c r="P97" s="27" t="s">
        <v>365</v>
      </c>
      <c r="Q97" s="27" t="s">
        <v>365</v>
      </c>
      <c r="R97" s="58">
        <f>'Расчет субсидий'!X97-1</f>
        <v>-4.1000000000000036E-2</v>
      </c>
      <c r="S97" s="58">
        <f>R97*'Расчет субсидий'!Y97</f>
        <v>-0.20500000000000018</v>
      </c>
      <c r="T97" s="53">
        <f t="shared" si="22"/>
        <v>-1.9578232184504254</v>
      </c>
      <c r="U97" s="52">
        <f>'Расчет субсидий'!AB97-1</f>
        <v>0</v>
      </c>
      <c r="V97" s="52">
        <f>U97*'Расчет субсидий'!AC97</f>
        <v>0</v>
      </c>
      <c r="W97" s="53">
        <f t="shared" si="23"/>
        <v>0</v>
      </c>
      <c r="X97" s="27" t="s">
        <v>365</v>
      </c>
      <c r="Y97" s="27" t="s">
        <v>365</v>
      </c>
      <c r="Z97" s="27" t="s">
        <v>365</v>
      </c>
      <c r="AA97" s="27" t="s">
        <v>365</v>
      </c>
      <c r="AB97" s="27" t="s">
        <v>365</v>
      </c>
      <c r="AC97" s="27" t="s">
        <v>365</v>
      </c>
      <c r="AD97" s="27" t="s">
        <v>365</v>
      </c>
      <c r="AE97" s="27" t="s">
        <v>365</v>
      </c>
      <c r="AF97" s="27" t="s">
        <v>365</v>
      </c>
      <c r="AG97" s="52">
        <f t="shared" si="24"/>
        <v>6.8326811594202903</v>
      </c>
      <c r="AH97" s="80"/>
    </row>
    <row r="98" spans="1:34" ht="15" customHeight="1">
      <c r="A98" s="33" t="s">
        <v>85</v>
      </c>
      <c r="B98" s="50">
        <f>'Расчет субсидий'!AT98</f>
        <v>-107.38181818181812</v>
      </c>
      <c r="C98" s="52">
        <f>'Расчет субсидий'!D98-1</f>
        <v>2.4999999999999911E-2</v>
      </c>
      <c r="D98" s="52">
        <f>C98*'Расчет субсидий'!E98</f>
        <v>0.12499999999999956</v>
      </c>
      <c r="E98" s="53">
        <f t="shared" si="20"/>
        <v>1.2579019943152996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2">
        <f>'Расчет субсидий'!P98-1</f>
        <v>-0.54516129032258065</v>
      </c>
      <c r="M98" s="52">
        <f>L98*'Расчет субсидий'!Q98</f>
        <v>-10.903225806451612</v>
      </c>
      <c r="N98" s="53">
        <f t="shared" si="21"/>
        <v>-109.72151589124459</v>
      </c>
      <c r="O98" s="27" t="s">
        <v>365</v>
      </c>
      <c r="P98" s="27" t="s">
        <v>365</v>
      </c>
      <c r="Q98" s="27" t="s">
        <v>365</v>
      </c>
      <c r="R98" s="58">
        <f>'Расчет субсидий'!X98-1</f>
        <v>2.1500000000000075E-2</v>
      </c>
      <c r="S98" s="58">
        <f>R98*'Расчет субсидий'!Y98</f>
        <v>0.10750000000000037</v>
      </c>
      <c r="T98" s="53">
        <f t="shared" si="22"/>
        <v>1.0817957151111652</v>
      </c>
      <c r="U98" s="52">
        <f>'Расчет субсидий'!AB98-1</f>
        <v>0</v>
      </c>
      <c r="V98" s="52">
        <f>U98*'Расчет субсидий'!AC98</f>
        <v>0</v>
      </c>
      <c r="W98" s="53">
        <f t="shared" si="23"/>
        <v>0</v>
      </c>
      <c r="X98" s="27" t="s">
        <v>365</v>
      </c>
      <c r="Y98" s="27" t="s">
        <v>365</v>
      </c>
      <c r="Z98" s="27" t="s">
        <v>365</v>
      </c>
      <c r="AA98" s="27" t="s">
        <v>365</v>
      </c>
      <c r="AB98" s="27" t="s">
        <v>365</v>
      </c>
      <c r="AC98" s="27" t="s">
        <v>365</v>
      </c>
      <c r="AD98" s="27" t="s">
        <v>365</v>
      </c>
      <c r="AE98" s="27" t="s">
        <v>365</v>
      </c>
      <c r="AF98" s="27" t="s">
        <v>365</v>
      </c>
      <c r="AG98" s="52">
        <f t="shared" si="24"/>
        <v>-10.670725806451612</v>
      </c>
      <c r="AH98" s="80"/>
    </row>
    <row r="99" spans="1:34" ht="15" customHeight="1">
      <c r="A99" s="33" t="s">
        <v>86</v>
      </c>
      <c r="B99" s="50">
        <f>'Расчет субсидий'!AT99</f>
        <v>-8.3727272727272748</v>
      </c>
      <c r="C99" s="52">
        <f>'Расчет субсидий'!D99-1</f>
        <v>1.8303843807199183E-3</v>
      </c>
      <c r="D99" s="52">
        <f>C99*'Расчет субсидий'!E99</f>
        <v>9.1519219035995913E-3</v>
      </c>
      <c r="E99" s="53">
        <f t="shared" si="20"/>
        <v>0.10810245048078065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2">
        <f>'Расчет субсидий'!P99-1</f>
        <v>-3.1754294638209224E-2</v>
      </c>
      <c r="M99" s="52">
        <f>L99*'Расчет субсидий'!Q99</f>
        <v>-0.63508589276418448</v>
      </c>
      <c r="N99" s="53">
        <f t="shared" si="21"/>
        <v>-7.5016310231602628</v>
      </c>
      <c r="O99" s="27" t="s">
        <v>365</v>
      </c>
      <c r="P99" s="27" t="s">
        <v>365</v>
      </c>
      <c r="Q99" s="27" t="s">
        <v>365</v>
      </c>
      <c r="R99" s="58">
        <f>'Расчет субсидий'!X99-1</f>
        <v>-3.907692307692312E-2</v>
      </c>
      <c r="S99" s="58">
        <f>R99*'Расчет субсидий'!Y99</f>
        <v>-0.1953846153846156</v>
      </c>
      <c r="T99" s="53">
        <f t="shared" si="22"/>
        <v>-2.3078819871719349</v>
      </c>
      <c r="U99" s="52">
        <f>'Расчет субсидий'!AB99-1</f>
        <v>5.6242969628796935E-3</v>
      </c>
      <c r="V99" s="52">
        <f>U99*'Расчет субсидий'!AC99</f>
        <v>0.11248593925759387</v>
      </c>
      <c r="W99" s="53">
        <f t="shared" si="23"/>
        <v>1.3286832871241423</v>
      </c>
      <c r="X99" s="27" t="s">
        <v>365</v>
      </c>
      <c r="Y99" s="27" t="s">
        <v>365</v>
      </c>
      <c r="Z99" s="27" t="s">
        <v>365</v>
      </c>
      <c r="AA99" s="27" t="s">
        <v>365</v>
      </c>
      <c r="AB99" s="27" t="s">
        <v>365</v>
      </c>
      <c r="AC99" s="27" t="s">
        <v>365</v>
      </c>
      <c r="AD99" s="27" t="s">
        <v>365</v>
      </c>
      <c r="AE99" s="27" t="s">
        <v>365</v>
      </c>
      <c r="AF99" s="27" t="s">
        <v>365</v>
      </c>
      <c r="AG99" s="52">
        <f t="shared" si="24"/>
        <v>-0.70883264698760662</v>
      </c>
      <c r="AH99" s="80"/>
    </row>
    <row r="100" spans="1:34" ht="15" customHeight="1">
      <c r="A100" s="32" t="s">
        <v>87</v>
      </c>
      <c r="B100" s="54"/>
      <c r="C100" s="55"/>
      <c r="D100" s="55"/>
      <c r="E100" s="56"/>
      <c r="F100" s="55"/>
      <c r="G100" s="55"/>
      <c r="H100" s="56"/>
      <c r="I100" s="56"/>
      <c r="J100" s="56"/>
      <c r="K100" s="56"/>
      <c r="L100" s="55"/>
      <c r="M100" s="55"/>
      <c r="N100" s="56"/>
      <c r="O100" s="55"/>
      <c r="P100" s="55"/>
      <c r="Q100" s="56"/>
      <c r="R100" s="56"/>
      <c r="S100" s="56"/>
      <c r="T100" s="56"/>
      <c r="U100" s="56"/>
      <c r="V100" s="56"/>
      <c r="W100" s="56"/>
      <c r="X100" s="27"/>
      <c r="Y100" s="27"/>
      <c r="Z100" s="27"/>
      <c r="AA100" s="27"/>
      <c r="AB100" s="27"/>
      <c r="AC100" s="27"/>
      <c r="AD100" s="27"/>
      <c r="AE100" s="27"/>
      <c r="AF100" s="27"/>
      <c r="AG100" s="56"/>
      <c r="AH100" s="80"/>
    </row>
    <row r="101" spans="1:34" ht="15" customHeight="1">
      <c r="A101" s="33" t="s">
        <v>88</v>
      </c>
      <c r="B101" s="50">
        <f>'Расчет субсидий'!AT101</f>
        <v>-31.072727272727292</v>
      </c>
      <c r="C101" s="52">
        <f>'Расчет субсидий'!D101-1</f>
        <v>-1</v>
      </c>
      <c r="D101" s="52">
        <f>C101*'Расчет субсидий'!E101</f>
        <v>0</v>
      </c>
      <c r="E101" s="53">
        <f t="shared" si="20"/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2">
        <f>'Расчет субсидий'!P101-1</f>
        <v>-0.30919220055710306</v>
      </c>
      <c r="M101" s="52">
        <f>L101*'Расчет субсидий'!Q101</f>
        <v>-6.1838440111420612</v>
      </c>
      <c r="N101" s="53">
        <f t="shared" si="21"/>
        <v>-24.338978530792055</v>
      </c>
      <c r="O101" s="27" t="s">
        <v>365</v>
      </c>
      <c r="P101" s="27" t="s">
        <v>365</v>
      </c>
      <c r="Q101" s="27" t="s">
        <v>365</v>
      </c>
      <c r="R101" s="58">
        <f>'Расчет субсидий'!X101-1</f>
        <v>-0.34217090727674426</v>
      </c>
      <c r="S101" s="58">
        <f>R101*'Расчет субсидий'!Y101</f>
        <v>-1.7108545363837213</v>
      </c>
      <c r="T101" s="53">
        <f t="shared" si="22"/>
        <v>-6.7337487419352344</v>
      </c>
      <c r="U101" s="52">
        <f>'Расчет субсидий'!AB101-1</f>
        <v>0</v>
      </c>
      <c r="V101" s="52">
        <f>U101*'Расчет субсидий'!AC101</f>
        <v>0</v>
      </c>
      <c r="W101" s="53">
        <f t="shared" si="23"/>
        <v>0</v>
      </c>
      <c r="X101" s="27" t="s">
        <v>365</v>
      </c>
      <c r="Y101" s="27" t="s">
        <v>365</v>
      </c>
      <c r="Z101" s="27" t="s">
        <v>365</v>
      </c>
      <c r="AA101" s="27" t="s">
        <v>365</v>
      </c>
      <c r="AB101" s="27" t="s">
        <v>365</v>
      </c>
      <c r="AC101" s="27" t="s">
        <v>365</v>
      </c>
      <c r="AD101" s="27" t="s">
        <v>365</v>
      </c>
      <c r="AE101" s="27" t="s">
        <v>365</v>
      </c>
      <c r="AF101" s="27" t="s">
        <v>365</v>
      </c>
      <c r="AG101" s="52">
        <f t="shared" si="24"/>
        <v>-7.8946985475257829</v>
      </c>
      <c r="AH101" s="80"/>
    </row>
    <row r="102" spans="1:34" ht="15" customHeight="1">
      <c r="A102" s="33" t="s">
        <v>89</v>
      </c>
      <c r="B102" s="50">
        <f>'Расчет субсидий'!AT102</f>
        <v>31.163636363636328</v>
      </c>
      <c r="C102" s="52">
        <f>'Расчет субсидий'!D102-1</f>
        <v>-0.22972813832919237</v>
      </c>
      <c r="D102" s="52">
        <f>C102*'Расчет субсидий'!E102</f>
        <v>-1.1486406916459617</v>
      </c>
      <c r="E102" s="53">
        <f t="shared" si="20"/>
        <v>-14.876378580403962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2">
        <f>'Расчет субсидий'!P102-1</f>
        <v>0.18930317848410771</v>
      </c>
      <c r="M102" s="52">
        <f>L102*'Расчет субсидий'!Q102</f>
        <v>3.7860635696821543</v>
      </c>
      <c r="N102" s="53">
        <f t="shared" si="21"/>
        <v>49.034406844283581</v>
      </c>
      <c r="O102" s="27" t="s">
        <v>365</v>
      </c>
      <c r="P102" s="27" t="s">
        <v>365</v>
      </c>
      <c r="Q102" s="27" t="s">
        <v>365</v>
      </c>
      <c r="R102" s="58">
        <f>'Расчет субсидий'!X102-1</f>
        <v>-4.6240828905567133E-2</v>
      </c>
      <c r="S102" s="58">
        <f>R102*'Расчет субсидий'!Y102</f>
        <v>-0.23120414452783566</v>
      </c>
      <c r="T102" s="53">
        <f t="shared" si="22"/>
        <v>-2.9943919002432886</v>
      </c>
      <c r="U102" s="52">
        <f>'Расчет субсидий'!AB102-1</f>
        <v>0</v>
      </c>
      <c r="V102" s="52">
        <f>U102*'Расчет субсидий'!AC102</f>
        <v>0</v>
      </c>
      <c r="W102" s="53">
        <f t="shared" si="23"/>
        <v>0</v>
      </c>
      <c r="X102" s="27" t="s">
        <v>365</v>
      </c>
      <c r="Y102" s="27" t="s">
        <v>365</v>
      </c>
      <c r="Z102" s="27" t="s">
        <v>365</v>
      </c>
      <c r="AA102" s="27" t="s">
        <v>365</v>
      </c>
      <c r="AB102" s="27" t="s">
        <v>365</v>
      </c>
      <c r="AC102" s="27" t="s">
        <v>365</v>
      </c>
      <c r="AD102" s="27" t="s">
        <v>365</v>
      </c>
      <c r="AE102" s="27" t="s">
        <v>365</v>
      </c>
      <c r="AF102" s="27" t="s">
        <v>365</v>
      </c>
      <c r="AG102" s="52">
        <f t="shared" si="24"/>
        <v>2.4062187335083571</v>
      </c>
      <c r="AH102" s="80"/>
    </row>
    <row r="103" spans="1:34" ht="15" customHeight="1">
      <c r="A103" s="33" t="s">
        <v>90</v>
      </c>
      <c r="B103" s="50">
        <f>'Расчет субсидий'!AT103</f>
        <v>-65.127272727272725</v>
      </c>
      <c r="C103" s="52">
        <f>'Расчет субсидий'!D103-1</f>
        <v>-1</v>
      </c>
      <c r="D103" s="52">
        <f>C103*'Расчет субсидий'!E103</f>
        <v>0</v>
      </c>
      <c r="E103" s="53">
        <f t="shared" si="20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2">
        <f>'Расчет субсидий'!P103-1</f>
        <v>-0.38343141693073801</v>
      </c>
      <c r="M103" s="52">
        <f>L103*'Расчет субсидий'!Q103</f>
        <v>-7.6686283386147602</v>
      </c>
      <c r="N103" s="53">
        <f t="shared" si="21"/>
        <v>-55.706417445622137</v>
      </c>
      <c r="O103" s="27" t="s">
        <v>365</v>
      </c>
      <c r="P103" s="27" t="s">
        <v>365</v>
      </c>
      <c r="Q103" s="27" t="s">
        <v>365</v>
      </c>
      <c r="R103" s="58">
        <f>'Расчет субсидий'!X103-1</f>
        <v>-0.25937779200170685</v>
      </c>
      <c r="S103" s="58">
        <f>R103*'Расчет субсидий'!Y103</f>
        <v>-1.2968889600085343</v>
      </c>
      <c r="T103" s="53">
        <f t="shared" si="22"/>
        <v>-9.4208552816505797</v>
      </c>
      <c r="U103" s="52">
        <f>'Расчет субсидий'!AB103-1</f>
        <v>0</v>
      </c>
      <c r="V103" s="52">
        <f>U103*'Расчет субсидий'!AC103</f>
        <v>0</v>
      </c>
      <c r="W103" s="53">
        <f t="shared" si="23"/>
        <v>0</v>
      </c>
      <c r="X103" s="27" t="s">
        <v>365</v>
      </c>
      <c r="Y103" s="27" t="s">
        <v>365</v>
      </c>
      <c r="Z103" s="27" t="s">
        <v>365</v>
      </c>
      <c r="AA103" s="27" t="s">
        <v>365</v>
      </c>
      <c r="AB103" s="27" t="s">
        <v>365</v>
      </c>
      <c r="AC103" s="27" t="s">
        <v>365</v>
      </c>
      <c r="AD103" s="27" t="s">
        <v>365</v>
      </c>
      <c r="AE103" s="27" t="s">
        <v>365</v>
      </c>
      <c r="AF103" s="27" t="s">
        <v>365</v>
      </c>
      <c r="AG103" s="52">
        <f t="shared" si="24"/>
        <v>-8.9655172986232952</v>
      </c>
      <c r="AH103" s="80"/>
    </row>
    <row r="104" spans="1:34" ht="15" customHeight="1">
      <c r="A104" s="33" t="s">
        <v>91</v>
      </c>
      <c r="B104" s="50">
        <f>'Расчет субсидий'!AT104</f>
        <v>29.27272727272728</v>
      </c>
      <c r="C104" s="52">
        <f>'Расчет субсидий'!D104-1</f>
        <v>-1</v>
      </c>
      <c r="D104" s="52">
        <f>C104*'Расчет субсидий'!E104</f>
        <v>0</v>
      </c>
      <c r="E104" s="53">
        <f t="shared" si="20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2">
        <f>'Расчет субсидий'!P104-1</f>
        <v>0.30000000000000004</v>
      </c>
      <c r="M104" s="52">
        <f>L104*'Расчет субсидий'!Q104</f>
        <v>6.0000000000000009</v>
      </c>
      <c r="N104" s="53">
        <f t="shared" si="21"/>
        <v>31.186892223150082</v>
      </c>
      <c r="O104" s="27" t="s">
        <v>365</v>
      </c>
      <c r="P104" s="27" t="s">
        <v>365</v>
      </c>
      <c r="Q104" s="27" t="s">
        <v>365</v>
      </c>
      <c r="R104" s="58">
        <f>'Расчет субсидий'!X104-1</f>
        <v>-7.3652671900481748E-2</v>
      </c>
      <c r="S104" s="58">
        <f>R104*'Расчет субсидий'!Y104</f>
        <v>-0.36826335950240874</v>
      </c>
      <c r="T104" s="53">
        <f t="shared" si="22"/>
        <v>-1.9141649504227984</v>
      </c>
      <c r="U104" s="52">
        <f>'Расчет субсидий'!AB104-1</f>
        <v>0</v>
      </c>
      <c r="V104" s="52">
        <f>U104*'Расчет субсидий'!AC104</f>
        <v>0</v>
      </c>
      <c r="W104" s="53">
        <f t="shared" si="23"/>
        <v>0</v>
      </c>
      <c r="X104" s="27" t="s">
        <v>365</v>
      </c>
      <c r="Y104" s="27" t="s">
        <v>365</v>
      </c>
      <c r="Z104" s="27" t="s">
        <v>365</v>
      </c>
      <c r="AA104" s="27" t="s">
        <v>365</v>
      </c>
      <c r="AB104" s="27" t="s">
        <v>365</v>
      </c>
      <c r="AC104" s="27" t="s">
        <v>365</v>
      </c>
      <c r="AD104" s="27" t="s">
        <v>365</v>
      </c>
      <c r="AE104" s="27" t="s">
        <v>365</v>
      </c>
      <c r="AF104" s="27" t="s">
        <v>365</v>
      </c>
      <c r="AG104" s="52">
        <f t="shared" si="24"/>
        <v>5.6317366404975919</v>
      </c>
      <c r="AH104" s="80"/>
    </row>
    <row r="105" spans="1:34" ht="15" customHeight="1">
      <c r="A105" s="33" t="s">
        <v>92</v>
      </c>
      <c r="B105" s="50">
        <f>'Расчет субсидий'!AT105</f>
        <v>-50.481818181818198</v>
      </c>
      <c r="C105" s="52">
        <f>'Расчет субсидий'!D105-1</f>
        <v>-6.8345323741007213E-2</v>
      </c>
      <c r="D105" s="52">
        <f>C105*'Расчет субсидий'!E105</f>
        <v>-0.34172661870503607</v>
      </c>
      <c r="E105" s="53">
        <f t="shared" si="20"/>
        <v>-2.3133495188951381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2">
        <f>'Расчет субсидий'!P105-1</f>
        <v>-0.34173786205459478</v>
      </c>
      <c r="M105" s="52">
        <f>L105*'Расчет субсидий'!Q105</f>
        <v>-6.8347572410918955</v>
      </c>
      <c r="N105" s="53">
        <f t="shared" si="21"/>
        <v>-46.268512635512714</v>
      </c>
      <c r="O105" s="27" t="s">
        <v>365</v>
      </c>
      <c r="P105" s="27" t="s">
        <v>365</v>
      </c>
      <c r="Q105" s="27" t="s">
        <v>365</v>
      </c>
      <c r="R105" s="58">
        <f>'Расчет субсидий'!X105-1</f>
        <v>-5.6132075471698073E-2</v>
      </c>
      <c r="S105" s="58">
        <f>R105*'Расчет субсидий'!Y105</f>
        <v>-0.28066037735849036</v>
      </c>
      <c r="T105" s="53">
        <f t="shared" si="22"/>
        <v>-1.8999560274103493</v>
      </c>
      <c r="U105" s="52">
        <f>'Расчет субсидий'!AB105-1</f>
        <v>0</v>
      </c>
      <c r="V105" s="52">
        <f>U105*'Расчет субсидий'!AC105</f>
        <v>0</v>
      </c>
      <c r="W105" s="53">
        <f t="shared" si="23"/>
        <v>0</v>
      </c>
      <c r="X105" s="27" t="s">
        <v>365</v>
      </c>
      <c r="Y105" s="27" t="s">
        <v>365</v>
      </c>
      <c r="Z105" s="27" t="s">
        <v>365</v>
      </c>
      <c r="AA105" s="27" t="s">
        <v>365</v>
      </c>
      <c r="AB105" s="27" t="s">
        <v>365</v>
      </c>
      <c r="AC105" s="27" t="s">
        <v>365</v>
      </c>
      <c r="AD105" s="27" t="s">
        <v>365</v>
      </c>
      <c r="AE105" s="27" t="s">
        <v>365</v>
      </c>
      <c r="AF105" s="27" t="s">
        <v>365</v>
      </c>
      <c r="AG105" s="52">
        <f t="shared" si="24"/>
        <v>-7.457144237155422</v>
      </c>
      <c r="AH105" s="80"/>
    </row>
    <row r="106" spans="1:34" ht="15" customHeight="1">
      <c r="A106" s="33" t="s">
        <v>93</v>
      </c>
      <c r="B106" s="50">
        <f>'Расчет субсидий'!AT106</f>
        <v>27.027272727272731</v>
      </c>
      <c r="C106" s="52">
        <f>'Расчет субсидий'!D106-1</f>
        <v>-1</v>
      </c>
      <c r="D106" s="52">
        <f>C106*'Расчет субсидий'!E106</f>
        <v>0</v>
      </c>
      <c r="E106" s="53">
        <f t="shared" si="20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2">
        <f>'Расчет субсидий'!P106-1</f>
        <v>0.23164149704530534</v>
      </c>
      <c r="M106" s="52">
        <f>L106*'Расчет субсидий'!Q106</f>
        <v>4.6328299409061069</v>
      </c>
      <c r="N106" s="53">
        <f t="shared" si="21"/>
        <v>24.742234088582563</v>
      </c>
      <c r="O106" s="27" t="s">
        <v>365</v>
      </c>
      <c r="P106" s="27" t="s">
        <v>365</v>
      </c>
      <c r="Q106" s="27" t="s">
        <v>365</v>
      </c>
      <c r="R106" s="58">
        <f>'Расчет субсидий'!X106-1</f>
        <v>8.5571863749653865E-2</v>
      </c>
      <c r="S106" s="58">
        <f>R106*'Расчет субсидий'!Y106</f>
        <v>0.42785931874826932</v>
      </c>
      <c r="T106" s="53">
        <f t="shared" si="22"/>
        <v>2.285038638690168</v>
      </c>
      <c r="U106" s="52">
        <f>'Расчет субсидий'!AB106-1</f>
        <v>0</v>
      </c>
      <c r="V106" s="52">
        <f>U106*'Расчет субсидий'!AC106</f>
        <v>0</v>
      </c>
      <c r="W106" s="53">
        <f t="shared" si="23"/>
        <v>0</v>
      </c>
      <c r="X106" s="27" t="s">
        <v>365</v>
      </c>
      <c r="Y106" s="27" t="s">
        <v>365</v>
      </c>
      <c r="Z106" s="27" t="s">
        <v>365</v>
      </c>
      <c r="AA106" s="27" t="s">
        <v>365</v>
      </c>
      <c r="AB106" s="27" t="s">
        <v>365</v>
      </c>
      <c r="AC106" s="27" t="s">
        <v>365</v>
      </c>
      <c r="AD106" s="27" t="s">
        <v>365</v>
      </c>
      <c r="AE106" s="27" t="s">
        <v>365</v>
      </c>
      <c r="AF106" s="27" t="s">
        <v>365</v>
      </c>
      <c r="AG106" s="52">
        <f t="shared" si="24"/>
        <v>5.0606892596543762</v>
      </c>
      <c r="AH106" s="80"/>
    </row>
    <row r="107" spans="1:34" ht="15" customHeight="1">
      <c r="A107" s="33" t="s">
        <v>94</v>
      </c>
      <c r="B107" s="50">
        <f>'Расчет субсидий'!AT107</f>
        <v>24.699999999999989</v>
      </c>
      <c r="C107" s="52">
        <f>'Расчет субсидий'!D107-1</f>
        <v>7.6429219600725906E-2</v>
      </c>
      <c r="D107" s="52">
        <f>C107*'Расчет субсидий'!E107</f>
        <v>0.38214609800362953</v>
      </c>
      <c r="E107" s="53">
        <f t="shared" si="20"/>
        <v>2.618693693211283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2">
        <f>'Расчет субсидий'!P107-1</f>
        <v>0.30000000000000004</v>
      </c>
      <c r="M107" s="52">
        <f>L107*'Расчет субсидий'!Q107</f>
        <v>6.0000000000000009</v>
      </c>
      <c r="N107" s="53">
        <f t="shared" si="21"/>
        <v>41.115589669368994</v>
      </c>
      <c r="O107" s="27" t="s">
        <v>365</v>
      </c>
      <c r="P107" s="27" t="s">
        <v>365</v>
      </c>
      <c r="Q107" s="27" t="s">
        <v>365</v>
      </c>
      <c r="R107" s="58">
        <f>'Расчет субсидий'!X107-1</f>
        <v>-0.55553477935676887</v>
      </c>
      <c r="S107" s="58">
        <f>R107*'Расчет субсидий'!Y107</f>
        <v>-2.7776738967838446</v>
      </c>
      <c r="T107" s="53">
        <f t="shared" si="22"/>
        <v>-19.03428336258029</v>
      </c>
      <c r="U107" s="52">
        <f>'Расчет субсидий'!AB107-1</f>
        <v>0</v>
      </c>
      <c r="V107" s="52">
        <f>U107*'Расчет субсидий'!AC107</f>
        <v>0</v>
      </c>
      <c r="W107" s="53">
        <f t="shared" si="23"/>
        <v>0</v>
      </c>
      <c r="X107" s="27" t="s">
        <v>365</v>
      </c>
      <c r="Y107" s="27" t="s">
        <v>365</v>
      </c>
      <c r="Z107" s="27" t="s">
        <v>365</v>
      </c>
      <c r="AA107" s="27" t="s">
        <v>365</v>
      </c>
      <c r="AB107" s="27" t="s">
        <v>365</v>
      </c>
      <c r="AC107" s="27" t="s">
        <v>365</v>
      </c>
      <c r="AD107" s="27" t="s">
        <v>365</v>
      </c>
      <c r="AE107" s="27" t="s">
        <v>365</v>
      </c>
      <c r="AF107" s="27" t="s">
        <v>365</v>
      </c>
      <c r="AG107" s="52">
        <f t="shared" si="24"/>
        <v>3.6044722012197861</v>
      </c>
      <c r="AH107" s="80"/>
    </row>
    <row r="108" spans="1:34" ht="15" customHeight="1">
      <c r="A108" s="33" t="s">
        <v>95</v>
      </c>
      <c r="B108" s="50">
        <f>'Расчет субсидий'!AT108</f>
        <v>9.7363636363636488</v>
      </c>
      <c r="C108" s="52">
        <f>'Расчет субсидий'!D108-1</f>
        <v>7.8125E-3</v>
      </c>
      <c r="D108" s="52">
        <f>C108*'Расчет субсидий'!E108</f>
        <v>3.90625E-2</v>
      </c>
      <c r="E108" s="53">
        <f t="shared" si="20"/>
        <v>0.19596414891824193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2">
        <f>'Расчет субсидий'!P108-1</f>
        <v>0.21750000000000003</v>
      </c>
      <c r="M108" s="52">
        <f>L108*'Расчет субсидий'!Q108</f>
        <v>4.3500000000000005</v>
      </c>
      <c r="N108" s="53">
        <f t="shared" si="21"/>
        <v>21.822567623535424</v>
      </c>
      <c r="O108" s="27" t="s">
        <v>365</v>
      </c>
      <c r="P108" s="27" t="s">
        <v>365</v>
      </c>
      <c r="Q108" s="27" t="s">
        <v>365</v>
      </c>
      <c r="R108" s="58">
        <f>'Расчет субсидий'!X108-1</f>
        <v>-0.4896530262953166</v>
      </c>
      <c r="S108" s="58">
        <f>R108*'Расчет субсидий'!Y108</f>
        <v>-2.4482651314765831</v>
      </c>
      <c r="T108" s="53">
        <f t="shared" si="22"/>
        <v>-12.282168136090016</v>
      </c>
      <c r="U108" s="52">
        <f>'Расчет субсидий'!AB108-1</f>
        <v>0</v>
      </c>
      <c r="V108" s="52">
        <f>U108*'Расчет субсидий'!AC108</f>
        <v>0</v>
      </c>
      <c r="W108" s="53">
        <f t="shared" si="23"/>
        <v>0</v>
      </c>
      <c r="X108" s="27" t="s">
        <v>365</v>
      </c>
      <c r="Y108" s="27" t="s">
        <v>365</v>
      </c>
      <c r="Z108" s="27" t="s">
        <v>365</v>
      </c>
      <c r="AA108" s="27" t="s">
        <v>365</v>
      </c>
      <c r="AB108" s="27" t="s">
        <v>365</v>
      </c>
      <c r="AC108" s="27" t="s">
        <v>365</v>
      </c>
      <c r="AD108" s="27" t="s">
        <v>365</v>
      </c>
      <c r="AE108" s="27" t="s">
        <v>365</v>
      </c>
      <c r="AF108" s="27" t="s">
        <v>365</v>
      </c>
      <c r="AG108" s="52">
        <f t="shared" si="24"/>
        <v>1.9407973685234174</v>
      </c>
      <c r="AH108" s="80"/>
    </row>
    <row r="109" spans="1:34" ht="15" customHeight="1">
      <c r="A109" s="33" t="s">
        <v>96</v>
      </c>
      <c r="B109" s="50">
        <f>'Расчет субсидий'!AT109</f>
        <v>13.463636363636397</v>
      </c>
      <c r="C109" s="52">
        <f>'Расчет субсидий'!D109-1</f>
        <v>2.4050632911392311E-2</v>
      </c>
      <c r="D109" s="52">
        <f>C109*'Расчет субсидий'!E109</f>
        <v>0.12025316455696156</v>
      </c>
      <c r="E109" s="53">
        <f t="shared" si="20"/>
        <v>0.61057458263329267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2">
        <f>'Расчет субсидий'!P109-1</f>
        <v>0.21368952211338677</v>
      </c>
      <c r="M109" s="52">
        <f>L109*'Расчет субсидий'!Q109</f>
        <v>4.2737904422677353</v>
      </c>
      <c r="N109" s="53">
        <f t="shared" si="21"/>
        <v>21.699784992466657</v>
      </c>
      <c r="O109" s="27" t="s">
        <v>365</v>
      </c>
      <c r="P109" s="27" t="s">
        <v>365</v>
      </c>
      <c r="Q109" s="27" t="s">
        <v>365</v>
      </c>
      <c r="R109" s="58">
        <f>'Расчет субсидий'!X109-1</f>
        <v>-0.34847387768742344</v>
      </c>
      <c r="S109" s="58">
        <f>R109*'Расчет субсидий'!Y109</f>
        <v>-1.7423693884371172</v>
      </c>
      <c r="T109" s="53">
        <f t="shared" si="22"/>
        <v>-8.846723211463555</v>
      </c>
      <c r="U109" s="52">
        <f>'Расчет субсидий'!AB109-1</f>
        <v>0</v>
      </c>
      <c r="V109" s="52">
        <f>U109*'Расчет субсидий'!AC109</f>
        <v>0</v>
      </c>
      <c r="W109" s="53">
        <f t="shared" si="23"/>
        <v>0</v>
      </c>
      <c r="X109" s="27" t="s">
        <v>365</v>
      </c>
      <c r="Y109" s="27" t="s">
        <v>365</v>
      </c>
      <c r="Z109" s="27" t="s">
        <v>365</v>
      </c>
      <c r="AA109" s="27" t="s">
        <v>365</v>
      </c>
      <c r="AB109" s="27" t="s">
        <v>365</v>
      </c>
      <c r="AC109" s="27" t="s">
        <v>365</v>
      </c>
      <c r="AD109" s="27" t="s">
        <v>365</v>
      </c>
      <c r="AE109" s="27" t="s">
        <v>365</v>
      </c>
      <c r="AF109" s="27" t="s">
        <v>365</v>
      </c>
      <c r="AG109" s="52">
        <f t="shared" si="24"/>
        <v>2.6516742183875799</v>
      </c>
      <c r="AH109" s="80"/>
    </row>
    <row r="110" spans="1:34" ht="15" customHeight="1">
      <c r="A110" s="33" t="s">
        <v>97</v>
      </c>
      <c r="B110" s="50">
        <f>'Расчет субсидий'!AT110</f>
        <v>38.972727272727241</v>
      </c>
      <c r="C110" s="52">
        <f>'Расчет субсидий'!D110-1</f>
        <v>-1</v>
      </c>
      <c r="D110" s="52">
        <f>C110*'Расчет субсидий'!E110</f>
        <v>0</v>
      </c>
      <c r="E110" s="53">
        <f t="shared" si="20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2">
        <f>'Расчет субсидий'!P110-1</f>
        <v>0.26135359116022094</v>
      </c>
      <c r="M110" s="52">
        <f>L110*'Расчет субсидий'!Q110</f>
        <v>5.2270718232044189</v>
      </c>
      <c r="N110" s="53">
        <f t="shared" si="21"/>
        <v>44.591951354025305</v>
      </c>
      <c r="O110" s="27" t="s">
        <v>365</v>
      </c>
      <c r="P110" s="27" t="s">
        <v>365</v>
      </c>
      <c r="Q110" s="27" t="s">
        <v>365</v>
      </c>
      <c r="R110" s="58">
        <f>'Расчет субсидий'!X110-1</f>
        <v>-0.13173717216559278</v>
      </c>
      <c r="S110" s="58">
        <f>R110*'Расчет субсидий'!Y110</f>
        <v>-0.65868586082796388</v>
      </c>
      <c r="T110" s="53">
        <f t="shared" si="22"/>
        <v>-5.6192240812980643</v>
      </c>
      <c r="U110" s="52">
        <f>'Расчет субсидий'!AB110-1</f>
        <v>0</v>
      </c>
      <c r="V110" s="52">
        <f>U110*'Расчет субсидий'!AC110</f>
        <v>0</v>
      </c>
      <c r="W110" s="53">
        <f t="shared" si="23"/>
        <v>0</v>
      </c>
      <c r="X110" s="27" t="s">
        <v>365</v>
      </c>
      <c r="Y110" s="27" t="s">
        <v>365</v>
      </c>
      <c r="Z110" s="27" t="s">
        <v>365</v>
      </c>
      <c r="AA110" s="27" t="s">
        <v>365</v>
      </c>
      <c r="AB110" s="27" t="s">
        <v>365</v>
      </c>
      <c r="AC110" s="27" t="s">
        <v>365</v>
      </c>
      <c r="AD110" s="27" t="s">
        <v>365</v>
      </c>
      <c r="AE110" s="27" t="s">
        <v>365</v>
      </c>
      <c r="AF110" s="27" t="s">
        <v>365</v>
      </c>
      <c r="AG110" s="52">
        <f t="shared" si="24"/>
        <v>4.5683859623764551</v>
      </c>
      <c r="AH110" s="80"/>
    </row>
    <row r="111" spans="1:34" ht="15" customHeight="1">
      <c r="A111" s="33" t="s">
        <v>98</v>
      </c>
      <c r="B111" s="50">
        <f>'Расчет субсидий'!AT111</f>
        <v>7.1272727272727252</v>
      </c>
      <c r="C111" s="52">
        <f>'Расчет субсидий'!D111-1</f>
        <v>-1</v>
      </c>
      <c r="D111" s="52">
        <f>C111*'Расчет субсидий'!E111</f>
        <v>0</v>
      </c>
      <c r="E111" s="53">
        <f t="shared" si="20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2">
        <f>'Расчет субсидий'!P111-1</f>
        <v>0.23158908507223108</v>
      </c>
      <c r="M111" s="52">
        <f>L111*'Расчет субсидий'!Q111</f>
        <v>4.6317817014446216</v>
      </c>
      <c r="N111" s="53">
        <f t="shared" si="21"/>
        <v>11.421659092124367</v>
      </c>
      <c r="O111" s="27" t="s">
        <v>365</v>
      </c>
      <c r="P111" s="27" t="s">
        <v>365</v>
      </c>
      <c r="Q111" s="27" t="s">
        <v>365</v>
      </c>
      <c r="R111" s="58">
        <f>'Расчет субсидий'!X111-1</f>
        <v>-0.34829721362229105</v>
      </c>
      <c r="S111" s="58">
        <f>R111*'Расчет субсидий'!Y111</f>
        <v>-1.7414860681114552</v>
      </c>
      <c r="T111" s="53">
        <f t="shared" si="22"/>
        <v>-4.2943863648516407</v>
      </c>
      <c r="U111" s="52">
        <f>'Расчет субсидий'!AB111-1</f>
        <v>0</v>
      </c>
      <c r="V111" s="52">
        <f>U111*'Расчет субсидий'!AC111</f>
        <v>0</v>
      </c>
      <c r="W111" s="53">
        <f t="shared" si="23"/>
        <v>0</v>
      </c>
      <c r="X111" s="27" t="s">
        <v>365</v>
      </c>
      <c r="Y111" s="27" t="s">
        <v>365</v>
      </c>
      <c r="Z111" s="27" t="s">
        <v>365</v>
      </c>
      <c r="AA111" s="27" t="s">
        <v>365</v>
      </c>
      <c r="AB111" s="27" t="s">
        <v>365</v>
      </c>
      <c r="AC111" s="27" t="s">
        <v>365</v>
      </c>
      <c r="AD111" s="27" t="s">
        <v>365</v>
      </c>
      <c r="AE111" s="27" t="s">
        <v>365</v>
      </c>
      <c r="AF111" s="27" t="s">
        <v>365</v>
      </c>
      <c r="AG111" s="52">
        <f t="shared" si="24"/>
        <v>2.8902956333331664</v>
      </c>
      <c r="AH111" s="80"/>
    </row>
    <row r="112" spans="1:34" ht="15" customHeight="1">
      <c r="A112" s="33" t="s">
        <v>99</v>
      </c>
      <c r="B112" s="50">
        <f>'Расчет субсидий'!AT112</f>
        <v>15.75454545454545</v>
      </c>
      <c r="C112" s="52">
        <f>'Расчет субсидий'!D112-1</f>
        <v>-1</v>
      </c>
      <c r="D112" s="52">
        <f>C112*'Расчет субсидий'!E112</f>
        <v>0</v>
      </c>
      <c r="E112" s="53">
        <f t="shared" si="20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2">
        <f>'Расчет субсидий'!P112-1</f>
        <v>0.22473988439306347</v>
      </c>
      <c r="M112" s="52">
        <f>L112*'Расчет субсидий'!Q112</f>
        <v>4.4947976878612694</v>
      </c>
      <c r="N112" s="53">
        <f t="shared" si="21"/>
        <v>23.155004618207993</v>
      </c>
      <c r="O112" s="27" t="s">
        <v>365</v>
      </c>
      <c r="P112" s="27" t="s">
        <v>365</v>
      </c>
      <c r="Q112" s="27" t="s">
        <v>365</v>
      </c>
      <c r="R112" s="58">
        <f>'Расчет субсидий'!X112-1</f>
        <v>-0.28731211490914799</v>
      </c>
      <c r="S112" s="58">
        <f>R112*'Расчет субсидий'!Y112</f>
        <v>-1.4365605745457399</v>
      </c>
      <c r="T112" s="53">
        <f t="shared" si="22"/>
        <v>-7.400459163662541</v>
      </c>
      <c r="U112" s="52">
        <f>'Расчет субсидий'!AB112-1</f>
        <v>0</v>
      </c>
      <c r="V112" s="52">
        <f>U112*'Расчет субсидий'!AC112</f>
        <v>0</v>
      </c>
      <c r="W112" s="53">
        <f t="shared" si="23"/>
        <v>0</v>
      </c>
      <c r="X112" s="27" t="s">
        <v>365</v>
      </c>
      <c r="Y112" s="27" t="s">
        <v>365</v>
      </c>
      <c r="Z112" s="27" t="s">
        <v>365</v>
      </c>
      <c r="AA112" s="27" t="s">
        <v>365</v>
      </c>
      <c r="AB112" s="27" t="s">
        <v>365</v>
      </c>
      <c r="AC112" s="27" t="s">
        <v>365</v>
      </c>
      <c r="AD112" s="27" t="s">
        <v>365</v>
      </c>
      <c r="AE112" s="27" t="s">
        <v>365</v>
      </c>
      <c r="AF112" s="27" t="s">
        <v>365</v>
      </c>
      <c r="AG112" s="52">
        <f t="shared" si="24"/>
        <v>3.0582371133155295</v>
      </c>
      <c r="AH112" s="80"/>
    </row>
    <row r="113" spans="1:34" ht="15" customHeight="1">
      <c r="A113" s="33" t="s">
        <v>100</v>
      </c>
      <c r="B113" s="50">
        <f>'Расчет субсидий'!AT113</f>
        <v>-17.009090909090901</v>
      </c>
      <c r="C113" s="52">
        <f>'Расчет субсидий'!D113-1</f>
        <v>-1</v>
      </c>
      <c r="D113" s="52">
        <f>C113*'Расчет субсидий'!E113</f>
        <v>0</v>
      </c>
      <c r="E113" s="53">
        <f t="shared" si="20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2">
        <f>'Расчет субсидий'!P113-1</f>
        <v>-5.4393305439330408E-2</v>
      </c>
      <c r="M113" s="52">
        <f>L113*'Расчет субсидий'!Q113</f>
        <v>-1.0878661087866082</v>
      </c>
      <c r="N113" s="53">
        <f t="shared" si="21"/>
        <v>-3.6620328351309963</v>
      </c>
      <c r="O113" s="27" t="s">
        <v>365</v>
      </c>
      <c r="P113" s="27" t="s">
        <v>365</v>
      </c>
      <c r="Q113" s="27" t="s">
        <v>365</v>
      </c>
      <c r="R113" s="58">
        <f>'Расчет субсидий'!X113-1</f>
        <v>-0.79299191374663069</v>
      </c>
      <c r="S113" s="58">
        <f>R113*'Расчет субсидий'!Y113</f>
        <v>-3.9649595687331534</v>
      </c>
      <c r="T113" s="53">
        <f t="shared" si="22"/>
        <v>-13.347058073959904</v>
      </c>
      <c r="U113" s="52">
        <f>'Расчет субсидий'!AB113-1</f>
        <v>0</v>
      </c>
      <c r="V113" s="52">
        <f>U113*'Расчет субсидий'!AC113</f>
        <v>0</v>
      </c>
      <c r="W113" s="53">
        <f t="shared" si="23"/>
        <v>0</v>
      </c>
      <c r="X113" s="27" t="s">
        <v>365</v>
      </c>
      <c r="Y113" s="27" t="s">
        <v>365</v>
      </c>
      <c r="Z113" s="27" t="s">
        <v>365</v>
      </c>
      <c r="AA113" s="27" t="s">
        <v>365</v>
      </c>
      <c r="AB113" s="27" t="s">
        <v>365</v>
      </c>
      <c r="AC113" s="27" t="s">
        <v>365</v>
      </c>
      <c r="AD113" s="27" t="s">
        <v>365</v>
      </c>
      <c r="AE113" s="27" t="s">
        <v>365</v>
      </c>
      <c r="AF113" s="27" t="s">
        <v>365</v>
      </c>
      <c r="AG113" s="52">
        <f t="shared" si="24"/>
        <v>-5.0528256775197615</v>
      </c>
      <c r="AH113" s="80"/>
    </row>
    <row r="114" spans="1:34" ht="15" customHeight="1">
      <c r="A114" s="32" t="s">
        <v>101</v>
      </c>
      <c r="B114" s="54"/>
      <c r="C114" s="55"/>
      <c r="D114" s="55"/>
      <c r="E114" s="56"/>
      <c r="F114" s="55"/>
      <c r="G114" s="55"/>
      <c r="H114" s="56"/>
      <c r="I114" s="56"/>
      <c r="J114" s="56"/>
      <c r="K114" s="56"/>
      <c r="L114" s="55"/>
      <c r="M114" s="55"/>
      <c r="N114" s="56"/>
      <c r="O114" s="55"/>
      <c r="P114" s="55"/>
      <c r="Q114" s="56"/>
      <c r="R114" s="56"/>
      <c r="S114" s="56"/>
      <c r="T114" s="56"/>
      <c r="U114" s="56"/>
      <c r="V114" s="56"/>
      <c r="W114" s="56"/>
      <c r="X114" s="27"/>
      <c r="Y114" s="27"/>
      <c r="Z114" s="27"/>
      <c r="AA114" s="27"/>
      <c r="AB114" s="27"/>
      <c r="AC114" s="27"/>
      <c r="AD114" s="27"/>
      <c r="AE114" s="27"/>
      <c r="AF114" s="27"/>
      <c r="AG114" s="56"/>
      <c r="AH114" s="80"/>
    </row>
    <row r="115" spans="1:34" ht="15" customHeight="1">
      <c r="A115" s="33" t="s">
        <v>102</v>
      </c>
      <c r="B115" s="50">
        <f>'Расчет субсидий'!AT115</f>
        <v>-37.045454545454561</v>
      </c>
      <c r="C115" s="52">
        <f>'Расчет субсидий'!D115-1</f>
        <v>0.22188152497588387</v>
      </c>
      <c r="D115" s="52">
        <f>C115*'Расчет субсидий'!E115</f>
        <v>1.1094076248794194</v>
      </c>
      <c r="E115" s="53">
        <f t="shared" si="20"/>
        <v>9.4991261232918554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2">
        <f>'Расчет субсидий'!P115-1</f>
        <v>-0.20116067931783388</v>
      </c>
      <c r="M115" s="52">
        <f>L115*'Расчет субсидий'!Q115</f>
        <v>-4.0232135863566771</v>
      </c>
      <c r="N115" s="53">
        <f t="shared" si="21"/>
        <v>-34.448125666972238</v>
      </c>
      <c r="O115" s="27" t="s">
        <v>365</v>
      </c>
      <c r="P115" s="27" t="s">
        <v>365</v>
      </c>
      <c r="Q115" s="27" t="s">
        <v>365</v>
      </c>
      <c r="R115" s="58">
        <f>'Расчет субсидий'!X115-1</f>
        <v>-4.6036999321113381E-2</v>
      </c>
      <c r="S115" s="58">
        <f>R115*'Расчет субсидий'!Y115</f>
        <v>-0.46036999321113381</v>
      </c>
      <c r="T115" s="53">
        <f t="shared" si="22"/>
        <v>-3.9418447564454828</v>
      </c>
      <c r="U115" s="52">
        <f>'Расчет субсидий'!AB115-1</f>
        <v>-4.7619047619047672E-2</v>
      </c>
      <c r="V115" s="52">
        <f>U115*'Расчет субсидий'!AC115</f>
        <v>-0.95238095238095344</v>
      </c>
      <c r="W115" s="53">
        <f t="shared" si="23"/>
        <v>-8.1546102453286995</v>
      </c>
      <c r="X115" s="27" t="s">
        <v>365</v>
      </c>
      <c r="Y115" s="27" t="s">
        <v>365</v>
      </c>
      <c r="Z115" s="27" t="s">
        <v>365</v>
      </c>
      <c r="AA115" s="27" t="s">
        <v>365</v>
      </c>
      <c r="AB115" s="27" t="s">
        <v>365</v>
      </c>
      <c r="AC115" s="27" t="s">
        <v>365</v>
      </c>
      <c r="AD115" s="27" t="s">
        <v>365</v>
      </c>
      <c r="AE115" s="27" t="s">
        <v>365</v>
      </c>
      <c r="AF115" s="27" t="s">
        <v>365</v>
      </c>
      <c r="AG115" s="52">
        <f t="shared" si="24"/>
        <v>-4.326556907069345</v>
      </c>
      <c r="AH115" s="80"/>
    </row>
    <row r="116" spans="1:34" ht="15" customHeight="1">
      <c r="A116" s="33" t="s">
        <v>103</v>
      </c>
      <c r="B116" s="50">
        <f>'Расчет субсидий'!AT116</f>
        <v>-173.45454545454544</v>
      </c>
      <c r="C116" s="52">
        <f>'Расчет субсидий'!D116-1</f>
        <v>-8.9562043795620494E-2</v>
      </c>
      <c r="D116" s="52">
        <f>C116*'Расчет субсидий'!E116</f>
        <v>-0.44781021897810247</v>
      </c>
      <c r="E116" s="53">
        <f t="shared" si="20"/>
        <v>-3.6355352480735736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2">
        <f>'Расчет субсидий'!P116-1</f>
        <v>-1</v>
      </c>
      <c r="M116" s="52">
        <f>L116*'Расчет субсидий'!Q116</f>
        <v>-20</v>
      </c>
      <c r="N116" s="53">
        <f t="shared" si="21"/>
        <v>-162.36946340214485</v>
      </c>
      <c r="O116" s="27" t="s">
        <v>365</v>
      </c>
      <c r="P116" s="27" t="s">
        <v>365</v>
      </c>
      <c r="Q116" s="27" t="s">
        <v>365</v>
      </c>
      <c r="R116" s="58">
        <f>'Расчет субсидий'!X116-1</f>
        <v>-2.279492401691996E-2</v>
      </c>
      <c r="S116" s="58">
        <f>R116*'Расчет субсидий'!Y116</f>
        <v>-0.2279492401691996</v>
      </c>
      <c r="T116" s="53">
        <f t="shared" si="22"/>
        <v>-1.8505997904599789</v>
      </c>
      <c r="U116" s="52">
        <f>'Расчет субсидий'!AB116-1</f>
        <v>-3.4482758620689613E-2</v>
      </c>
      <c r="V116" s="52">
        <f>U116*'Расчет субсидий'!AC116</f>
        <v>-0.68965517241379226</v>
      </c>
      <c r="W116" s="53">
        <f t="shared" si="23"/>
        <v>-5.5989470138670558</v>
      </c>
      <c r="X116" s="27" t="s">
        <v>365</v>
      </c>
      <c r="Y116" s="27" t="s">
        <v>365</v>
      </c>
      <c r="Z116" s="27" t="s">
        <v>365</v>
      </c>
      <c r="AA116" s="27" t="s">
        <v>365</v>
      </c>
      <c r="AB116" s="27" t="s">
        <v>365</v>
      </c>
      <c r="AC116" s="27" t="s">
        <v>365</v>
      </c>
      <c r="AD116" s="27" t="s">
        <v>365</v>
      </c>
      <c r="AE116" s="27" t="s">
        <v>365</v>
      </c>
      <c r="AF116" s="27" t="s">
        <v>365</v>
      </c>
      <c r="AG116" s="52">
        <f t="shared" si="24"/>
        <v>-21.365414631561094</v>
      </c>
      <c r="AH116" s="80"/>
    </row>
    <row r="117" spans="1:34" ht="15" customHeight="1">
      <c r="A117" s="33" t="s">
        <v>104</v>
      </c>
      <c r="B117" s="50">
        <f>'Расчет субсидий'!AT117</f>
        <v>1.8727272727272748</v>
      </c>
      <c r="C117" s="52">
        <f>'Расчет субсидий'!D117-1</f>
        <v>0.20560076045627373</v>
      </c>
      <c r="D117" s="52">
        <f>C117*'Расчет субсидий'!E117</f>
        <v>1.0280038022813687</v>
      </c>
      <c r="E117" s="53">
        <f t="shared" si="20"/>
        <v>12.953240887114372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2">
        <f>'Расчет субсидий'!P117-1</f>
        <v>-0.15569226095541888</v>
      </c>
      <c r="M117" s="52">
        <f>L117*'Расчет субсидий'!Q117</f>
        <v>-3.1138452191083776</v>
      </c>
      <c r="N117" s="53">
        <f t="shared" si="21"/>
        <v>-39.235640100541737</v>
      </c>
      <c r="O117" s="27" t="s">
        <v>365</v>
      </c>
      <c r="P117" s="27" t="s">
        <v>365</v>
      </c>
      <c r="Q117" s="27" t="s">
        <v>365</v>
      </c>
      <c r="R117" s="58">
        <f>'Расчет субсидий'!X117-1</f>
        <v>-5.6056499958939021E-2</v>
      </c>
      <c r="S117" s="58">
        <f>R117*'Расчет субсидий'!Y117</f>
        <v>-0.56056499958939021</v>
      </c>
      <c r="T117" s="53">
        <f t="shared" si="22"/>
        <v>-7.0633332838385163</v>
      </c>
      <c r="U117" s="52">
        <f>'Расчет субсидий'!AB117-1</f>
        <v>0.13975155279503104</v>
      </c>
      <c r="V117" s="52">
        <f>U117*'Расчет субсидий'!AC117</f>
        <v>2.7950310559006208</v>
      </c>
      <c r="W117" s="53">
        <f t="shared" si="23"/>
        <v>35.218459769993153</v>
      </c>
      <c r="X117" s="27" t="s">
        <v>365</v>
      </c>
      <c r="Y117" s="27" t="s">
        <v>365</v>
      </c>
      <c r="Z117" s="27" t="s">
        <v>365</v>
      </c>
      <c r="AA117" s="27" t="s">
        <v>365</v>
      </c>
      <c r="AB117" s="27" t="s">
        <v>365</v>
      </c>
      <c r="AC117" s="27" t="s">
        <v>365</v>
      </c>
      <c r="AD117" s="27" t="s">
        <v>365</v>
      </c>
      <c r="AE117" s="27" t="s">
        <v>365</v>
      </c>
      <c r="AF117" s="27" t="s">
        <v>365</v>
      </c>
      <c r="AG117" s="52">
        <f t="shared" si="24"/>
        <v>0.14862463948422189</v>
      </c>
      <c r="AH117" s="80"/>
    </row>
    <row r="118" spans="1:34" ht="15" customHeight="1">
      <c r="A118" s="33" t="s">
        <v>105</v>
      </c>
      <c r="B118" s="50">
        <f>'Расчет субсидий'!AT118</f>
        <v>-37.972727272727241</v>
      </c>
      <c r="C118" s="52">
        <f>'Расчет субсидий'!D118-1</f>
        <v>-6.0546415836714607E-2</v>
      </c>
      <c r="D118" s="52">
        <f>C118*'Расчет субсидий'!E118</f>
        <v>-0.30273207918357303</v>
      </c>
      <c r="E118" s="53">
        <f t="shared" si="20"/>
        <v>-2.5106483596379552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2">
        <f>'Расчет субсидий'!P118-1</f>
        <v>-0.16387042864044077</v>
      </c>
      <c r="M118" s="52">
        <f>L118*'Расчет субсидий'!Q118</f>
        <v>-3.2774085728088154</v>
      </c>
      <c r="N118" s="53">
        <f t="shared" si="21"/>
        <v>-27.180536926832293</v>
      </c>
      <c r="O118" s="27" t="s">
        <v>365</v>
      </c>
      <c r="P118" s="27" t="s">
        <v>365</v>
      </c>
      <c r="Q118" s="27" t="s">
        <v>365</v>
      </c>
      <c r="R118" s="58">
        <f>'Расчет субсидий'!X118-1</f>
        <v>-0.19360820653542932</v>
      </c>
      <c r="S118" s="58">
        <f>R118*'Расчет субсидий'!Y118</f>
        <v>-1.9360820653542932</v>
      </c>
      <c r="T118" s="53">
        <f t="shared" si="22"/>
        <v>-16.056511997721515</v>
      </c>
      <c r="U118" s="52">
        <f>'Расчет субсидий'!AB118-1</f>
        <v>4.6875E-2</v>
      </c>
      <c r="V118" s="52">
        <f>U118*'Расчет субсидий'!AC118</f>
        <v>0.9375</v>
      </c>
      <c r="W118" s="53">
        <f t="shared" si="23"/>
        <v>7.7749700114645197</v>
      </c>
      <c r="X118" s="27" t="s">
        <v>365</v>
      </c>
      <c r="Y118" s="27" t="s">
        <v>365</v>
      </c>
      <c r="Z118" s="27" t="s">
        <v>365</v>
      </c>
      <c r="AA118" s="27" t="s">
        <v>365</v>
      </c>
      <c r="AB118" s="27" t="s">
        <v>365</v>
      </c>
      <c r="AC118" s="27" t="s">
        <v>365</v>
      </c>
      <c r="AD118" s="27" t="s">
        <v>365</v>
      </c>
      <c r="AE118" s="27" t="s">
        <v>365</v>
      </c>
      <c r="AF118" s="27" t="s">
        <v>365</v>
      </c>
      <c r="AG118" s="52">
        <f t="shared" si="24"/>
        <v>-4.5787227173466816</v>
      </c>
      <c r="AH118" s="80"/>
    </row>
    <row r="119" spans="1:34" ht="15" customHeight="1">
      <c r="A119" s="33" t="s">
        <v>106</v>
      </c>
      <c r="B119" s="50">
        <f>'Расчет субсидий'!AT119</f>
        <v>20.263636363636351</v>
      </c>
      <c r="C119" s="52">
        <f>'Расчет субсидий'!D119-1</f>
        <v>0.30000000000000004</v>
      </c>
      <c r="D119" s="52">
        <f>C119*'Расчет субсидий'!E119</f>
        <v>1.5000000000000002</v>
      </c>
      <c r="E119" s="53">
        <f t="shared" si="20"/>
        <v>14.18391119707479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2">
        <f>'Расчет субсидий'!P119-1</f>
        <v>-0.1026263853043875</v>
      </c>
      <c r="M119" s="52">
        <f>L119*'Расчет субсидий'!Q119</f>
        <v>-2.05252770608775</v>
      </c>
      <c r="N119" s="53">
        <f t="shared" si="21"/>
        <v>-19.408580475122847</v>
      </c>
      <c r="O119" s="27" t="s">
        <v>365</v>
      </c>
      <c r="P119" s="27" t="s">
        <v>365</v>
      </c>
      <c r="Q119" s="27" t="s">
        <v>365</v>
      </c>
      <c r="R119" s="58">
        <f>'Расчет субсидий'!X119-1</f>
        <v>0.27904173792707287</v>
      </c>
      <c r="S119" s="58">
        <f>R119*'Расчет субсидий'!Y119</f>
        <v>2.7904173792707287</v>
      </c>
      <c r="T119" s="53">
        <f t="shared" si="22"/>
        <v>26.38602154023345</v>
      </c>
      <c r="U119" s="52">
        <f>'Расчет субсидий'!AB119-1</f>
        <v>-4.746835443038E-3</v>
      </c>
      <c r="V119" s="52">
        <f>U119*'Расчет субсидий'!AC119</f>
        <v>-9.493670886076E-2</v>
      </c>
      <c r="W119" s="53">
        <f t="shared" si="23"/>
        <v>-0.89771589854904199</v>
      </c>
      <c r="X119" s="27" t="s">
        <v>365</v>
      </c>
      <c r="Y119" s="27" t="s">
        <v>365</v>
      </c>
      <c r="Z119" s="27" t="s">
        <v>365</v>
      </c>
      <c r="AA119" s="27" t="s">
        <v>365</v>
      </c>
      <c r="AB119" s="27" t="s">
        <v>365</v>
      </c>
      <c r="AC119" s="27" t="s">
        <v>365</v>
      </c>
      <c r="AD119" s="27" t="s">
        <v>365</v>
      </c>
      <c r="AE119" s="27" t="s">
        <v>365</v>
      </c>
      <c r="AF119" s="27" t="s">
        <v>365</v>
      </c>
      <c r="AG119" s="52">
        <f t="shared" si="24"/>
        <v>2.1429529643222187</v>
      </c>
      <c r="AH119" s="80"/>
    </row>
    <row r="120" spans="1:34" ht="15" customHeight="1">
      <c r="A120" s="33" t="s">
        <v>107</v>
      </c>
      <c r="B120" s="50">
        <f>'Расчет субсидий'!AT120</f>
        <v>-123.48181818181814</v>
      </c>
      <c r="C120" s="52">
        <f>'Расчет субсидий'!D120-1</f>
        <v>-0.42681854838709676</v>
      </c>
      <c r="D120" s="52">
        <f>C120*'Расчет субсидий'!E120</f>
        <v>-2.1340927419354836</v>
      </c>
      <c r="E120" s="53">
        <f t="shared" si="20"/>
        <v>-19.983127614542781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2">
        <f>'Расчет субсидий'!P120-1</f>
        <v>-0.57923615847231691</v>
      </c>
      <c r="M120" s="52">
        <f>L120*'Расчет субсидий'!Q120</f>
        <v>-11.584723169446338</v>
      </c>
      <c r="N120" s="53">
        <f t="shared" si="21"/>
        <v>-108.4765422444772</v>
      </c>
      <c r="O120" s="27" t="s">
        <v>365</v>
      </c>
      <c r="P120" s="27" t="s">
        <v>365</v>
      </c>
      <c r="Q120" s="27" t="s">
        <v>365</v>
      </c>
      <c r="R120" s="58">
        <f>'Расчет субсидий'!X120-1</f>
        <v>5.3160833177168687E-2</v>
      </c>
      <c r="S120" s="58">
        <f>R120*'Расчет субсидий'!Y120</f>
        <v>0.53160833177168687</v>
      </c>
      <c r="T120" s="53">
        <f t="shared" si="22"/>
        <v>4.9778516772018371</v>
      </c>
      <c r="U120" s="52">
        <f>'Расчет субсидий'!AB120-1</f>
        <v>0</v>
      </c>
      <c r="V120" s="52">
        <f>U120*'Расчет субсидий'!AC120</f>
        <v>0</v>
      </c>
      <c r="W120" s="53">
        <f t="shared" si="23"/>
        <v>0</v>
      </c>
      <c r="X120" s="27" t="s">
        <v>365</v>
      </c>
      <c r="Y120" s="27" t="s">
        <v>365</v>
      </c>
      <c r="Z120" s="27" t="s">
        <v>365</v>
      </c>
      <c r="AA120" s="27" t="s">
        <v>365</v>
      </c>
      <c r="AB120" s="27" t="s">
        <v>365</v>
      </c>
      <c r="AC120" s="27" t="s">
        <v>365</v>
      </c>
      <c r="AD120" s="27" t="s">
        <v>365</v>
      </c>
      <c r="AE120" s="27" t="s">
        <v>365</v>
      </c>
      <c r="AF120" s="27" t="s">
        <v>365</v>
      </c>
      <c r="AG120" s="52">
        <f t="shared" si="24"/>
        <v>-13.187207579610135</v>
      </c>
      <c r="AH120" s="80"/>
    </row>
    <row r="121" spans="1:34" ht="15" customHeight="1">
      <c r="A121" s="33" t="s">
        <v>108</v>
      </c>
      <c r="B121" s="50">
        <f>'Расчет субсидий'!AT121</f>
        <v>-332.43636363636375</v>
      </c>
      <c r="C121" s="52">
        <f>'Расчет субсидий'!D121-1</f>
        <v>-0.59375</v>
      </c>
      <c r="D121" s="52">
        <f>C121*'Расчет субсидий'!E121</f>
        <v>-2.96875</v>
      </c>
      <c r="E121" s="53">
        <f t="shared" ref="E121:E184" si="25">$B121*D121/$AG121</f>
        <v>-43.32645071493809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2">
        <f>'Расчет субсидий'!P121-1</f>
        <v>-0.76821399767004217</v>
      </c>
      <c r="M121" s="52">
        <f>L121*'Расчет субсидий'!Q121</f>
        <v>-15.364279953400843</v>
      </c>
      <c r="N121" s="53">
        <f t="shared" ref="N121:N184" si="26">$B121*M121/$AG121</f>
        <v>-224.22895769988477</v>
      </c>
      <c r="O121" s="27" t="s">
        <v>365</v>
      </c>
      <c r="P121" s="27" t="s">
        <v>365</v>
      </c>
      <c r="Q121" s="27" t="s">
        <v>365</v>
      </c>
      <c r="R121" s="58">
        <f>'Расчет субсидий'!X121-1</f>
        <v>-8.3158657227741517E-2</v>
      </c>
      <c r="S121" s="58">
        <f>R121*'Расчет субсидий'!Y121</f>
        <v>-0.83158657227741517</v>
      </c>
      <c r="T121" s="53">
        <f t="shared" ref="T121:T184" si="27">$B121*S121/$AG121</f>
        <v>-12.136318194183319</v>
      </c>
      <c r="U121" s="52">
        <f>'Расчет субсидий'!AB121-1</f>
        <v>-0.18070444104134764</v>
      </c>
      <c r="V121" s="52">
        <f>U121*'Расчет субсидий'!AC121</f>
        <v>-3.6140888208269528</v>
      </c>
      <c r="W121" s="53">
        <f t="shared" ref="W121:W184" si="28">$B121*V121/$AG121</f>
        <v>-52.744637027357541</v>
      </c>
      <c r="X121" s="27" t="s">
        <v>365</v>
      </c>
      <c r="Y121" s="27" t="s">
        <v>365</v>
      </c>
      <c r="Z121" s="27" t="s">
        <v>365</v>
      </c>
      <c r="AA121" s="27" t="s">
        <v>365</v>
      </c>
      <c r="AB121" s="27" t="s">
        <v>365</v>
      </c>
      <c r="AC121" s="27" t="s">
        <v>365</v>
      </c>
      <c r="AD121" s="27" t="s">
        <v>365</v>
      </c>
      <c r="AE121" s="27" t="s">
        <v>365</v>
      </c>
      <c r="AF121" s="27" t="s">
        <v>365</v>
      </c>
      <c r="AG121" s="52">
        <f t="shared" si="24"/>
        <v>-22.778705346505213</v>
      </c>
      <c r="AH121" s="80"/>
    </row>
    <row r="122" spans="1:34" ht="15" customHeight="1">
      <c r="A122" s="33" t="s">
        <v>109</v>
      </c>
      <c r="B122" s="50">
        <f>'Расчет субсидий'!AT122</f>
        <v>-168.61818181818188</v>
      </c>
      <c r="C122" s="52">
        <f>'Расчет субсидий'!D122-1</f>
        <v>-1</v>
      </c>
      <c r="D122" s="52">
        <f>C122*'Расчет субсидий'!E122</f>
        <v>0</v>
      </c>
      <c r="E122" s="53">
        <f t="shared" si="25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2">
        <f>'Расчет субсидий'!P122-1</f>
        <v>-0.65366608702298823</v>
      </c>
      <c r="M122" s="52">
        <f>L122*'Расчет субсидий'!Q122</f>
        <v>-13.073321740459765</v>
      </c>
      <c r="N122" s="53">
        <f t="shared" si="26"/>
        <v>-145.29572321850875</v>
      </c>
      <c r="O122" s="27" t="s">
        <v>365</v>
      </c>
      <c r="P122" s="27" t="s">
        <v>365</v>
      </c>
      <c r="Q122" s="27" t="s">
        <v>365</v>
      </c>
      <c r="R122" s="58">
        <f>'Расчет субсидий'!X122-1</f>
        <v>0.23201120162932787</v>
      </c>
      <c r="S122" s="58">
        <f>R122*'Расчет субсидий'!Y122</f>
        <v>2.3201120162932787</v>
      </c>
      <c r="T122" s="53">
        <f t="shared" si="27"/>
        <v>25.785516492874844</v>
      </c>
      <c r="U122" s="52">
        <f>'Расчет субсидий'!AB122-1</f>
        <v>-0.22093023255813948</v>
      </c>
      <c r="V122" s="52">
        <f>U122*'Расчет субсидий'!AC122</f>
        <v>-4.4186046511627897</v>
      </c>
      <c r="W122" s="53">
        <f t="shared" si="28"/>
        <v>-49.107975092547974</v>
      </c>
      <c r="X122" s="27" t="s">
        <v>365</v>
      </c>
      <c r="Y122" s="27" t="s">
        <v>365</v>
      </c>
      <c r="Z122" s="27" t="s">
        <v>365</v>
      </c>
      <c r="AA122" s="27" t="s">
        <v>365</v>
      </c>
      <c r="AB122" s="27" t="s">
        <v>365</v>
      </c>
      <c r="AC122" s="27" t="s">
        <v>365</v>
      </c>
      <c r="AD122" s="27" t="s">
        <v>365</v>
      </c>
      <c r="AE122" s="27" t="s">
        <v>365</v>
      </c>
      <c r="AF122" s="27" t="s">
        <v>365</v>
      </c>
      <c r="AG122" s="52">
        <f t="shared" ref="AG122:AG185" si="29">D122+M122+S122+V122</f>
        <v>-15.171814375329275</v>
      </c>
      <c r="AH122" s="80"/>
    </row>
    <row r="123" spans="1:34" ht="15" customHeight="1">
      <c r="A123" s="33" t="s">
        <v>110</v>
      </c>
      <c r="B123" s="50">
        <f>'Расчет субсидий'!AT123</f>
        <v>-52.827272727272657</v>
      </c>
      <c r="C123" s="52">
        <f>'Расчет субсидий'!D123-1</f>
        <v>0.26527317073170731</v>
      </c>
      <c r="D123" s="52">
        <f>C123*'Расчет субсидий'!E123</f>
        <v>1.3263658536585365</v>
      </c>
      <c r="E123" s="53">
        <f t="shared" si="25"/>
        <v>32.680544313287335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2">
        <f>'Расчет субсидий'!P123-1</f>
        <v>-0.11015436312086524</v>
      </c>
      <c r="M123" s="52">
        <f>L123*'Расчет субсидий'!Q123</f>
        <v>-2.2030872624173048</v>
      </c>
      <c r="N123" s="53">
        <f t="shared" si="26"/>
        <v>-54.282225908390281</v>
      </c>
      <c r="O123" s="27" t="s">
        <v>365</v>
      </c>
      <c r="P123" s="27" t="s">
        <v>365</v>
      </c>
      <c r="Q123" s="27" t="s">
        <v>365</v>
      </c>
      <c r="R123" s="58">
        <f>'Расчет субсидий'!X123-1</f>
        <v>-0.11549558723693143</v>
      </c>
      <c r="S123" s="58">
        <f>R123*'Расчет субсидий'!Y123</f>
        <v>-1.1549558723693143</v>
      </c>
      <c r="T123" s="53">
        <f t="shared" si="27"/>
        <v>-28.457145864201266</v>
      </c>
      <c r="U123" s="52">
        <f>'Расчет субсидий'!AB123-1</f>
        <v>-5.6179775280899014E-3</v>
      </c>
      <c r="V123" s="52">
        <f>U123*'Расчет субсидий'!AC123</f>
        <v>-0.11235955056179803</v>
      </c>
      <c r="W123" s="53">
        <f t="shared" si="28"/>
        <v>-2.7684452679684348</v>
      </c>
      <c r="X123" s="27" t="s">
        <v>365</v>
      </c>
      <c r="Y123" s="27" t="s">
        <v>365</v>
      </c>
      <c r="Z123" s="27" t="s">
        <v>365</v>
      </c>
      <c r="AA123" s="27" t="s">
        <v>365</v>
      </c>
      <c r="AB123" s="27" t="s">
        <v>365</v>
      </c>
      <c r="AC123" s="27" t="s">
        <v>365</v>
      </c>
      <c r="AD123" s="27" t="s">
        <v>365</v>
      </c>
      <c r="AE123" s="27" t="s">
        <v>365</v>
      </c>
      <c r="AF123" s="27" t="s">
        <v>365</v>
      </c>
      <c r="AG123" s="52">
        <f t="shared" si="29"/>
        <v>-2.1440368316898808</v>
      </c>
      <c r="AH123" s="80"/>
    </row>
    <row r="124" spans="1:34" ht="15" customHeight="1">
      <c r="A124" s="33" t="s">
        <v>111</v>
      </c>
      <c r="B124" s="50">
        <f>'Расчет субсидий'!AT124</f>
        <v>0</v>
      </c>
      <c r="C124" s="52">
        <f>'Расчет субсидий'!D124-1</f>
        <v>0.30000000000000004</v>
      </c>
      <c r="D124" s="52">
        <f>C124*'Расчет субсидий'!E124</f>
        <v>1.5000000000000002</v>
      </c>
      <c r="E124" s="53">
        <f t="shared" si="25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2">
        <f>'Расчет субсидий'!P124-1</f>
        <v>-0.29324036065750081</v>
      </c>
      <c r="M124" s="52">
        <f>L124*'Расчет субсидий'!Q124</f>
        <v>-5.8648072131500157</v>
      </c>
      <c r="N124" s="53">
        <f t="shared" si="26"/>
        <v>0</v>
      </c>
      <c r="O124" s="27" t="s">
        <v>365</v>
      </c>
      <c r="P124" s="27" t="s">
        <v>365</v>
      </c>
      <c r="Q124" s="27" t="s">
        <v>365</v>
      </c>
      <c r="R124" s="58">
        <f>'Расчет субсидий'!X124-1</f>
        <v>0.30000000000000004</v>
      </c>
      <c r="S124" s="58">
        <f>R124*'Расчет субсидий'!Y124</f>
        <v>3.0000000000000004</v>
      </c>
      <c r="T124" s="53">
        <f t="shared" si="27"/>
        <v>0</v>
      </c>
      <c r="U124" s="52">
        <f>'Расчет субсидий'!AB124-1</f>
        <v>-1</v>
      </c>
      <c r="V124" s="52">
        <f>U124*'Расчет субсидий'!AC124</f>
        <v>0</v>
      </c>
      <c r="W124" s="53">
        <f t="shared" si="28"/>
        <v>0</v>
      </c>
      <c r="X124" s="27" t="s">
        <v>365</v>
      </c>
      <c r="Y124" s="27" t="s">
        <v>365</v>
      </c>
      <c r="Z124" s="27" t="s">
        <v>365</v>
      </c>
      <c r="AA124" s="27" t="s">
        <v>365</v>
      </c>
      <c r="AB124" s="27" t="s">
        <v>365</v>
      </c>
      <c r="AC124" s="27" t="s">
        <v>365</v>
      </c>
      <c r="AD124" s="27" t="s">
        <v>365</v>
      </c>
      <c r="AE124" s="27" t="s">
        <v>365</v>
      </c>
      <c r="AF124" s="27" t="s">
        <v>365</v>
      </c>
      <c r="AG124" s="52">
        <f t="shared" si="29"/>
        <v>-1.3648072131500153</v>
      </c>
      <c r="AH124" s="80"/>
    </row>
    <row r="125" spans="1:34" ht="15" customHeight="1">
      <c r="A125" s="33" t="s">
        <v>112</v>
      </c>
      <c r="B125" s="50">
        <f>'Расчет субсидий'!AT125</f>
        <v>71.390909090909076</v>
      </c>
      <c r="C125" s="52">
        <f>'Расчет субсидий'!D125-1</f>
        <v>0.10950099990909923</v>
      </c>
      <c r="D125" s="52">
        <f>C125*'Расчет субсидий'!E125</f>
        <v>0.54750499954549614</v>
      </c>
      <c r="E125" s="53">
        <f t="shared" si="25"/>
        <v>8.6213300430726942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2">
        <f>'Расчет субсидий'!P125-1</f>
        <v>0.21979042824603301</v>
      </c>
      <c r="M125" s="52">
        <f>L125*'Расчет субсидий'!Q125</f>
        <v>4.3958085649206602</v>
      </c>
      <c r="N125" s="53">
        <f t="shared" si="26"/>
        <v>69.218941335343118</v>
      </c>
      <c r="O125" s="27" t="s">
        <v>365</v>
      </c>
      <c r="P125" s="27" t="s">
        <v>365</v>
      </c>
      <c r="Q125" s="27" t="s">
        <v>365</v>
      </c>
      <c r="R125" s="58">
        <f>'Расчет субсидий'!X125-1</f>
        <v>-0.11788030833225327</v>
      </c>
      <c r="S125" s="58">
        <f>R125*'Расчет субсидий'!Y125</f>
        <v>-1.1788030833225327</v>
      </c>
      <c r="T125" s="53">
        <f t="shared" si="27"/>
        <v>-18.562114401789625</v>
      </c>
      <c r="U125" s="52">
        <f>'Расчет субсидий'!AB125-1</f>
        <v>3.8461538461538547E-2</v>
      </c>
      <c r="V125" s="52">
        <f>U125*'Расчет субсидий'!AC125</f>
        <v>0.76923076923077094</v>
      </c>
      <c r="W125" s="53">
        <f t="shared" si="28"/>
        <v>12.112752114282896</v>
      </c>
      <c r="X125" s="27" t="s">
        <v>365</v>
      </c>
      <c r="Y125" s="27" t="s">
        <v>365</v>
      </c>
      <c r="Z125" s="27" t="s">
        <v>365</v>
      </c>
      <c r="AA125" s="27" t="s">
        <v>365</v>
      </c>
      <c r="AB125" s="27" t="s">
        <v>365</v>
      </c>
      <c r="AC125" s="27" t="s">
        <v>365</v>
      </c>
      <c r="AD125" s="27" t="s">
        <v>365</v>
      </c>
      <c r="AE125" s="27" t="s">
        <v>365</v>
      </c>
      <c r="AF125" s="27" t="s">
        <v>365</v>
      </c>
      <c r="AG125" s="52">
        <f t="shared" si="29"/>
        <v>4.5337412503743941</v>
      </c>
      <c r="AH125" s="80"/>
    </row>
    <row r="126" spans="1:34" ht="15" customHeight="1">
      <c r="A126" s="33" t="s">
        <v>113</v>
      </c>
      <c r="B126" s="50">
        <f>'Расчет субсидий'!AT126</f>
        <v>-25.309090909090912</v>
      </c>
      <c r="C126" s="52">
        <f>'Расчет субсидий'!D126-1</f>
        <v>0.21028362014021673</v>
      </c>
      <c r="D126" s="52">
        <f>C126*'Расчет субсидий'!E126</f>
        <v>1.0514181007010837</v>
      </c>
      <c r="E126" s="53">
        <f t="shared" si="25"/>
        <v>6.7564862025194108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2">
        <f>'Расчет субсидий'!P126-1</f>
        <v>-0.19196395043184367</v>
      </c>
      <c r="M126" s="52">
        <f>L126*'Расчет субсидий'!Q126</f>
        <v>-3.8392790086368733</v>
      </c>
      <c r="N126" s="53">
        <f t="shared" si="26"/>
        <v>-24.671475250597897</v>
      </c>
      <c r="O126" s="27" t="s">
        <v>365</v>
      </c>
      <c r="P126" s="27" t="s">
        <v>365</v>
      </c>
      <c r="Q126" s="27" t="s">
        <v>365</v>
      </c>
      <c r="R126" s="58">
        <f>'Расчет субсидий'!X126-1</f>
        <v>-0.13611676849966059</v>
      </c>
      <c r="S126" s="58">
        <f>R126*'Расчет субсидий'!Y126</f>
        <v>-1.3611676849966059</v>
      </c>
      <c r="T126" s="53">
        <f t="shared" si="27"/>
        <v>-8.746958680721308</v>
      </c>
      <c r="U126" s="52">
        <f>'Расчет субсидий'!AB126-1</f>
        <v>1.0526315789473717E-2</v>
      </c>
      <c r="V126" s="52">
        <f>U126*'Расчет субсидий'!AC126</f>
        <v>0.21052631578947434</v>
      </c>
      <c r="W126" s="53">
        <f t="shared" si="28"/>
        <v>1.3528568197088882</v>
      </c>
      <c r="X126" s="27" t="s">
        <v>365</v>
      </c>
      <c r="Y126" s="27" t="s">
        <v>365</v>
      </c>
      <c r="Z126" s="27" t="s">
        <v>365</v>
      </c>
      <c r="AA126" s="27" t="s">
        <v>365</v>
      </c>
      <c r="AB126" s="27" t="s">
        <v>365</v>
      </c>
      <c r="AC126" s="27" t="s">
        <v>365</v>
      </c>
      <c r="AD126" s="27" t="s">
        <v>365</v>
      </c>
      <c r="AE126" s="27" t="s">
        <v>365</v>
      </c>
      <c r="AF126" s="27" t="s">
        <v>365</v>
      </c>
      <c r="AG126" s="52">
        <f t="shared" si="29"/>
        <v>-3.9385022771429217</v>
      </c>
      <c r="AH126" s="80"/>
    </row>
    <row r="127" spans="1:34" ht="15" customHeight="1">
      <c r="A127" s="33" t="s">
        <v>114</v>
      </c>
      <c r="B127" s="50">
        <f>'Расчет субсидий'!AT127</f>
        <v>-214</v>
      </c>
      <c r="C127" s="52">
        <f>'Расчет субсидий'!D127-1</f>
        <v>-0.48042682926829272</v>
      </c>
      <c r="D127" s="52">
        <f>C127*'Расчет субсидий'!E127</f>
        <v>-2.4021341463414636</v>
      </c>
      <c r="E127" s="53">
        <f t="shared" si="25"/>
        <v>-32.887221902856986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2">
        <f>'Расчет субсидий'!P127-1</f>
        <v>-0.74777350192413405</v>
      </c>
      <c r="M127" s="52">
        <f>L127*'Расчет субсидий'!Q127</f>
        <v>-14.95547003848268</v>
      </c>
      <c r="N127" s="53">
        <f t="shared" si="26"/>
        <v>-204.75287051150113</v>
      </c>
      <c r="O127" s="27" t="s">
        <v>365</v>
      </c>
      <c r="P127" s="27" t="s">
        <v>365</v>
      </c>
      <c r="Q127" s="27" t="s">
        <v>365</v>
      </c>
      <c r="R127" s="58">
        <f>'Расчет субсидий'!X127-1</f>
        <v>0.20124236252545824</v>
      </c>
      <c r="S127" s="58">
        <f>R127*'Расчет субсидий'!Y127</f>
        <v>2.0124236252545824</v>
      </c>
      <c r="T127" s="53">
        <f t="shared" si="27"/>
        <v>27.551759516469332</v>
      </c>
      <c r="U127" s="52">
        <f>'Расчет субсидий'!AB127-1</f>
        <v>-1.4285714285714235E-2</v>
      </c>
      <c r="V127" s="52">
        <f>U127*'Расчет субсидий'!AC127</f>
        <v>-0.2857142857142847</v>
      </c>
      <c r="W127" s="53">
        <f t="shared" si="28"/>
        <v>-3.9116671021112364</v>
      </c>
      <c r="X127" s="27" t="s">
        <v>365</v>
      </c>
      <c r="Y127" s="27" t="s">
        <v>365</v>
      </c>
      <c r="Z127" s="27" t="s">
        <v>365</v>
      </c>
      <c r="AA127" s="27" t="s">
        <v>365</v>
      </c>
      <c r="AB127" s="27" t="s">
        <v>365</v>
      </c>
      <c r="AC127" s="27" t="s">
        <v>365</v>
      </c>
      <c r="AD127" s="27" t="s">
        <v>365</v>
      </c>
      <c r="AE127" s="27" t="s">
        <v>365</v>
      </c>
      <c r="AF127" s="27" t="s">
        <v>365</v>
      </c>
      <c r="AG127" s="52">
        <f t="shared" si="29"/>
        <v>-15.630894845283846</v>
      </c>
      <c r="AH127" s="80"/>
    </row>
    <row r="128" spans="1:34" ht="15" customHeight="1">
      <c r="A128" s="33" t="s">
        <v>115</v>
      </c>
      <c r="B128" s="50">
        <f>'Расчет субсидий'!AT128</f>
        <v>-172.19090909090914</v>
      </c>
      <c r="C128" s="52">
        <f>'Расчет субсидий'!D128-1</f>
        <v>-1</v>
      </c>
      <c r="D128" s="52">
        <f>C128*'Расчет субсидий'!E128</f>
        <v>0</v>
      </c>
      <c r="E128" s="53">
        <f t="shared" si="25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2">
        <f>'Расчет субсидий'!P128-1</f>
        <v>-0.67081798798216707</v>
      </c>
      <c r="M128" s="52">
        <f>L128*'Расчет субсидий'!Q128</f>
        <v>-13.416359759643342</v>
      </c>
      <c r="N128" s="53">
        <f t="shared" si="26"/>
        <v>-210.41495287494641</v>
      </c>
      <c r="O128" s="27" t="s">
        <v>365</v>
      </c>
      <c r="P128" s="27" t="s">
        <v>365</v>
      </c>
      <c r="Q128" s="27" t="s">
        <v>365</v>
      </c>
      <c r="R128" s="58">
        <f>'Расчет субсидий'!X128-1</f>
        <v>0.24372199592668009</v>
      </c>
      <c r="S128" s="58">
        <f>R128*'Расчет субсидий'!Y128</f>
        <v>2.4372199592668009</v>
      </c>
      <c r="T128" s="53">
        <f t="shared" si="27"/>
        <v>38.224043784037264</v>
      </c>
      <c r="U128" s="52">
        <f>'Расчет субсидий'!AB128-1</f>
        <v>0</v>
      </c>
      <c r="V128" s="52">
        <f>U128*'Расчет субсидий'!AC128</f>
        <v>0</v>
      </c>
      <c r="W128" s="53">
        <f t="shared" si="28"/>
        <v>0</v>
      </c>
      <c r="X128" s="27" t="s">
        <v>365</v>
      </c>
      <c r="Y128" s="27" t="s">
        <v>365</v>
      </c>
      <c r="Z128" s="27" t="s">
        <v>365</v>
      </c>
      <c r="AA128" s="27" t="s">
        <v>365</v>
      </c>
      <c r="AB128" s="27" t="s">
        <v>365</v>
      </c>
      <c r="AC128" s="27" t="s">
        <v>365</v>
      </c>
      <c r="AD128" s="27" t="s">
        <v>365</v>
      </c>
      <c r="AE128" s="27" t="s">
        <v>365</v>
      </c>
      <c r="AF128" s="27" t="s">
        <v>365</v>
      </c>
      <c r="AG128" s="52">
        <f t="shared" si="29"/>
        <v>-10.97913980037654</v>
      </c>
      <c r="AH128" s="80"/>
    </row>
    <row r="129" spans="1:34" ht="15" customHeight="1">
      <c r="A129" s="33" t="s">
        <v>116</v>
      </c>
      <c r="B129" s="50">
        <f>'Расчет субсидий'!AT129</f>
        <v>-52.190909090909145</v>
      </c>
      <c r="C129" s="52">
        <f>'Расчет субсидий'!D129-1</f>
        <v>-0.1125968712928368</v>
      </c>
      <c r="D129" s="52">
        <f>C129*'Расчет субсидий'!E129</f>
        <v>-0.56298435646418399</v>
      </c>
      <c r="E129" s="53">
        <f t="shared" si="25"/>
        <v>-7.2329063789808652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2">
        <f>'Расчет субсидий'!P129-1</f>
        <v>-0.31973315111846368</v>
      </c>
      <c r="M129" s="52">
        <f>L129*'Расчет субсидий'!Q129</f>
        <v>-6.394663022369274</v>
      </c>
      <c r="N129" s="53">
        <f t="shared" si="26"/>
        <v>-82.155034034005624</v>
      </c>
      <c r="O129" s="27" t="s">
        <v>365</v>
      </c>
      <c r="P129" s="27" t="s">
        <v>365</v>
      </c>
      <c r="Q129" s="27" t="s">
        <v>365</v>
      </c>
      <c r="R129" s="58">
        <f>'Расчет субсидий'!X129-1</f>
        <v>0.30000000000000004</v>
      </c>
      <c r="S129" s="58">
        <f>R129*'Расчет субсидий'!Y129</f>
        <v>3.0000000000000004</v>
      </c>
      <c r="T129" s="53">
        <f t="shared" si="27"/>
        <v>38.542312744213937</v>
      </c>
      <c r="U129" s="52">
        <f>'Расчет субсидий'!AB129-1</f>
        <v>-5.2356020942407877E-3</v>
      </c>
      <c r="V129" s="52">
        <f>U129*'Расчет субсидий'!AC129</f>
        <v>-0.10471204188481575</v>
      </c>
      <c r="W129" s="53">
        <f t="shared" si="28"/>
        <v>-1.3452814221365992</v>
      </c>
      <c r="X129" s="27" t="s">
        <v>365</v>
      </c>
      <c r="Y129" s="27" t="s">
        <v>365</v>
      </c>
      <c r="Z129" s="27" t="s">
        <v>365</v>
      </c>
      <c r="AA129" s="27" t="s">
        <v>365</v>
      </c>
      <c r="AB129" s="27" t="s">
        <v>365</v>
      </c>
      <c r="AC129" s="27" t="s">
        <v>365</v>
      </c>
      <c r="AD129" s="27" t="s">
        <v>365</v>
      </c>
      <c r="AE129" s="27" t="s">
        <v>365</v>
      </c>
      <c r="AF129" s="27" t="s">
        <v>365</v>
      </c>
      <c r="AG129" s="52">
        <f t="shared" si="29"/>
        <v>-4.0623594207182734</v>
      </c>
      <c r="AH129" s="80"/>
    </row>
    <row r="130" spans="1:34" ht="15" customHeight="1">
      <c r="A130" s="32" t="s">
        <v>117</v>
      </c>
      <c r="B130" s="54"/>
      <c r="C130" s="55"/>
      <c r="D130" s="55"/>
      <c r="E130" s="56"/>
      <c r="F130" s="55"/>
      <c r="G130" s="55"/>
      <c r="H130" s="56"/>
      <c r="I130" s="56"/>
      <c r="J130" s="56"/>
      <c r="K130" s="56"/>
      <c r="L130" s="55"/>
      <c r="M130" s="55"/>
      <c r="N130" s="56"/>
      <c r="O130" s="55"/>
      <c r="P130" s="55"/>
      <c r="Q130" s="56"/>
      <c r="R130" s="56"/>
      <c r="S130" s="56"/>
      <c r="T130" s="56"/>
      <c r="U130" s="56"/>
      <c r="V130" s="56"/>
      <c r="W130" s="56"/>
      <c r="X130" s="27"/>
      <c r="Y130" s="27"/>
      <c r="Z130" s="27"/>
      <c r="AA130" s="27"/>
      <c r="AB130" s="27"/>
      <c r="AC130" s="27"/>
      <c r="AD130" s="27"/>
      <c r="AE130" s="27"/>
      <c r="AF130" s="27"/>
      <c r="AG130" s="56"/>
      <c r="AH130" s="80"/>
    </row>
    <row r="131" spans="1:34" ht="15" customHeight="1">
      <c r="A131" s="33" t="s">
        <v>118</v>
      </c>
      <c r="B131" s="50">
        <f>'Расчет субсидий'!AT131</f>
        <v>17.5</v>
      </c>
      <c r="C131" s="52">
        <f>'Расчет субсидий'!D131-1</f>
        <v>-1.2592592592592489E-2</v>
      </c>
      <c r="D131" s="52">
        <f>C131*'Расчет субсидий'!E131</f>
        <v>-6.2962962962962443E-2</v>
      </c>
      <c r="E131" s="53">
        <f t="shared" si="25"/>
        <v>-0.25296274645267364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2">
        <f>'Расчет субсидий'!P131-1</f>
        <v>0.30000000000000004</v>
      </c>
      <c r="M131" s="52">
        <f>L131*'Расчет субсидий'!Q131</f>
        <v>6.0000000000000009</v>
      </c>
      <c r="N131" s="53">
        <f t="shared" si="26"/>
        <v>24.105861720784397</v>
      </c>
      <c r="O131" s="27" t="s">
        <v>365</v>
      </c>
      <c r="P131" s="27" t="s">
        <v>365</v>
      </c>
      <c r="Q131" s="27" t="s">
        <v>365</v>
      </c>
      <c r="R131" s="58">
        <f>'Расчет субсидий'!X131-1</f>
        <v>-0.31625000000000003</v>
      </c>
      <c r="S131" s="58">
        <f>R131*'Расчет субсидий'!Y131</f>
        <v>-1.5812500000000003</v>
      </c>
      <c r="T131" s="53">
        <f t="shared" si="27"/>
        <v>-6.3528989743317208</v>
      </c>
      <c r="U131" s="52">
        <f>'Расчет субсидий'!AB131-1</f>
        <v>0</v>
      </c>
      <c r="V131" s="52">
        <f>U131*'Расчет субсидий'!AC131</f>
        <v>0</v>
      </c>
      <c r="W131" s="53">
        <f t="shared" si="28"/>
        <v>0</v>
      </c>
      <c r="X131" s="27" t="s">
        <v>365</v>
      </c>
      <c r="Y131" s="27" t="s">
        <v>365</v>
      </c>
      <c r="Z131" s="27" t="s">
        <v>365</v>
      </c>
      <c r="AA131" s="27" t="s">
        <v>365</v>
      </c>
      <c r="AB131" s="27" t="s">
        <v>365</v>
      </c>
      <c r="AC131" s="27" t="s">
        <v>365</v>
      </c>
      <c r="AD131" s="27" t="s">
        <v>365</v>
      </c>
      <c r="AE131" s="27" t="s">
        <v>365</v>
      </c>
      <c r="AF131" s="27" t="s">
        <v>365</v>
      </c>
      <c r="AG131" s="52">
        <f t="shared" si="29"/>
        <v>4.3557870370370377</v>
      </c>
      <c r="AH131" s="80"/>
    </row>
    <row r="132" spans="1:34" ht="15" customHeight="1">
      <c r="A132" s="33" t="s">
        <v>119</v>
      </c>
      <c r="B132" s="50">
        <f>'Расчет субсидий'!AT132</f>
        <v>8.0636363636363626</v>
      </c>
      <c r="C132" s="52">
        <f>'Расчет субсидий'!D132-1</f>
        <v>0.24921945031712478</v>
      </c>
      <c r="D132" s="52">
        <f>C132*'Расчет субсидий'!E132</f>
        <v>1.2460972515856239</v>
      </c>
      <c r="E132" s="53">
        <f t="shared" si="25"/>
        <v>5.9160906814795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2">
        <f>'Расчет субсидий'!P132-1</f>
        <v>-4.9071618037135223E-2</v>
      </c>
      <c r="M132" s="52">
        <f>L132*'Расчет субсидий'!Q132</f>
        <v>-0.98143236074270446</v>
      </c>
      <c r="N132" s="53">
        <f t="shared" si="26"/>
        <v>-4.6595422921477923</v>
      </c>
      <c r="O132" s="27" t="s">
        <v>365</v>
      </c>
      <c r="P132" s="27" t="s">
        <v>365</v>
      </c>
      <c r="Q132" s="27" t="s">
        <v>365</v>
      </c>
      <c r="R132" s="58">
        <f>'Расчет субсидий'!X132-1</f>
        <v>0.20341999999999993</v>
      </c>
      <c r="S132" s="58">
        <f>R132*'Расчет субсидий'!Y132</f>
        <v>1.0170999999999997</v>
      </c>
      <c r="T132" s="53">
        <f t="shared" si="27"/>
        <v>4.8288813930662373</v>
      </c>
      <c r="U132" s="52">
        <f>'Расчет субсидий'!AB132-1</f>
        <v>2.0833333333333259E-2</v>
      </c>
      <c r="V132" s="52">
        <f>U132*'Расчет субсидий'!AC132</f>
        <v>0.41666666666666519</v>
      </c>
      <c r="W132" s="53">
        <f t="shared" si="28"/>
        <v>1.9782065812384158</v>
      </c>
      <c r="X132" s="27" t="s">
        <v>365</v>
      </c>
      <c r="Y132" s="27" t="s">
        <v>365</v>
      </c>
      <c r="Z132" s="27" t="s">
        <v>365</v>
      </c>
      <c r="AA132" s="27" t="s">
        <v>365</v>
      </c>
      <c r="AB132" s="27" t="s">
        <v>365</v>
      </c>
      <c r="AC132" s="27" t="s">
        <v>365</v>
      </c>
      <c r="AD132" s="27" t="s">
        <v>365</v>
      </c>
      <c r="AE132" s="27" t="s">
        <v>365</v>
      </c>
      <c r="AF132" s="27" t="s">
        <v>365</v>
      </c>
      <c r="AG132" s="52">
        <f t="shared" si="29"/>
        <v>1.6984315575095843</v>
      </c>
      <c r="AH132" s="80"/>
    </row>
    <row r="133" spans="1:34" ht="15" customHeight="1">
      <c r="A133" s="33" t="s">
        <v>120</v>
      </c>
      <c r="B133" s="50">
        <f>'Расчет субсидий'!AT133</f>
        <v>18.881818181818176</v>
      </c>
      <c r="C133" s="52">
        <f>'Расчет субсидий'!D133-1</f>
        <v>-9.6774193548387899E-3</v>
      </c>
      <c r="D133" s="52">
        <f>C133*'Расчет субсидий'!E133</f>
        <v>-4.8387096774193949E-2</v>
      </c>
      <c r="E133" s="53">
        <f t="shared" si="25"/>
        <v>-0.23641149433114197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2">
        <f>'Расчет субсидий'!P133-1</f>
        <v>0.22146341463414632</v>
      </c>
      <c r="M133" s="52">
        <f>L133*'Расчет субсидий'!Q133</f>
        <v>4.4292682926829263</v>
      </c>
      <c r="N133" s="53">
        <f t="shared" si="26"/>
        <v>21.640685341245295</v>
      </c>
      <c r="O133" s="27" t="s">
        <v>365</v>
      </c>
      <c r="P133" s="27" t="s">
        <v>365</v>
      </c>
      <c r="Q133" s="27" t="s">
        <v>365</v>
      </c>
      <c r="R133" s="58">
        <f>'Расчет субсидий'!X133-1</f>
        <v>-0.10325581395348837</v>
      </c>
      <c r="S133" s="58">
        <f>R133*'Расчет субсидий'!Y133</f>
        <v>-0.51627906976744187</v>
      </c>
      <c r="T133" s="53">
        <f t="shared" si="27"/>
        <v>-2.5224556650959777</v>
      </c>
      <c r="U133" s="52">
        <f>'Расчет субсидий'!AB133-1</f>
        <v>0</v>
      </c>
      <c r="V133" s="52">
        <f>U133*'Расчет субсидий'!AC133</f>
        <v>0</v>
      </c>
      <c r="W133" s="53">
        <f t="shared" si="28"/>
        <v>0</v>
      </c>
      <c r="X133" s="27" t="s">
        <v>365</v>
      </c>
      <c r="Y133" s="27" t="s">
        <v>365</v>
      </c>
      <c r="Z133" s="27" t="s">
        <v>365</v>
      </c>
      <c r="AA133" s="27" t="s">
        <v>365</v>
      </c>
      <c r="AB133" s="27" t="s">
        <v>365</v>
      </c>
      <c r="AC133" s="27" t="s">
        <v>365</v>
      </c>
      <c r="AD133" s="27" t="s">
        <v>365</v>
      </c>
      <c r="AE133" s="27" t="s">
        <v>365</v>
      </c>
      <c r="AF133" s="27" t="s">
        <v>365</v>
      </c>
      <c r="AG133" s="52">
        <f t="shared" si="29"/>
        <v>3.8646021261412904</v>
      </c>
      <c r="AH133" s="80"/>
    </row>
    <row r="134" spans="1:34" ht="15" customHeight="1">
      <c r="A134" s="33" t="s">
        <v>121</v>
      </c>
      <c r="B134" s="50">
        <f>'Расчет субсидий'!AT134</f>
        <v>8.7363636363636488</v>
      </c>
      <c r="C134" s="52">
        <f>'Расчет субсидий'!D134-1</f>
        <v>4.5135406218654861E-3</v>
      </c>
      <c r="D134" s="52">
        <f>C134*'Расчет субсидий'!E134</f>
        <v>2.2567703109327431E-2</v>
      </c>
      <c r="E134" s="53">
        <f t="shared" si="25"/>
        <v>0.11957961642547646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2">
        <f>'Расчет субсидий'!P134-1</f>
        <v>8.5906040268456385E-2</v>
      </c>
      <c r="M134" s="52">
        <f>L134*'Расчет субсидий'!Q134</f>
        <v>1.7181208053691277</v>
      </c>
      <c r="N134" s="53">
        <f t="shared" si="26"/>
        <v>9.1038164532462229</v>
      </c>
      <c r="O134" s="27" t="s">
        <v>365</v>
      </c>
      <c r="P134" s="27" t="s">
        <v>365</v>
      </c>
      <c r="Q134" s="27" t="s">
        <v>365</v>
      </c>
      <c r="R134" s="58">
        <f>'Расчет субсидий'!X134-1</f>
        <v>-3.0217391304347863E-2</v>
      </c>
      <c r="S134" s="58">
        <f>R134*'Расчет субсидий'!Y134</f>
        <v>-0.15108695652173931</v>
      </c>
      <c r="T134" s="53">
        <f t="shared" si="27"/>
        <v>-0.80056531319286151</v>
      </c>
      <c r="U134" s="52">
        <f>'Расчет субсидий'!AB134-1</f>
        <v>2.9585798816567088E-3</v>
      </c>
      <c r="V134" s="52">
        <f>U134*'Расчет субсидий'!AC134</f>
        <v>5.9171597633134176E-2</v>
      </c>
      <c r="W134" s="53">
        <f t="shared" si="28"/>
        <v>0.31353287988481027</v>
      </c>
      <c r="X134" s="27" t="s">
        <v>365</v>
      </c>
      <c r="Y134" s="27" t="s">
        <v>365</v>
      </c>
      <c r="Z134" s="27" t="s">
        <v>365</v>
      </c>
      <c r="AA134" s="27" t="s">
        <v>365</v>
      </c>
      <c r="AB134" s="27" t="s">
        <v>365</v>
      </c>
      <c r="AC134" s="27" t="s">
        <v>365</v>
      </c>
      <c r="AD134" s="27" t="s">
        <v>365</v>
      </c>
      <c r="AE134" s="27" t="s">
        <v>365</v>
      </c>
      <c r="AF134" s="27" t="s">
        <v>365</v>
      </c>
      <c r="AG134" s="52">
        <f t="shared" si="29"/>
        <v>1.6487731495898501</v>
      </c>
      <c r="AH134" s="80"/>
    </row>
    <row r="135" spans="1:34" ht="15" customHeight="1">
      <c r="A135" s="33" t="s">
        <v>122</v>
      </c>
      <c r="B135" s="50">
        <f>'Расчет субсидий'!AT135</f>
        <v>-21.054545454545433</v>
      </c>
      <c r="C135" s="52">
        <f>'Расчет субсидий'!D135-1</f>
        <v>6.6748466257668726E-2</v>
      </c>
      <c r="D135" s="52">
        <f>C135*'Расчет субсидий'!E135</f>
        <v>0.33374233128834363</v>
      </c>
      <c r="E135" s="53">
        <f t="shared" si="25"/>
        <v>1.3774706055187169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2">
        <f>'Расчет субсидий'!P135-1</f>
        <v>-0.1780954688635813</v>
      </c>
      <c r="M135" s="52">
        <f>L135*'Расчет субсидий'!Q135</f>
        <v>-3.5619093772716259</v>
      </c>
      <c r="N135" s="53">
        <f t="shared" si="26"/>
        <v>-14.701238071217682</v>
      </c>
      <c r="O135" s="27" t="s">
        <v>365</v>
      </c>
      <c r="P135" s="27" t="s">
        <v>365</v>
      </c>
      <c r="Q135" s="27" t="s">
        <v>365</v>
      </c>
      <c r="R135" s="58">
        <f>'Расчет субсидий'!X135-1</f>
        <v>-0.2583333333333333</v>
      </c>
      <c r="S135" s="58">
        <f>R135*'Расчет субсидий'!Y135</f>
        <v>-1.2916666666666665</v>
      </c>
      <c r="T135" s="53">
        <f t="shared" si="27"/>
        <v>-5.3311572990855343</v>
      </c>
      <c r="U135" s="52">
        <f>'Расчет субсидий'!AB135-1</f>
        <v>-2.9069767441860517E-2</v>
      </c>
      <c r="V135" s="52">
        <f>U135*'Расчет субсидий'!AC135</f>
        <v>-0.58139534883721034</v>
      </c>
      <c r="W135" s="53">
        <f t="shared" si="28"/>
        <v>-2.3996206897609356</v>
      </c>
      <c r="X135" s="27" t="s">
        <v>365</v>
      </c>
      <c r="Y135" s="27" t="s">
        <v>365</v>
      </c>
      <c r="Z135" s="27" t="s">
        <v>365</v>
      </c>
      <c r="AA135" s="27" t="s">
        <v>365</v>
      </c>
      <c r="AB135" s="27" t="s">
        <v>365</v>
      </c>
      <c r="AC135" s="27" t="s">
        <v>365</v>
      </c>
      <c r="AD135" s="27" t="s">
        <v>365</v>
      </c>
      <c r="AE135" s="27" t="s">
        <v>365</v>
      </c>
      <c r="AF135" s="27" t="s">
        <v>365</v>
      </c>
      <c r="AG135" s="52">
        <f t="shared" si="29"/>
        <v>-5.1012290614871585</v>
      </c>
      <c r="AH135" s="80"/>
    </row>
    <row r="136" spans="1:34" ht="15" customHeight="1">
      <c r="A136" s="33" t="s">
        <v>123</v>
      </c>
      <c r="B136" s="50">
        <f>'Расчет субсидий'!AT136</f>
        <v>25.954545454545439</v>
      </c>
      <c r="C136" s="52">
        <f>'Расчет субсидий'!D136-1</f>
        <v>-1.9704433497536922E-2</v>
      </c>
      <c r="D136" s="52">
        <f>C136*'Расчет субсидий'!E136</f>
        <v>-9.8522167487684609E-2</v>
      </c>
      <c r="E136" s="53">
        <f t="shared" si="25"/>
        <v>-0.54588447094959058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2">
        <f>'Расчет субсидий'!P136-1</f>
        <v>0.26039215686274497</v>
      </c>
      <c r="M136" s="52">
        <f>L136*'Расчет субсидий'!Q136</f>
        <v>5.2078431372548994</v>
      </c>
      <c r="N136" s="53">
        <f t="shared" si="26"/>
        <v>28.85523906205383</v>
      </c>
      <c r="O136" s="27" t="s">
        <v>365</v>
      </c>
      <c r="P136" s="27" t="s">
        <v>365</v>
      </c>
      <c r="Q136" s="27" t="s">
        <v>365</v>
      </c>
      <c r="R136" s="58">
        <f>'Расчет субсидий'!X136-1</f>
        <v>-8.4999999999999964E-2</v>
      </c>
      <c r="S136" s="58">
        <f>R136*'Расчет субсидий'!Y136</f>
        <v>-0.42499999999999982</v>
      </c>
      <c r="T136" s="53">
        <f t="shared" si="27"/>
        <v>-2.354809136558798</v>
      </c>
      <c r="U136" s="52">
        <f>'Расчет субсидий'!AB136-1</f>
        <v>0</v>
      </c>
      <c r="V136" s="52">
        <f>U136*'Расчет субсидий'!AC136</f>
        <v>0</v>
      </c>
      <c r="W136" s="53">
        <f t="shared" si="28"/>
        <v>0</v>
      </c>
      <c r="X136" s="27" t="s">
        <v>365</v>
      </c>
      <c r="Y136" s="27" t="s">
        <v>365</v>
      </c>
      <c r="Z136" s="27" t="s">
        <v>365</v>
      </c>
      <c r="AA136" s="27" t="s">
        <v>365</v>
      </c>
      <c r="AB136" s="27" t="s">
        <v>365</v>
      </c>
      <c r="AC136" s="27" t="s">
        <v>365</v>
      </c>
      <c r="AD136" s="27" t="s">
        <v>365</v>
      </c>
      <c r="AE136" s="27" t="s">
        <v>365</v>
      </c>
      <c r="AF136" s="27" t="s">
        <v>365</v>
      </c>
      <c r="AG136" s="52">
        <f t="shared" si="29"/>
        <v>4.6843209697672146</v>
      </c>
      <c r="AH136" s="80"/>
    </row>
    <row r="137" spans="1:34" ht="15" customHeight="1">
      <c r="A137" s="33" t="s">
        <v>124</v>
      </c>
      <c r="B137" s="50">
        <f>'Расчет субсидий'!AT137</f>
        <v>-19.76363636363638</v>
      </c>
      <c r="C137" s="52">
        <f>'Расчет субсидий'!D137-1</f>
        <v>-5.9554140127388466E-2</v>
      </c>
      <c r="D137" s="52">
        <f>C137*'Расчет субсидий'!E137</f>
        <v>-0.29777070063694233</v>
      </c>
      <c r="E137" s="53">
        <f t="shared" si="25"/>
        <v>-1.2046198065023725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2">
        <f>'Расчет субсидий'!P137-1</f>
        <v>-4.2700156985871374E-2</v>
      </c>
      <c r="M137" s="52">
        <f>L137*'Расчет субсидий'!Q137</f>
        <v>-0.85400313971742747</v>
      </c>
      <c r="N137" s="53">
        <f t="shared" si="26"/>
        <v>-3.4548365393851528</v>
      </c>
      <c r="O137" s="27" t="s">
        <v>365</v>
      </c>
      <c r="P137" s="27" t="s">
        <v>365</v>
      </c>
      <c r="Q137" s="27" t="s">
        <v>365</v>
      </c>
      <c r="R137" s="58">
        <f>'Расчет субсидий'!X137-1</f>
        <v>-0.77252873563218394</v>
      </c>
      <c r="S137" s="58">
        <f>R137*'Расчет субсидий'!Y137</f>
        <v>-3.8626436781609197</v>
      </c>
      <c r="T137" s="53">
        <f t="shared" si="27"/>
        <v>-15.626175007214773</v>
      </c>
      <c r="U137" s="52">
        <f>'Расчет субсидий'!AB137-1</f>
        <v>6.4516129032257119E-3</v>
      </c>
      <c r="V137" s="52">
        <f>U137*'Расчет субсидий'!AC137</f>
        <v>0.12903225806451424</v>
      </c>
      <c r="W137" s="53">
        <f t="shared" si="28"/>
        <v>0.52199498946591671</v>
      </c>
      <c r="X137" s="27" t="s">
        <v>365</v>
      </c>
      <c r="Y137" s="27" t="s">
        <v>365</v>
      </c>
      <c r="Z137" s="27" t="s">
        <v>365</v>
      </c>
      <c r="AA137" s="27" t="s">
        <v>365</v>
      </c>
      <c r="AB137" s="27" t="s">
        <v>365</v>
      </c>
      <c r="AC137" s="27" t="s">
        <v>365</v>
      </c>
      <c r="AD137" s="27" t="s">
        <v>365</v>
      </c>
      <c r="AE137" s="27" t="s">
        <v>365</v>
      </c>
      <c r="AF137" s="27" t="s">
        <v>365</v>
      </c>
      <c r="AG137" s="52">
        <f t="shared" si="29"/>
        <v>-4.885385260450775</v>
      </c>
      <c r="AH137" s="80"/>
    </row>
    <row r="138" spans="1:34" ht="15" customHeight="1">
      <c r="A138" s="32" t="s">
        <v>125</v>
      </c>
      <c r="B138" s="54"/>
      <c r="C138" s="55"/>
      <c r="D138" s="55"/>
      <c r="E138" s="56"/>
      <c r="F138" s="55"/>
      <c r="G138" s="55"/>
      <c r="H138" s="56"/>
      <c r="I138" s="56"/>
      <c r="J138" s="56"/>
      <c r="K138" s="56"/>
      <c r="L138" s="55"/>
      <c r="M138" s="55"/>
      <c r="N138" s="56"/>
      <c r="O138" s="55"/>
      <c r="P138" s="55"/>
      <c r="Q138" s="56"/>
      <c r="R138" s="56"/>
      <c r="S138" s="56"/>
      <c r="T138" s="56"/>
      <c r="U138" s="56"/>
      <c r="V138" s="56"/>
      <c r="W138" s="56"/>
      <c r="X138" s="27"/>
      <c r="Y138" s="27"/>
      <c r="Z138" s="27"/>
      <c r="AA138" s="27"/>
      <c r="AB138" s="27"/>
      <c r="AC138" s="27"/>
      <c r="AD138" s="27"/>
      <c r="AE138" s="27"/>
      <c r="AF138" s="27"/>
      <c r="AG138" s="56"/>
      <c r="AH138" s="80"/>
    </row>
    <row r="139" spans="1:34" ht="15" customHeight="1">
      <c r="A139" s="33" t="s">
        <v>126</v>
      </c>
      <c r="B139" s="50">
        <f>'Расчет субсидий'!AT139</f>
        <v>-15.272727272727252</v>
      </c>
      <c r="C139" s="52">
        <f>'Расчет субсидий'!D139-1</f>
        <v>-5.9980171844018493E-2</v>
      </c>
      <c r="D139" s="52">
        <f>C139*'Расчет субсидий'!E139</f>
        <v>-0.29990085922009246</v>
      </c>
      <c r="E139" s="53">
        <f t="shared" si="25"/>
        <v>-1.6971862679316752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2">
        <f>'Расчет субсидий'!P139-1</f>
        <v>-0.10917524606855977</v>
      </c>
      <c r="M139" s="52">
        <f>L139*'Расчет субсидий'!Q139</f>
        <v>-2.1835049213711955</v>
      </c>
      <c r="N139" s="53">
        <f t="shared" si="26"/>
        <v>-12.356798770599012</v>
      </c>
      <c r="O139" s="27" t="s">
        <v>365</v>
      </c>
      <c r="P139" s="27" t="s">
        <v>365</v>
      </c>
      <c r="Q139" s="27" t="s">
        <v>365</v>
      </c>
      <c r="R139" s="58">
        <f>'Расчет субсидий'!X139-1</f>
        <v>-4.3071506069724985E-2</v>
      </c>
      <c r="S139" s="58">
        <f>R139*'Расчет субсидий'!Y139</f>
        <v>-0.21535753034862493</v>
      </c>
      <c r="T139" s="53">
        <f t="shared" si="27"/>
        <v>-1.2187422341965657</v>
      </c>
      <c r="U139" s="52">
        <f>'Расчет субсидий'!AB139-1</f>
        <v>0</v>
      </c>
      <c r="V139" s="52">
        <f>U139*'Расчет субсидий'!AC139</f>
        <v>0</v>
      </c>
      <c r="W139" s="53">
        <f t="shared" si="28"/>
        <v>0</v>
      </c>
      <c r="X139" s="27" t="s">
        <v>365</v>
      </c>
      <c r="Y139" s="27" t="s">
        <v>365</v>
      </c>
      <c r="Z139" s="27" t="s">
        <v>365</v>
      </c>
      <c r="AA139" s="27" t="s">
        <v>365</v>
      </c>
      <c r="AB139" s="27" t="s">
        <v>365</v>
      </c>
      <c r="AC139" s="27" t="s">
        <v>365</v>
      </c>
      <c r="AD139" s="27" t="s">
        <v>365</v>
      </c>
      <c r="AE139" s="27" t="s">
        <v>365</v>
      </c>
      <c r="AF139" s="27" t="s">
        <v>365</v>
      </c>
      <c r="AG139" s="52">
        <f t="shared" si="29"/>
        <v>-2.698763310939913</v>
      </c>
      <c r="AH139" s="80"/>
    </row>
    <row r="140" spans="1:34" ht="15" customHeight="1">
      <c r="A140" s="33" t="s">
        <v>127</v>
      </c>
      <c r="B140" s="50">
        <f>'Расчет субсидий'!AT140</f>
        <v>-53.963636363636397</v>
      </c>
      <c r="C140" s="52">
        <f>'Расчет субсидий'!D140-1</f>
        <v>-1</v>
      </c>
      <c r="D140" s="52">
        <f>C140*'Расчет субсидий'!E140</f>
        <v>0</v>
      </c>
      <c r="E140" s="53">
        <f t="shared" si="25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2">
        <f>'Расчет субсидий'!P140-1</f>
        <v>-0.23532174729920152</v>
      </c>
      <c r="M140" s="52">
        <f>L140*'Расчет субсидий'!Q140</f>
        <v>-4.7064349459840304</v>
      </c>
      <c r="N140" s="53">
        <f t="shared" si="26"/>
        <v>-38.746291550908744</v>
      </c>
      <c r="O140" s="27" t="s">
        <v>365</v>
      </c>
      <c r="P140" s="27" t="s">
        <v>365</v>
      </c>
      <c r="Q140" s="27" t="s">
        <v>365</v>
      </c>
      <c r="R140" s="58">
        <f>'Расчет субсидий'!X140-1</f>
        <v>-0.43433058431303739</v>
      </c>
      <c r="S140" s="58">
        <f>R140*'Расчет субсидий'!Y140</f>
        <v>-2.1716529215651867</v>
      </c>
      <c r="T140" s="53">
        <f t="shared" si="27"/>
        <v>-17.87839377619499</v>
      </c>
      <c r="U140" s="52">
        <f>'Расчет субсидий'!AB140-1</f>
        <v>1.6161616161616266E-2</v>
      </c>
      <c r="V140" s="52">
        <f>U140*'Расчет субсидий'!AC140</f>
        <v>0.32323232323232531</v>
      </c>
      <c r="W140" s="53">
        <f t="shared" si="28"/>
        <v>2.6610489634673358</v>
      </c>
      <c r="X140" s="27" t="s">
        <v>365</v>
      </c>
      <c r="Y140" s="27" t="s">
        <v>365</v>
      </c>
      <c r="Z140" s="27" t="s">
        <v>365</v>
      </c>
      <c r="AA140" s="27" t="s">
        <v>365</v>
      </c>
      <c r="AB140" s="27" t="s">
        <v>365</v>
      </c>
      <c r="AC140" s="27" t="s">
        <v>365</v>
      </c>
      <c r="AD140" s="27" t="s">
        <v>365</v>
      </c>
      <c r="AE140" s="27" t="s">
        <v>365</v>
      </c>
      <c r="AF140" s="27" t="s">
        <v>365</v>
      </c>
      <c r="AG140" s="52">
        <f t="shared" si="29"/>
        <v>-6.5548555443168919</v>
      </c>
      <c r="AH140" s="80"/>
    </row>
    <row r="141" spans="1:34" ht="15" customHeight="1">
      <c r="A141" s="33" t="s">
        <v>128</v>
      </c>
      <c r="B141" s="50">
        <f>'Расчет субсидий'!AT141</f>
        <v>-36</v>
      </c>
      <c r="C141" s="52">
        <f>'Расчет субсидий'!D141-1</f>
        <v>1.4210687022900848E-2</v>
      </c>
      <c r="D141" s="52">
        <f>C141*'Расчет субсидий'!E141</f>
        <v>7.1053435114504238E-2</v>
      </c>
      <c r="E141" s="53">
        <f t="shared" si="25"/>
        <v>0.64326368739029138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2">
        <f>'Расчет субсидий'!P141-1</f>
        <v>-0.27365728900255748</v>
      </c>
      <c r="M141" s="52">
        <f>L141*'Расчет субсидий'!Q141</f>
        <v>-5.4731457800511496</v>
      </c>
      <c r="N141" s="53">
        <f t="shared" si="26"/>
        <v>-49.549693557062589</v>
      </c>
      <c r="O141" s="27" t="s">
        <v>365</v>
      </c>
      <c r="P141" s="27" t="s">
        <v>365</v>
      </c>
      <c r="Q141" s="27" t="s">
        <v>365</v>
      </c>
      <c r="R141" s="58">
        <f>'Расчет субсидий'!X141-1</f>
        <v>0.10994046091733134</v>
      </c>
      <c r="S141" s="58">
        <f>R141*'Расчет субсидий'!Y141</f>
        <v>0.5497023045866567</v>
      </c>
      <c r="T141" s="53">
        <f t="shared" si="27"/>
        <v>4.9765860136883413</v>
      </c>
      <c r="U141" s="52">
        <f>'Расчет субсидий'!AB141-1</f>
        <v>4.3795620437956151E-2</v>
      </c>
      <c r="V141" s="52">
        <f>U141*'Расчет субсидий'!AC141</f>
        <v>0.87591240875912302</v>
      </c>
      <c r="W141" s="53">
        <f t="shared" si="28"/>
        <v>7.9298438559839495</v>
      </c>
      <c r="X141" s="27" t="s">
        <v>365</v>
      </c>
      <c r="Y141" s="27" t="s">
        <v>365</v>
      </c>
      <c r="Z141" s="27" t="s">
        <v>365</v>
      </c>
      <c r="AA141" s="27" t="s">
        <v>365</v>
      </c>
      <c r="AB141" s="27" t="s">
        <v>365</v>
      </c>
      <c r="AC141" s="27" t="s">
        <v>365</v>
      </c>
      <c r="AD141" s="27" t="s">
        <v>365</v>
      </c>
      <c r="AE141" s="27" t="s">
        <v>365</v>
      </c>
      <c r="AF141" s="27" t="s">
        <v>365</v>
      </c>
      <c r="AG141" s="52">
        <f t="shared" si="29"/>
        <v>-3.976477631590865</v>
      </c>
      <c r="AH141" s="80"/>
    </row>
    <row r="142" spans="1:34" ht="15" customHeight="1">
      <c r="A142" s="33" t="s">
        <v>129</v>
      </c>
      <c r="B142" s="50">
        <f>'Расчет субсидий'!AT142</f>
        <v>-52.063636363636363</v>
      </c>
      <c r="C142" s="52">
        <f>'Расчет субсидий'!D142-1</f>
        <v>-1</v>
      </c>
      <c r="D142" s="52">
        <f>C142*'Расчет субсидий'!E142</f>
        <v>0</v>
      </c>
      <c r="E142" s="53">
        <f t="shared" si="25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2">
        <f>'Расчет субсидий'!P142-1</f>
        <v>-0.30383784339952669</v>
      </c>
      <c r="M142" s="52">
        <f>L142*'Расчет субсидий'!Q142</f>
        <v>-6.0767568679905342</v>
      </c>
      <c r="N142" s="53">
        <f t="shared" si="26"/>
        <v>-49.569770512177833</v>
      </c>
      <c r="O142" s="27" t="s">
        <v>365</v>
      </c>
      <c r="P142" s="27" t="s">
        <v>365</v>
      </c>
      <c r="Q142" s="27" t="s">
        <v>365</v>
      </c>
      <c r="R142" s="58">
        <f>'Расчет субсидий'!X142-1</f>
        <v>-6.1144589874486677E-2</v>
      </c>
      <c r="S142" s="58">
        <f>R142*'Расчет субсидий'!Y142</f>
        <v>-0.30572294937243338</v>
      </c>
      <c r="T142" s="53">
        <f t="shared" si="27"/>
        <v>-2.4938658514585299</v>
      </c>
      <c r="U142" s="52">
        <f>'Расчет субсидий'!AB142-1</f>
        <v>0</v>
      </c>
      <c r="V142" s="52">
        <f>U142*'Расчет субсидий'!AC142</f>
        <v>0</v>
      </c>
      <c r="W142" s="53">
        <f t="shared" si="28"/>
        <v>0</v>
      </c>
      <c r="X142" s="27" t="s">
        <v>365</v>
      </c>
      <c r="Y142" s="27" t="s">
        <v>365</v>
      </c>
      <c r="Z142" s="27" t="s">
        <v>365</v>
      </c>
      <c r="AA142" s="27" t="s">
        <v>365</v>
      </c>
      <c r="AB142" s="27" t="s">
        <v>365</v>
      </c>
      <c r="AC142" s="27" t="s">
        <v>365</v>
      </c>
      <c r="AD142" s="27" t="s">
        <v>365</v>
      </c>
      <c r="AE142" s="27" t="s">
        <v>365</v>
      </c>
      <c r="AF142" s="27" t="s">
        <v>365</v>
      </c>
      <c r="AG142" s="52">
        <f t="shared" si="29"/>
        <v>-6.3824798173629675</v>
      </c>
      <c r="AH142" s="80"/>
    </row>
    <row r="143" spans="1:34" ht="15" customHeight="1">
      <c r="A143" s="33" t="s">
        <v>130</v>
      </c>
      <c r="B143" s="50">
        <f>'Расчет субсидий'!AT143</f>
        <v>22.472727272727298</v>
      </c>
      <c r="C143" s="52">
        <f>'Расчет субсидий'!D143-1</f>
        <v>-1</v>
      </c>
      <c r="D143" s="52">
        <f>C143*'Расчет субсидий'!E143</f>
        <v>0</v>
      </c>
      <c r="E143" s="53">
        <f t="shared" si="25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2">
        <f>'Расчет субсидий'!P143-1</f>
        <v>7.0327552986512609E-2</v>
      </c>
      <c r="M143" s="52">
        <f>L143*'Расчет субсидий'!Q143</f>
        <v>1.4065510597302522</v>
      </c>
      <c r="N143" s="53">
        <f t="shared" si="26"/>
        <v>16.756736549701376</v>
      </c>
      <c r="O143" s="27" t="s">
        <v>365</v>
      </c>
      <c r="P143" s="27" t="s">
        <v>365</v>
      </c>
      <c r="Q143" s="27" t="s">
        <v>365</v>
      </c>
      <c r="R143" s="58">
        <f>'Расчет субсидий'!X143-1</f>
        <v>-0.1591130532345213</v>
      </c>
      <c r="S143" s="58">
        <f>R143*'Расчет субсидий'!Y143</f>
        <v>-0.79556526617260648</v>
      </c>
      <c r="T143" s="53">
        <f t="shared" si="27"/>
        <v>-9.4778483021469899</v>
      </c>
      <c r="U143" s="52">
        <f>'Расчет субсидий'!AB143-1</f>
        <v>6.3768115942028913E-2</v>
      </c>
      <c r="V143" s="52">
        <f>U143*'Расчет субсидий'!AC143</f>
        <v>1.2753623188405783</v>
      </c>
      <c r="W143" s="53">
        <f t="shared" si="28"/>
        <v>15.19383902517291</v>
      </c>
      <c r="X143" s="27" t="s">
        <v>365</v>
      </c>
      <c r="Y143" s="27" t="s">
        <v>365</v>
      </c>
      <c r="Z143" s="27" t="s">
        <v>365</v>
      </c>
      <c r="AA143" s="27" t="s">
        <v>365</v>
      </c>
      <c r="AB143" s="27" t="s">
        <v>365</v>
      </c>
      <c r="AC143" s="27" t="s">
        <v>365</v>
      </c>
      <c r="AD143" s="27" t="s">
        <v>365</v>
      </c>
      <c r="AE143" s="27" t="s">
        <v>365</v>
      </c>
      <c r="AF143" s="27" t="s">
        <v>365</v>
      </c>
      <c r="AG143" s="52">
        <f t="shared" si="29"/>
        <v>1.886348112398224</v>
      </c>
      <c r="AH143" s="80"/>
    </row>
    <row r="144" spans="1:34" ht="15" customHeight="1">
      <c r="A144" s="33" t="s">
        <v>131</v>
      </c>
      <c r="B144" s="50">
        <f>'Расчет субсидий'!AT144</f>
        <v>0.52727272727273089</v>
      </c>
      <c r="C144" s="52">
        <f>'Расчет субсидий'!D144-1</f>
        <v>0.2258555133079847</v>
      </c>
      <c r="D144" s="52">
        <f>C144*'Расчет субсидий'!E144</f>
        <v>1.1292775665399235</v>
      </c>
      <c r="E144" s="53">
        <f t="shared" si="25"/>
        <v>5.0544454079861731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2">
        <f>'Расчет субсидий'!P144-1</f>
        <v>-4.8906365200294899E-2</v>
      </c>
      <c r="M144" s="52">
        <f>L144*'Расчет субсидий'!Q144</f>
        <v>-0.97812730400589798</v>
      </c>
      <c r="N144" s="53">
        <f t="shared" si="26"/>
        <v>-4.3779237334063561</v>
      </c>
      <c r="O144" s="27" t="s">
        <v>365</v>
      </c>
      <c r="P144" s="27" t="s">
        <v>365</v>
      </c>
      <c r="Q144" s="27" t="s">
        <v>365</v>
      </c>
      <c r="R144" s="58">
        <f>'Расчет субсидий'!X144-1</f>
        <v>-6.6691189406176132E-3</v>
      </c>
      <c r="S144" s="58">
        <f>R144*'Расчет субсидий'!Y144</f>
        <v>-3.3345594703088066E-2</v>
      </c>
      <c r="T144" s="53">
        <f t="shared" si="27"/>
        <v>-0.14924894730708618</v>
      </c>
      <c r="U144" s="52">
        <f>'Расчет субсидий'!AB144-1</f>
        <v>0</v>
      </c>
      <c r="V144" s="52">
        <f>U144*'Расчет субсидий'!AC144</f>
        <v>0</v>
      </c>
      <c r="W144" s="53">
        <f t="shared" si="28"/>
        <v>0</v>
      </c>
      <c r="X144" s="27" t="s">
        <v>365</v>
      </c>
      <c r="Y144" s="27" t="s">
        <v>365</v>
      </c>
      <c r="Z144" s="27" t="s">
        <v>365</v>
      </c>
      <c r="AA144" s="27" t="s">
        <v>365</v>
      </c>
      <c r="AB144" s="27" t="s">
        <v>365</v>
      </c>
      <c r="AC144" s="27" t="s">
        <v>365</v>
      </c>
      <c r="AD144" s="27" t="s">
        <v>365</v>
      </c>
      <c r="AE144" s="27" t="s">
        <v>365</v>
      </c>
      <c r="AF144" s="27" t="s">
        <v>365</v>
      </c>
      <c r="AG144" s="52">
        <f t="shared" si="29"/>
        <v>0.11780466783093746</v>
      </c>
      <c r="AH144" s="80"/>
    </row>
    <row r="145" spans="1:34" ht="15" customHeight="1">
      <c r="A145" s="33" t="s">
        <v>132</v>
      </c>
      <c r="B145" s="50">
        <f>'Расчет субсидий'!AT145</f>
        <v>-21.518181818181802</v>
      </c>
      <c r="C145" s="52">
        <f>'Расчет субсидий'!D145-1</f>
        <v>-1</v>
      </c>
      <c r="D145" s="52">
        <f>C145*'Расчет субсидий'!E145</f>
        <v>0</v>
      </c>
      <c r="E145" s="53">
        <f t="shared" si="25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2">
        <f>'Расчет субсидий'!P145-1</f>
        <v>-9.4302385447056825E-2</v>
      </c>
      <c r="M145" s="52">
        <f>L145*'Расчет субсидий'!Q145</f>
        <v>-1.8860477089411365</v>
      </c>
      <c r="N145" s="53">
        <f t="shared" si="26"/>
        <v>-15.089438320630183</v>
      </c>
      <c r="O145" s="27" t="s">
        <v>365</v>
      </c>
      <c r="P145" s="27" t="s">
        <v>365</v>
      </c>
      <c r="Q145" s="27" t="s">
        <v>365</v>
      </c>
      <c r="R145" s="58">
        <f>'Расчет субсидий'!X145-1</f>
        <v>-7.5276364274434071E-2</v>
      </c>
      <c r="S145" s="58">
        <f>R145*'Расчет субсидий'!Y145</f>
        <v>-0.37638182137217036</v>
      </c>
      <c r="T145" s="53">
        <f t="shared" si="27"/>
        <v>-3.011265437071224</v>
      </c>
      <c r="U145" s="52">
        <f>'Расчет субсидий'!AB145-1</f>
        <v>-2.1357742181540851E-2</v>
      </c>
      <c r="V145" s="52">
        <f>U145*'Расчет субсидий'!AC145</f>
        <v>-0.42715484363081702</v>
      </c>
      <c r="W145" s="53">
        <f t="shared" si="28"/>
        <v>-3.4174780604803927</v>
      </c>
      <c r="X145" s="27" t="s">
        <v>365</v>
      </c>
      <c r="Y145" s="27" t="s">
        <v>365</v>
      </c>
      <c r="Z145" s="27" t="s">
        <v>365</v>
      </c>
      <c r="AA145" s="27" t="s">
        <v>365</v>
      </c>
      <c r="AB145" s="27" t="s">
        <v>365</v>
      </c>
      <c r="AC145" s="27" t="s">
        <v>365</v>
      </c>
      <c r="AD145" s="27" t="s">
        <v>365</v>
      </c>
      <c r="AE145" s="27" t="s">
        <v>365</v>
      </c>
      <c r="AF145" s="27" t="s">
        <v>365</v>
      </c>
      <c r="AG145" s="52">
        <f t="shared" si="29"/>
        <v>-2.6895843739441241</v>
      </c>
      <c r="AH145" s="80"/>
    </row>
    <row r="146" spans="1:34" ht="15" customHeight="1">
      <c r="A146" s="33" t="s">
        <v>133</v>
      </c>
      <c r="B146" s="50">
        <f>'Расчет субсидий'!AT146</f>
        <v>4.2727272727272521</v>
      </c>
      <c r="C146" s="52">
        <f>'Расчет субсидий'!D146-1</f>
        <v>-1</v>
      </c>
      <c r="D146" s="52">
        <f>C146*'Расчет субсидий'!E146</f>
        <v>0</v>
      </c>
      <c r="E146" s="53">
        <f t="shared" si="25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2">
        <f>'Расчет субсидий'!P146-1</f>
        <v>3.130792996910392E-2</v>
      </c>
      <c r="M146" s="52">
        <f>L146*'Расчет субсидий'!Q146</f>
        <v>0.62615859938207841</v>
      </c>
      <c r="N146" s="53">
        <f t="shared" si="26"/>
        <v>4.0638651668956109</v>
      </c>
      <c r="O146" s="27" t="s">
        <v>365</v>
      </c>
      <c r="P146" s="27" t="s">
        <v>365</v>
      </c>
      <c r="Q146" s="27" t="s">
        <v>365</v>
      </c>
      <c r="R146" s="58">
        <f>'Расчет субсидий'!X146-1</f>
        <v>-6.5635795361079108E-2</v>
      </c>
      <c r="S146" s="58">
        <f>R146*'Расчет субсидий'!Y146</f>
        <v>-0.32817897680539554</v>
      </c>
      <c r="T146" s="53">
        <f t="shared" si="27"/>
        <v>-2.1299317994882134</v>
      </c>
      <c r="U146" s="52">
        <f>'Расчет субсидий'!AB146-1</f>
        <v>1.8018018018018056E-2</v>
      </c>
      <c r="V146" s="52">
        <f>U146*'Расчет субсидий'!AC146</f>
        <v>0.36036036036036112</v>
      </c>
      <c r="W146" s="53">
        <f t="shared" si="28"/>
        <v>2.3387939053198545</v>
      </c>
      <c r="X146" s="27" t="s">
        <v>365</v>
      </c>
      <c r="Y146" s="27" t="s">
        <v>365</v>
      </c>
      <c r="Z146" s="27" t="s">
        <v>365</v>
      </c>
      <c r="AA146" s="27" t="s">
        <v>365</v>
      </c>
      <c r="AB146" s="27" t="s">
        <v>365</v>
      </c>
      <c r="AC146" s="27" t="s">
        <v>365</v>
      </c>
      <c r="AD146" s="27" t="s">
        <v>365</v>
      </c>
      <c r="AE146" s="27" t="s">
        <v>365</v>
      </c>
      <c r="AF146" s="27" t="s">
        <v>365</v>
      </c>
      <c r="AG146" s="52">
        <f t="shared" si="29"/>
        <v>0.65833998293704399</v>
      </c>
      <c r="AH146" s="80"/>
    </row>
    <row r="147" spans="1:34" ht="15" customHeight="1">
      <c r="A147" s="32" t="s">
        <v>134</v>
      </c>
      <c r="B147" s="54"/>
      <c r="C147" s="55"/>
      <c r="D147" s="55"/>
      <c r="E147" s="56"/>
      <c r="F147" s="55"/>
      <c r="G147" s="55"/>
      <c r="H147" s="56"/>
      <c r="I147" s="56"/>
      <c r="J147" s="56"/>
      <c r="K147" s="56"/>
      <c r="L147" s="55"/>
      <c r="M147" s="55"/>
      <c r="N147" s="56"/>
      <c r="O147" s="55"/>
      <c r="P147" s="55"/>
      <c r="Q147" s="56"/>
      <c r="R147" s="56"/>
      <c r="S147" s="56"/>
      <c r="T147" s="56"/>
      <c r="U147" s="56"/>
      <c r="V147" s="56"/>
      <c r="W147" s="56"/>
      <c r="X147" s="27"/>
      <c r="Y147" s="27"/>
      <c r="Z147" s="27"/>
      <c r="AA147" s="27"/>
      <c r="AB147" s="27"/>
      <c r="AC147" s="27"/>
      <c r="AD147" s="27"/>
      <c r="AE147" s="27"/>
      <c r="AF147" s="27"/>
      <c r="AG147" s="56"/>
      <c r="AH147" s="80"/>
    </row>
    <row r="148" spans="1:34" ht="15" customHeight="1">
      <c r="A148" s="33" t="s">
        <v>135</v>
      </c>
      <c r="B148" s="50">
        <f>'Расчет субсидий'!AT148</f>
        <v>-37.536363636363632</v>
      </c>
      <c r="C148" s="52">
        <f>'Расчет субсидий'!D148-1</f>
        <v>-1</v>
      </c>
      <c r="D148" s="52">
        <f>C148*'Расчет субсидий'!E148</f>
        <v>0</v>
      </c>
      <c r="E148" s="53">
        <f t="shared" si="25"/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2">
        <f>'Расчет субсидий'!P148-1</f>
        <v>-0.35326335006846188</v>
      </c>
      <c r="M148" s="52">
        <f>L148*'Расчет субсидий'!Q148</f>
        <v>-7.0652670013692376</v>
      </c>
      <c r="N148" s="53">
        <f t="shared" si="26"/>
        <v>-36.521794328216387</v>
      </c>
      <c r="O148" s="27" t="s">
        <v>365</v>
      </c>
      <c r="P148" s="27" t="s">
        <v>365</v>
      </c>
      <c r="Q148" s="27" t="s">
        <v>365</v>
      </c>
      <c r="R148" s="58">
        <f>'Расчет субсидий'!X148-1</f>
        <v>-3.9254385964912264E-2</v>
      </c>
      <c r="S148" s="58">
        <f>R148*'Расчет субсидий'!Y148</f>
        <v>-0.19627192982456132</v>
      </c>
      <c r="T148" s="53">
        <f t="shared" si="27"/>
        <v>-1.0145693081472449</v>
      </c>
      <c r="U148" s="52">
        <f>'Расчет субсидий'!AB148-1</f>
        <v>0</v>
      </c>
      <c r="V148" s="52">
        <f>U148*'Расчет субсидий'!AC148</f>
        <v>0</v>
      </c>
      <c r="W148" s="53">
        <f t="shared" si="28"/>
        <v>0</v>
      </c>
      <c r="X148" s="27" t="s">
        <v>365</v>
      </c>
      <c r="Y148" s="27" t="s">
        <v>365</v>
      </c>
      <c r="Z148" s="27" t="s">
        <v>365</v>
      </c>
      <c r="AA148" s="27" t="s">
        <v>365</v>
      </c>
      <c r="AB148" s="27" t="s">
        <v>365</v>
      </c>
      <c r="AC148" s="27" t="s">
        <v>365</v>
      </c>
      <c r="AD148" s="27" t="s">
        <v>365</v>
      </c>
      <c r="AE148" s="27" t="s">
        <v>365</v>
      </c>
      <c r="AF148" s="27" t="s">
        <v>365</v>
      </c>
      <c r="AG148" s="52">
        <f t="shared" si="29"/>
        <v>-7.2615389311937992</v>
      </c>
      <c r="AH148" s="80"/>
    </row>
    <row r="149" spans="1:34" ht="15" customHeight="1">
      <c r="A149" s="33" t="s">
        <v>136</v>
      </c>
      <c r="B149" s="50">
        <f>'Расчет субсидий'!AT149</f>
        <v>32.25454545454545</v>
      </c>
      <c r="C149" s="52">
        <f>'Расчет субсидий'!D149-1</f>
        <v>-1</v>
      </c>
      <c r="D149" s="52">
        <f>C149*'Расчет субсидий'!E149</f>
        <v>0</v>
      </c>
      <c r="E149" s="53">
        <f t="shared" si="25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2">
        <f>'Расчет субсидий'!P149-1</f>
        <v>0.22364723467862468</v>
      </c>
      <c r="M149" s="52">
        <f>L149*'Расчет субсидий'!Q149</f>
        <v>4.4729446935724937</v>
      </c>
      <c r="N149" s="53">
        <f t="shared" si="26"/>
        <v>33.73323217134898</v>
      </c>
      <c r="O149" s="27" t="s">
        <v>365</v>
      </c>
      <c r="P149" s="27" t="s">
        <v>365</v>
      </c>
      <c r="Q149" s="27" t="s">
        <v>365</v>
      </c>
      <c r="R149" s="58">
        <f>'Расчет субсидий'!X149-1</f>
        <v>-3.9214053784031311E-2</v>
      </c>
      <c r="S149" s="58">
        <f>R149*'Расчет субсидий'!Y149</f>
        <v>-0.19607026892015655</v>
      </c>
      <c r="T149" s="53">
        <f t="shared" si="27"/>
        <v>-1.4786867168035271</v>
      </c>
      <c r="U149" s="52">
        <f>'Расчет субсидий'!AB149-1</f>
        <v>0</v>
      </c>
      <c r="V149" s="52">
        <f>U149*'Расчет субсидий'!AC149</f>
        <v>0</v>
      </c>
      <c r="W149" s="53">
        <f t="shared" si="28"/>
        <v>0</v>
      </c>
      <c r="X149" s="27" t="s">
        <v>365</v>
      </c>
      <c r="Y149" s="27" t="s">
        <v>365</v>
      </c>
      <c r="Z149" s="27" t="s">
        <v>365</v>
      </c>
      <c r="AA149" s="27" t="s">
        <v>365</v>
      </c>
      <c r="AB149" s="27" t="s">
        <v>365</v>
      </c>
      <c r="AC149" s="27" t="s">
        <v>365</v>
      </c>
      <c r="AD149" s="27" t="s">
        <v>365</v>
      </c>
      <c r="AE149" s="27" t="s">
        <v>365</v>
      </c>
      <c r="AF149" s="27" t="s">
        <v>365</v>
      </c>
      <c r="AG149" s="52">
        <f t="shared" si="29"/>
        <v>4.2768744246523376</v>
      </c>
      <c r="AH149" s="80"/>
    </row>
    <row r="150" spans="1:34" ht="15" customHeight="1">
      <c r="A150" s="33" t="s">
        <v>137</v>
      </c>
      <c r="B150" s="50">
        <f>'Расчет субсидий'!AT150</f>
        <v>-61.163636363636385</v>
      </c>
      <c r="C150" s="52">
        <f>'Расчет субсидий'!D150-1</f>
        <v>-1</v>
      </c>
      <c r="D150" s="52">
        <f>C150*'Расчет субсидий'!E150</f>
        <v>0</v>
      </c>
      <c r="E150" s="53">
        <f t="shared" si="25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2">
        <f>'Расчет субсидий'!P150-1</f>
        <v>-0.28192090395480229</v>
      </c>
      <c r="M150" s="52">
        <f>L150*'Расчет субсидий'!Q150</f>
        <v>-5.6384180790960459</v>
      </c>
      <c r="N150" s="53">
        <f t="shared" si="26"/>
        <v>-59.150101152950661</v>
      </c>
      <c r="O150" s="27" t="s">
        <v>365</v>
      </c>
      <c r="P150" s="27" t="s">
        <v>365</v>
      </c>
      <c r="Q150" s="27" t="s">
        <v>365</v>
      </c>
      <c r="R150" s="58">
        <f>'Расчет субсидий'!X150-1</f>
        <v>-3.8387604124191732E-2</v>
      </c>
      <c r="S150" s="58">
        <f>R150*'Расчет субсидий'!Y150</f>
        <v>-0.19193802062095866</v>
      </c>
      <c r="T150" s="53">
        <f t="shared" si="27"/>
        <v>-2.0135352106857209</v>
      </c>
      <c r="U150" s="52">
        <f>'Расчет субсидий'!AB150-1</f>
        <v>0</v>
      </c>
      <c r="V150" s="52">
        <f>U150*'Расчет субсидий'!AC150</f>
        <v>0</v>
      </c>
      <c r="W150" s="53">
        <f t="shared" si="28"/>
        <v>0</v>
      </c>
      <c r="X150" s="27" t="s">
        <v>365</v>
      </c>
      <c r="Y150" s="27" t="s">
        <v>365</v>
      </c>
      <c r="Z150" s="27" t="s">
        <v>365</v>
      </c>
      <c r="AA150" s="27" t="s">
        <v>365</v>
      </c>
      <c r="AB150" s="27" t="s">
        <v>365</v>
      </c>
      <c r="AC150" s="27" t="s">
        <v>365</v>
      </c>
      <c r="AD150" s="27" t="s">
        <v>365</v>
      </c>
      <c r="AE150" s="27" t="s">
        <v>365</v>
      </c>
      <c r="AF150" s="27" t="s">
        <v>365</v>
      </c>
      <c r="AG150" s="52">
        <f t="shared" si="29"/>
        <v>-5.8303560997170045</v>
      </c>
      <c r="AH150" s="80"/>
    </row>
    <row r="151" spans="1:34" ht="15" customHeight="1">
      <c r="A151" s="33" t="s">
        <v>138</v>
      </c>
      <c r="B151" s="50">
        <f>'Расчет субсидий'!AT151</f>
        <v>8.4818181818180847</v>
      </c>
      <c r="C151" s="52">
        <f>'Расчет субсидий'!D151-1</f>
        <v>-8.9005235602094279E-3</v>
      </c>
      <c r="D151" s="52">
        <f>C151*'Расчет субсидий'!E151</f>
        <v>-4.450261780104714E-2</v>
      </c>
      <c r="E151" s="53">
        <f t="shared" si="25"/>
        <v>-0.48223899213908639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2">
        <f>'Расчет субсидий'!P151-1</f>
        <v>3.8458424419075321E-2</v>
      </c>
      <c r="M151" s="52">
        <f>L151*'Расчет субсидий'!Q151</f>
        <v>0.76916848838150642</v>
      </c>
      <c r="N151" s="53">
        <f t="shared" si="26"/>
        <v>8.3348588229233229</v>
      </c>
      <c r="O151" s="27" t="s">
        <v>365</v>
      </c>
      <c r="P151" s="27" t="s">
        <v>365</v>
      </c>
      <c r="Q151" s="27" t="s">
        <v>365</v>
      </c>
      <c r="R151" s="58">
        <f>'Расчет субсидий'!X151-1</f>
        <v>1.1612903225806548E-2</v>
      </c>
      <c r="S151" s="58">
        <f>R151*'Расчет субсидий'!Y151</f>
        <v>5.8064516129032739E-2</v>
      </c>
      <c r="T151" s="53">
        <f t="shared" si="27"/>
        <v>0.62919835103384902</v>
      </c>
      <c r="U151" s="52">
        <f>'Расчет субсидий'!AB151-1</f>
        <v>0</v>
      </c>
      <c r="V151" s="52">
        <f>U151*'Расчет субсидий'!AC151</f>
        <v>0</v>
      </c>
      <c r="W151" s="53">
        <f t="shared" si="28"/>
        <v>0</v>
      </c>
      <c r="X151" s="27" t="s">
        <v>365</v>
      </c>
      <c r="Y151" s="27" t="s">
        <v>365</v>
      </c>
      <c r="Z151" s="27" t="s">
        <v>365</v>
      </c>
      <c r="AA151" s="27" t="s">
        <v>365</v>
      </c>
      <c r="AB151" s="27" t="s">
        <v>365</v>
      </c>
      <c r="AC151" s="27" t="s">
        <v>365</v>
      </c>
      <c r="AD151" s="27" t="s">
        <v>365</v>
      </c>
      <c r="AE151" s="27" t="s">
        <v>365</v>
      </c>
      <c r="AF151" s="27" t="s">
        <v>365</v>
      </c>
      <c r="AG151" s="52">
        <f t="shared" si="29"/>
        <v>0.78273038670949202</v>
      </c>
      <c r="AH151" s="80"/>
    </row>
    <row r="152" spans="1:34" ht="15" customHeight="1">
      <c r="A152" s="33" t="s">
        <v>139</v>
      </c>
      <c r="B152" s="50">
        <f>'Расчет субсидий'!AT152</f>
        <v>0.49090909090908852</v>
      </c>
      <c r="C152" s="52">
        <f>'Расчет субсидий'!D152-1</f>
        <v>2.3041474654377225E-3</v>
      </c>
      <c r="D152" s="52">
        <f>C152*'Расчет субсидий'!E152</f>
        <v>1.1520737327188613E-2</v>
      </c>
      <c r="E152" s="53">
        <f t="shared" si="25"/>
        <v>4.9843536991452733E-3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2">
        <f>'Расчет субсидий'!P152-1</f>
        <v>6.2053698943159041E-2</v>
      </c>
      <c r="M152" s="52">
        <f>L152*'Расчет субсидий'!Q152</f>
        <v>1.2410739788631808</v>
      </c>
      <c r="N152" s="53">
        <f t="shared" si="26"/>
        <v>0.53694060560351187</v>
      </c>
      <c r="O152" s="27" t="s">
        <v>365</v>
      </c>
      <c r="P152" s="27" t="s">
        <v>365</v>
      </c>
      <c r="Q152" s="27" t="s">
        <v>365</v>
      </c>
      <c r="R152" s="58">
        <f>'Расчет субсидий'!X152-1</f>
        <v>-2.3583415413778286E-2</v>
      </c>
      <c r="S152" s="58">
        <f>R152*'Расчет субсидий'!Y152</f>
        <v>-0.11791707706889143</v>
      </c>
      <c r="T152" s="53">
        <f t="shared" si="27"/>
        <v>-5.1015868393568579E-2</v>
      </c>
      <c r="U152" s="52">
        <f>'Расчет субсидий'!AB152-1</f>
        <v>0</v>
      </c>
      <c r="V152" s="52">
        <f>U152*'Расчет субсидий'!AC152</f>
        <v>0</v>
      </c>
      <c r="W152" s="53">
        <f t="shared" si="28"/>
        <v>0</v>
      </c>
      <c r="X152" s="27" t="s">
        <v>365</v>
      </c>
      <c r="Y152" s="27" t="s">
        <v>365</v>
      </c>
      <c r="Z152" s="27" t="s">
        <v>365</v>
      </c>
      <c r="AA152" s="27" t="s">
        <v>365</v>
      </c>
      <c r="AB152" s="27" t="s">
        <v>365</v>
      </c>
      <c r="AC152" s="27" t="s">
        <v>365</v>
      </c>
      <c r="AD152" s="27" t="s">
        <v>365</v>
      </c>
      <c r="AE152" s="27" t="s">
        <v>365</v>
      </c>
      <c r="AF152" s="27" t="s">
        <v>365</v>
      </c>
      <c r="AG152" s="52">
        <f t="shared" si="29"/>
        <v>1.1346776391214779</v>
      </c>
      <c r="AH152" s="80"/>
    </row>
    <row r="153" spans="1:34" ht="15" customHeight="1">
      <c r="A153" s="33" t="s">
        <v>140</v>
      </c>
      <c r="B153" s="50">
        <f>'Расчет субсидий'!AT153</f>
        <v>20.472727272727241</v>
      </c>
      <c r="C153" s="52">
        <f>'Расчет субсидий'!D153-1</f>
        <v>-1</v>
      </c>
      <c r="D153" s="52">
        <f>C153*'Расчет субсидий'!E153</f>
        <v>0</v>
      </c>
      <c r="E153" s="53">
        <f t="shared" si="25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2">
        <f>'Расчет субсидий'!P153-1</f>
        <v>0.16468590831918495</v>
      </c>
      <c r="M153" s="52">
        <f>L153*'Расчет субсидий'!Q153</f>
        <v>3.293718166383699</v>
      </c>
      <c r="N153" s="53">
        <f t="shared" si="26"/>
        <v>21.765305835311189</v>
      </c>
      <c r="O153" s="27" t="s">
        <v>365</v>
      </c>
      <c r="P153" s="27" t="s">
        <v>365</v>
      </c>
      <c r="Q153" s="27" t="s">
        <v>365</v>
      </c>
      <c r="R153" s="58">
        <f>'Расчет субсидий'!X153-1</f>
        <v>-3.9120879120879137E-2</v>
      </c>
      <c r="S153" s="58">
        <f>R153*'Расчет субсидий'!Y153</f>
        <v>-0.19560439560439569</v>
      </c>
      <c r="T153" s="53">
        <f t="shared" si="27"/>
        <v>-1.2925785625839459</v>
      </c>
      <c r="U153" s="52">
        <f>'Расчет субсидий'!AB153-1</f>
        <v>0</v>
      </c>
      <c r="V153" s="52">
        <f>U153*'Расчет субсидий'!AC153</f>
        <v>0</v>
      </c>
      <c r="W153" s="53">
        <f t="shared" si="28"/>
        <v>0</v>
      </c>
      <c r="X153" s="27" t="s">
        <v>365</v>
      </c>
      <c r="Y153" s="27" t="s">
        <v>365</v>
      </c>
      <c r="Z153" s="27" t="s">
        <v>365</v>
      </c>
      <c r="AA153" s="27" t="s">
        <v>365</v>
      </c>
      <c r="AB153" s="27" t="s">
        <v>365</v>
      </c>
      <c r="AC153" s="27" t="s">
        <v>365</v>
      </c>
      <c r="AD153" s="27" t="s">
        <v>365</v>
      </c>
      <c r="AE153" s="27" t="s">
        <v>365</v>
      </c>
      <c r="AF153" s="27" t="s">
        <v>365</v>
      </c>
      <c r="AG153" s="52">
        <f t="shared" si="29"/>
        <v>3.0981137707793032</v>
      </c>
      <c r="AH153" s="80"/>
    </row>
    <row r="154" spans="1:34" ht="15" customHeight="1">
      <c r="A154" s="32" t="s">
        <v>141</v>
      </c>
      <c r="B154" s="54"/>
      <c r="C154" s="55"/>
      <c r="D154" s="55"/>
      <c r="E154" s="56"/>
      <c r="F154" s="55"/>
      <c r="G154" s="55"/>
      <c r="H154" s="56"/>
      <c r="I154" s="56"/>
      <c r="J154" s="56"/>
      <c r="K154" s="56"/>
      <c r="L154" s="55"/>
      <c r="M154" s="55"/>
      <c r="N154" s="56"/>
      <c r="O154" s="55"/>
      <c r="P154" s="55"/>
      <c r="Q154" s="56"/>
      <c r="R154" s="56"/>
      <c r="S154" s="56"/>
      <c r="T154" s="56"/>
      <c r="U154" s="56"/>
      <c r="V154" s="56"/>
      <c r="W154" s="56"/>
      <c r="X154" s="27"/>
      <c r="Y154" s="27"/>
      <c r="Z154" s="27"/>
      <c r="AA154" s="27"/>
      <c r="AB154" s="27"/>
      <c r="AC154" s="27"/>
      <c r="AD154" s="27"/>
      <c r="AE154" s="27"/>
      <c r="AF154" s="27"/>
      <c r="AG154" s="56"/>
      <c r="AH154" s="80"/>
    </row>
    <row r="155" spans="1:34" ht="15" customHeight="1">
      <c r="A155" s="33" t="s">
        <v>142</v>
      </c>
      <c r="B155" s="50">
        <f>'Расчет субсидий'!AT155</f>
        <v>39.718181818181847</v>
      </c>
      <c r="C155" s="52">
        <f>'Расчет субсидий'!D155-1</f>
        <v>5.0029429075927112E-2</v>
      </c>
      <c r="D155" s="52">
        <f>C155*'Расчет субсидий'!E155</f>
        <v>0.25014714537963556</v>
      </c>
      <c r="E155" s="53">
        <f t="shared" si="25"/>
        <v>1.9926795233068633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2">
        <f>'Расчет субсидий'!P155-1</f>
        <v>0.22002728512960434</v>
      </c>
      <c r="M155" s="52">
        <f>L155*'Расчет субсидий'!Q155</f>
        <v>4.4005457025920869</v>
      </c>
      <c r="N155" s="53">
        <f t="shared" si="26"/>
        <v>35.054876599223981</v>
      </c>
      <c r="O155" s="27" t="s">
        <v>365</v>
      </c>
      <c r="P155" s="27" t="s">
        <v>365</v>
      </c>
      <c r="Q155" s="27" t="s">
        <v>365</v>
      </c>
      <c r="R155" s="58">
        <f>'Расчет субсидий'!X155-1</f>
        <v>6.7050359712230279E-2</v>
      </c>
      <c r="S155" s="58">
        <f>R155*'Расчет субсидий'!Y155</f>
        <v>0.33525179856115139</v>
      </c>
      <c r="T155" s="53">
        <f t="shared" si="27"/>
        <v>2.6706256956510104</v>
      </c>
      <c r="U155" s="52">
        <f>'Расчет субсидий'!AB155-1</f>
        <v>0</v>
      </c>
      <c r="V155" s="52">
        <f>U155*'Расчет субсидий'!AC155</f>
        <v>0</v>
      </c>
      <c r="W155" s="53">
        <f t="shared" si="28"/>
        <v>0</v>
      </c>
      <c r="X155" s="27" t="s">
        <v>365</v>
      </c>
      <c r="Y155" s="27" t="s">
        <v>365</v>
      </c>
      <c r="Z155" s="27" t="s">
        <v>365</v>
      </c>
      <c r="AA155" s="27" t="s">
        <v>365</v>
      </c>
      <c r="AB155" s="27" t="s">
        <v>365</v>
      </c>
      <c r="AC155" s="27" t="s">
        <v>365</v>
      </c>
      <c r="AD155" s="27" t="s">
        <v>365</v>
      </c>
      <c r="AE155" s="27" t="s">
        <v>365</v>
      </c>
      <c r="AF155" s="27" t="s">
        <v>365</v>
      </c>
      <c r="AG155" s="52">
        <f t="shared" si="29"/>
        <v>4.9859446465328734</v>
      </c>
      <c r="AH155" s="80"/>
    </row>
    <row r="156" spans="1:34" ht="15" customHeight="1">
      <c r="A156" s="33" t="s">
        <v>143</v>
      </c>
      <c r="B156" s="50">
        <f>'Расчет субсидий'!AT156</f>
        <v>23.027272727272731</v>
      </c>
      <c r="C156" s="52">
        <f>'Расчет субсидий'!D156-1</f>
        <v>9.52380952380949E-3</v>
      </c>
      <c r="D156" s="52">
        <f>C156*'Расчет субсидий'!E156</f>
        <v>4.761904761904745E-2</v>
      </c>
      <c r="E156" s="53">
        <f t="shared" si="25"/>
        <v>0.2055358389253763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2">
        <f>'Расчет субсидий'!P156-1</f>
        <v>0.25680371140617497</v>
      </c>
      <c r="M156" s="52">
        <f>L156*'Расчет субсидий'!Q156</f>
        <v>5.1360742281234995</v>
      </c>
      <c r="N156" s="53">
        <f t="shared" si="26"/>
        <v>22.168593830467806</v>
      </c>
      <c r="O156" s="27" t="s">
        <v>365</v>
      </c>
      <c r="P156" s="27" t="s">
        <v>365</v>
      </c>
      <c r="Q156" s="27" t="s">
        <v>365</v>
      </c>
      <c r="R156" s="58">
        <f>'Расчет субсидий'!X156-1</f>
        <v>3.0264357338195103E-2</v>
      </c>
      <c r="S156" s="58">
        <f>R156*'Расчет субсидий'!Y156</f>
        <v>0.15132178669097551</v>
      </c>
      <c r="T156" s="53">
        <f t="shared" si="27"/>
        <v>0.65314305787954863</v>
      </c>
      <c r="U156" s="52">
        <f>'Расчет субсидий'!AB156-1</f>
        <v>0</v>
      </c>
      <c r="V156" s="52">
        <f>U156*'Расчет субсидий'!AC156</f>
        <v>0</v>
      </c>
      <c r="W156" s="53">
        <f t="shared" si="28"/>
        <v>0</v>
      </c>
      <c r="X156" s="27" t="s">
        <v>365</v>
      </c>
      <c r="Y156" s="27" t="s">
        <v>365</v>
      </c>
      <c r="Z156" s="27" t="s">
        <v>365</v>
      </c>
      <c r="AA156" s="27" t="s">
        <v>365</v>
      </c>
      <c r="AB156" s="27" t="s">
        <v>365</v>
      </c>
      <c r="AC156" s="27" t="s">
        <v>365</v>
      </c>
      <c r="AD156" s="27" t="s">
        <v>365</v>
      </c>
      <c r="AE156" s="27" t="s">
        <v>365</v>
      </c>
      <c r="AF156" s="27" t="s">
        <v>365</v>
      </c>
      <c r="AG156" s="52">
        <f t="shared" si="29"/>
        <v>5.3350150624335226</v>
      </c>
      <c r="AH156" s="80"/>
    </row>
    <row r="157" spans="1:34" ht="15" customHeight="1">
      <c r="A157" s="33" t="s">
        <v>144</v>
      </c>
      <c r="B157" s="50">
        <f>'Расчет субсидий'!AT157</f>
        <v>17.118181818181824</v>
      </c>
      <c r="C157" s="52">
        <f>'Расчет субсидий'!D157-1</f>
        <v>-0.13609766827980641</v>
      </c>
      <c r="D157" s="52">
        <f>C157*'Расчет субсидий'!E157</f>
        <v>-0.68048834139903203</v>
      </c>
      <c r="E157" s="53">
        <f t="shared" si="25"/>
        <v>-8.4916686559931289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2">
        <f>'Расчет субсидий'!P157-1</f>
        <v>2.5289368738450335E-3</v>
      </c>
      <c r="M157" s="52">
        <f>L157*'Расчет субсидий'!Q157</f>
        <v>5.057873747690067E-2</v>
      </c>
      <c r="N157" s="53">
        <f t="shared" si="26"/>
        <v>0.6311612610574453</v>
      </c>
      <c r="O157" s="27" t="s">
        <v>365</v>
      </c>
      <c r="P157" s="27" t="s">
        <v>365</v>
      </c>
      <c r="Q157" s="27" t="s">
        <v>365</v>
      </c>
      <c r="R157" s="58">
        <f>'Расчет субсидий'!X157-1</f>
        <v>5.5075279261777466E-2</v>
      </c>
      <c r="S157" s="58">
        <f>R157*'Расчет субсидий'!Y157</f>
        <v>0.27537639630888733</v>
      </c>
      <c r="T157" s="53">
        <f t="shared" si="27"/>
        <v>3.4363632275153142</v>
      </c>
      <c r="U157" s="52">
        <f>'Расчет субсидий'!AB157-1</f>
        <v>8.6315789473684124E-2</v>
      </c>
      <c r="V157" s="52">
        <f>U157*'Расчет субсидий'!AC157</f>
        <v>1.7263157894736825</v>
      </c>
      <c r="W157" s="53">
        <f t="shared" si="28"/>
        <v>21.542325985602194</v>
      </c>
      <c r="X157" s="27" t="s">
        <v>365</v>
      </c>
      <c r="Y157" s="27" t="s">
        <v>365</v>
      </c>
      <c r="Z157" s="27" t="s">
        <v>365</v>
      </c>
      <c r="AA157" s="27" t="s">
        <v>365</v>
      </c>
      <c r="AB157" s="27" t="s">
        <v>365</v>
      </c>
      <c r="AC157" s="27" t="s">
        <v>365</v>
      </c>
      <c r="AD157" s="27" t="s">
        <v>365</v>
      </c>
      <c r="AE157" s="27" t="s">
        <v>365</v>
      </c>
      <c r="AF157" s="27" t="s">
        <v>365</v>
      </c>
      <c r="AG157" s="52">
        <f t="shared" si="29"/>
        <v>1.3717825818604386</v>
      </c>
      <c r="AH157" s="80"/>
    </row>
    <row r="158" spans="1:34" ht="15" customHeight="1">
      <c r="A158" s="33" t="s">
        <v>145</v>
      </c>
      <c r="B158" s="50">
        <f>'Расчет субсидий'!AT158</f>
        <v>62.554545454545405</v>
      </c>
      <c r="C158" s="52">
        <f>'Расчет субсидий'!D158-1</f>
        <v>2.1285456480479858E-4</v>
      </c>
      <c r="D158" s="52">
        <f>C158*'Расчет субсидий'!E158</f>
        <v>1.0642728240239929E-3</v>
      </c>
      <c r="E158" s="53">
        <f t="shared" si="25"/>
        <v>2.6431858057240736E-2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2">
        <f>'Расчет субсидий'!P158-1</f>
        <v>3.2180675049636065E-2</v>
      </c>
      <c r="M158" s="52">
        <f>L158*'Расчет субсидий'!Q158</f>
        <v>0.6436135009927213</v>
      </c>
      <c r="N158" s="53">
        <f t="shared" si="26"/>
        <v>15.984529829148268</v>
      </c>
      <c r="O158" s="27" t="s">
        <v>365</v>
      </c>
      <c r="P158" s="27" t="s">
        <v>365</v>
      </c>
      <c r="Q158" s="27" t="s">
        <v>365</v>
      </c>
      <c r="R158" s="58">
        <f>'Расчет субсидий'!X158-1</f>
        <v>-2.5186612087647497E-2</v>
      </c>
      <c r="S158" s="58">
        <f>R158*'Расчет субсидий'!Y158</f>
        <v>-0.12593306043823749</v>
      </c>
      <c r="T158" s="53">
        <f t="shared" si="27"/>
        <v>-3.1276235783526607</v>
      </c>
      <c r="U158" s="52">
        <f>'Расчет субсидий'!AB158-1</f>
        <v>0.10000000000000009</v>
      </c>
      <c r="V158" s="52">
        <f>U158*'Расчет субсидий'!AC158</f>
        <v>2.0000000000000018</v>
      </c>
      <c r="W158" s="53">
        <f t="shared" si="28"/>
        <v>49.671207345692558</v>
      </c>
      <c r="X158" s="27" t="s">
        <v>365</v>
      </c>
      <c r="Y158" s="27" t="s">
        <v>365</v>
      </c>
      <c r="Z158" s="27" t="s">
        <v>365</v>
      </c>
      <c r="AA158" s="27" t="s">
        <v>365</v>
      </c>
      <c r="AB158" s="27" t="s">
        <v>365</v>
      </c>
      <c r="AC158" s="27" t="s">
        <v>365</v>
      </c>
      <c r="AD158" s="27" t="s">
        <v>365</v>
      </c>
      <c r="AE158" s="27" t="s">
        <v>365</v>
      </c>
      <c r="AF158" s="27" t="s">
        <v>365</v>
      </c>
      <c r="AG158" s="52">
        <f t="shared" si="29"/>
        <v>2.5187447133785095</v>
      </c>
      <c r="AH158" s="80"/>
    </row>
    <row r="159" spans="1:34" ht="15" customHeight="1">
      <c r="A159" s="33" t="s">
        <v>146</v>
      </c>
      <c r="B159" s="50">
        <f>'Расчет субсидий'!AT159</f>
        <v>-32.790909090909111</v>
      </c>
      <c r="C159" s="52">
        <f>'Расчет субсидий'!D159-1</f>
        <v>8.8602150537634428E-2</v>
      </c>
      <c r="D159" s="52">
        <f>C159*'Расчет субсидий'!E159</f>
        <v>0.44301075268817214</v>
      </c>
      <c r="E159" s="53">
        <f t="shared" si="25"/>
        <v>4.0726886233299382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2">
        <f>'Расчет субсидий'!P159-1</f>
        <v>0.20782169788372662</v>
      </c>
      <c r="M159" s="52">
        <f>L159*'Расчет субсидий'!Q159</f>
        <v>4.1564339576745324</v>
      </c>
      <c r="N159" s="53">
        <f t="shared" si="26"/>
        <v>38.210949035267632</v>
      </c>
      <c r="O159" s="27" t="s">
        <v>365</v>
      </c>
      <c r="P159" s="27" t="s">
        <v>365</v>
      </c>
      <c r="Q159" s="27" t="s">
        <v>365</v>
      </c>
      <c r="R159" s="58">
        <f>'Расчет субсидий'!X159-1</f>
        <v>6.6738312735088678E-2</v>
      </c>
      <c r="S159" s="58">
        <f>R159*'Расчет субсидий'!Y159</f>
        <v>0.33369156367544339</v>
      </c>
      <c r="T159" s="53">
        <f t="shared" si="27"/>
        <v>3.0676949189961289</v>
      </c>
      <c r="U159" s="52">
        <f>'Расчет субсидий'!AB159-1</f>
        <v>-0.42500000000000004</v>
      </c>
      <c r="V159" s="52">
        <f>U159*'Расчет субсидий'!AC159</f>
        <v>-8.5</v>
      </c>
      <c r="W159" s="53">
        <f t="shared" si="28"/>
        <v>-78.142241668502805</v>
      </c>
      <c r="X159" s="27" t="s">
        <v>365</v>
      </c>
      <c r="Y159" s="27" t="s">
        <v>365</v>
      </c>
      <c r="Z159" s="27" t="s">
        <v>365</v>
      </c>
      <c r="AA159" s="27" t="s">
        <v>365</v>
      </c>
      <c r="AB159" s="27" t="s">
        <v>365</v>
      </c>
      <c r="AC159" s="27" t="s">
        <v>365</v>
      </c>
      <c r="AD159" s="27" t="s">
        <v>365</v>
      </c>
      <c r="AE159" s="27" t="s">
        <v>365</v>
      </c>
      <c r="AF159" s="27" t="s">
        <v>365</v>
      </c>
      <c r="AG159" s="52">
        <f t="shared" si="29"/>
        <v>-3.5668637259618521</v>
      </c>
      <c r="AH159" s="80"/>
    </row>
    <row r="160" spans="1:34" ht="15" customHeight="1">
      <c r="A160" s="33" t="s">
        <v>147</v>
      </c>
      <c r="B160" s="50">
        <f>'Расчет субсидий'!AT160</f>
        <v>20.590909090909065</v>
      </c>
      <c r="C160" s="52">
        <f>'Расчет субсидий'!D160-1</f>
        <v>-1</v>
      </c>
      <c r="D160" s="52">
        <f>C160*'Расчет субсидий'!E160</f>
        <v>0</v>
      </c>
      <c r="E160" s="53">
        <f t="shared" si="25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2">
        <f>'Расчет субсидий'!P160-1</f>
        <v>-5.858507866036089E-2</v>
      </c>
      <c r="M160" s="52">
        <f>L160*'Расчет субсидий'!Q160</f>
        <v>-1.1717015732072178</v>
      </c>
      <c r="N160" s="53">
        <f t="shared" si="26"/>
        <v>-5.9741565294134169</v>
      </c>
      <c r="O160" s="27" t="s">
        <v>365</v>
      </c>
      <c r="P160" s="27" t="s">
        <v>365</v>
      </c>
      <c r="Q160" s="27" t="s">
        <v>365</v>
      </c>
      <c r="R160" s="58">
        <f>'Расчет субсидий'!X160-1</f>
        <v>0.23692621280065218</v>
      </c>
      <c r="S160" s="58">
        <f>R160*'Расчет субсидий'!Y160</f>
        <v>1.1846310640032609</v>
      </c>
      <c r="T160" s="53">
        <f t="shared" si="27"/>
        <v>6.0400801430941087</v>
      </c>
      <c r="U160" s="52">
        <f>'Расчет субсидий'!AB160-1</f>
        <v>0.20127659574468071</v>
      </c>
      <c r="V160" s="52">
        <f>U160*'Расчет субсидий'!AC160</f>
        <v>4.0255319148936142</v>
      </c>
      <c r="W160" s="53">
        <f t="shared" si="28"/>
        <v>20.524985477228373</v>
      </c>
      <c r="X160" s="27" t="s">
        <v>365</v>
      </c>
      <c r="Y160" s="27" t="s">
        <v>365</v>
      </c>
      <c r="Z160" s="27" t="s">
        <v>365</v>
      </c>
      <c r="AA160" s="27" t="s">
        <v>365</v>
      </c>
      <c r="AB160" s="27" t="s">
        <v>365</v>
      </c>
      <c r="AC160" s="27" t="s">
        <v>365</v>
      </c>
      <c r="AD160" s="27" t="s">
        <v>365</v>
      </c>
      <c r="AE160" s="27" t="s">
        <v>365</v>
      </c>
      <c r="AF160" s="27" t="s">
        <v>365</v>
      </c>
      <c r="AG160" s="52">
        <f t="shared" si="29"/>
        <v>4.0384614056896577</v>
      </c>
      <c r="AH160" s="80"/>
    </row>
    <row r="161" spans="1:34" ht="15" customHeight="1">
      <c r="A161" s="33" t="s">
        <v>148</v>
      </c>
      <c r="B161" s="50">
        <f>'Расчет субсидий'!AT161</f>
        <v>-2.7090909090908326</v>
      </c>
      <c r="C161" s="52">
        <f>'Расчет субсидий'!D161-1</f>
        <v>2.7182020088178938E-4</v>
      </c>
      <c r="D161" s="52">
        <f>C161*'Расчет субсидий'!E161</f>
        <v>1.3591010044089469E-3</v>
      </c>
      <c r="E161" s="53">
        <f t="shared" si="25"/>
        <v>1.9661625364752178E-2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2">
        <f>'Расчет субсидий'!P161-1</f>
        <v>-0.17810380858958497</v>
      </c>
      <c r="M161" s="52">
        <f>L161*'Расчет субсидий'!Q161</f>
        <v>-3.5620761717916993</v>
      </c>
      <c r="N161" s="53">
        <f t="shared" si="26"/>
        <v>-51.53127470532386</v>
      </c>
      <c r="O161" s="27" t="s">
        <v>365</v>
      </c>
      <c r="P161" s="27" t="s">
        <v>365</v>
      </c>
      <c r="Q161" s="27" t="s">
        <v>365</v>
      </c>
      <c r="R161" s="58">
        <f>'Расчет субсидий'!X161-1</f>
        <v>-6.8166666666666709E-2</v>
      </c>
      <c r="S161" s="58">
        <f>R161*'Расчет субсидий'!Y161</f>
        <v>-0.34083333333333354</v>
      </c>
      <c r="T161" s="53">
        <f t="shared" si="27"/>
        <v>-4.9307132362351673</v>
      </c>
      <c r="U161" s="52">
        <f>'Расчет субсидий'!AB161-1</f>
        <v>0.18571428571428572</v>
      </c>
      <c r="V161" s="52">
        <f>U161*'Расчет субсидий'!AC161</f>
        <v>3.7142857142857144</v>
      </c>
      <c r="W161" s="53">
        <f t="shared" si="28"/>
        <v>53.733235407103436</v>
      </c>
      <c r="X161" s="27" t="s">
        <v>365</v>
      </c>
      <c r="Y161" s="27" t="s">
        <v>365</v>
      </c>
      <c r="Z161" s="27" t="s">
        <v>365</v>
      </c>
      <c r="AA161" s="27" t="s">
        <v>365</v>
      </c>
      <c r="AB161" s="27" t="s">
        <v>365</v>
      </c>
      <c r="AC161" s="27" t="s">
        <v>365</v>
      </c>
      <c r="AD161" s="27" t="s">
        <v>365</v>
      </c>
      <c r="AE161" s="27" t="s">
        <v>365</v>
      </c>
      <c r="AF161" s="27" t="s">
        <v>365</v>
      </c>
      <c r="AG161" s="52">
        <f t="shared" si="29"/>
        <v>-0.18726468983490907</v>
      </c>
      <c r="AH161" s="80"/>
    </row>
    <row r="162" spans="1:34" ht="15" customHeight="1">
      <c r="A162" s="33" t="s">
        <v>149</v>
      </c>
      <c r="B162" s="50">
        <f>'Расчет субсидий'!AT162</f>
        <v>60.81818181818187</v>
      </c>
      <c r="C162" s="52">
        <f>'Расчет субсидий'!D162-1</f>
        <v>5.07692307692309E-2</v>
      </c>
      <c r="D162" s="52">
        <f>C162*'Расчет субсидий'!E162</f>
        <v>0.2538461538461545</v>
      </c>
      <c r="E162" s="53">
        <f t="shared" si="25"/>
        <v>2.7224291261878473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2">
        <f>'Расчет субсидий'!P162-1</f>
        <v>0.22967422465467813</v>
      </c>
      <c r="M162" s="52">
        <f>L162*'Расчет субсидий'!Q162</f>
        <v>4.5934844930935625</v>
      </c>
      <c r="N162" s="53">
        <f t="shared" si="26"/>
        <v>49.263838688173131</v>
      </c>
      <c r="O162" s="27" t="s">
        <v>365</v>
      </c>
      <c r="P162" s="27" t="s">
        <v>365</v>
      </c>
      <c r="Q162" s="27" t="s">
        <v>365</v>
      </c>
      <c r="R162" s="58">
        <f>'Расчет субсидий'!X162-1</f>
        <v>6.7141009055627476E-2</v>
      </c>
      <c r="S162" s="58">
        <f>R162*'Расчет субсидий'!Y162</f>
        <v>0.33570504527813738</v>
      </c>
      <c r="T162" s="53">
        <f t="shared" si="27"/>
        <v>3.6003428818043379</v>
      </c>
      <c r="U162" s="52">
        <f>'Расчет субсидий'!AB162-1</f>
        <v>2.4390243902439046E-2</v>
      </c>
      <c r="V162" s="52">
        <f>U162*'Расчет субсидий'!AC162</f>
        <v>0.48780487804878092</v>
      </c>
      <c r="W162" s="53">
        <f t="shared" si="28"/>
        <v>5.2315711220165495</v>
      </c>
      <c r="X162" s="27" t="s">
        <v>365</v>
      </c>
      <c r="Y162" s="27" t="s">
        <v>365</v>
      </c>
      <c r="Z162" s="27" t="s">
        <v>365</v>
      </c>
      <c r="AA162" s="27" t="s">
        <v>365</v>
      </c>
      <c r="AB162" s="27" t="s">
        <v>365</v>
      </c>
      <c r="AC162" s="27" t="s">
        <v>365</v>
      </c>
      <c r="AD162" s="27" t="s">
        <v>365</v>
      </c>
      <c r="AE162" s="27" t="s">
        <v>365</v>
      </c>
      <c r="AF162" s="27" t="s">
        <v>365</v>
      </c>
      <c r="AG162" s="52">
        <f t="shared" si="29"/>
        <v>5.6708405702666358</v>
      </c>
      <c r="AH162" s="80"/>
    </row>
    <row r="163" spans="1:34" ht="15" customHeight="1">
      <c r="A163" s="33" t="s">
        <v>150</v>
      </c>
      <c r="B163" s="50">
        <f>'Расчет субсидий'!AT163</f>
        <v>159.77272727272725</v>
      </c>
      <c r="C163" s="52">
        <f>'Расчет субсидий'!D163-1</f>
        <v>9.1286015460295244E-2</v>
      </c>
      <c r="D163" s="52">
        <f>C163*'Расчет субсидий'!E163</f>
        <v>0.45643007730147622</v>
      </c>
      <c r="E163" s="53">
        <f t="shared" si="25"/>
        <v>7.5278175611724807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2">
        <f>'Расчет субсидий'!P163-1</f>
        <v>0.30000000000000004</v>
      </c>
      <c r="M163" s="52">
        <f>L163*'Расчет субсидий'!Q163</f>
        <v>6.0000000000000009</v>
      </c>
      <c r="N163" s="53">
        <f t="shared" si="26"/>
        <v>98.956899672502814</v>
      </c>
      <c r="O163" s="27" t="s">
        <v>365</v>
      </c>
      <c r="P163" s="27" t="s">
        <v>365</v>
      </c>
      <c r="Q163" s="27" t="s">
        <v>365</v>
      </c>
      <c r="R163" s="58">
        <f>'Расчет субсидий'!X163-1</f>
        <v>6.841882153454848E-2</v>
      </c>
      <c r="S163" s="58">
        <f>R163*'Расчет субсидий'!Y163</f>
        <v>0.3420941076727424</v>
      </c>
      <c r="T163" s="53">
        <f t="shared" si="27"/>
        <v>5.6420953819209902</v>
      </c>
      <c r="U163" s="52">
        <f>'Расчет субсидий'!AB163-1</f>
        <v>0.14444444444444438</v>
      </c>
      <c r="V163" s="52">
        <f>U163*'Расчет субсидий'!AC163</f>
        <v>2.8888888888888875</v>
      </c>
      <c r="W163" s="53">
        <f t="shared" si="28"/>
        <v>47.645914657130959</v>
      </c>
      <c r="X163" s="27" t="s">
        <v>365</v>
      </c>
      <c r="Y163" s="27" t="s">
        <v>365</v>
      </c>
      <c r="Z163" s="27" t="s">
        <v>365</v>
      </c>
      <c r="AA163" s="27" t="s">
        <v>365</v>
      </c>
      <c r="AB163" s="27" t="s">
        <v>365</v>
      </c>
      <c r="AC163" s="27" t="s">
        <v>365</v>
      </c>
      <c r="AD163" s="27" t="s">
        <v>365</v>
      </c>
      <c r="AE163" s="27" t="s">
        <v>365</v>
      </c>
      <c r="AF163" s="27" t="s">
        <v>365</v>
      </c>
      <c r="AG163" s="52">
        <f t="shared" si="29"/>
        <v>9.687413073863107</v>
      </c>
      <c r="AH163" s="80"/>
    </row>
    <row r="164" spans="1:34" ht="15" customHeight="1">
      <c r="A164" s="33" t="s">
        <v>151</v>
      </c>
      <c r="B164" s="50">
        <f>'Расчет субсидий'!AT164</f>
        <v>21.936363636363581</v>
      </c>
      <c r="C164" s="52">
        <f>'Расчет субсидий'!D164-1</f>
        <v>0.21787709497206698</v>
      </c>
      <c r="D164" s="52">
        <f>C164*'Расчет субсидий'!E164</f>
        <v>1.0893854748603349</v>
      </c>
      <c r="E164" s="53">
        <f t="shared" si="25"/>
        <v>13.496567397813362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2">
        <f>'Расчет субсидий'!P164-1</f>
        <v>-5.6481219994364285E-4</v>
      </c>
      <c r="M164" s="52">
        <f>L164*'Расчет субсидий'!Q164</f>
        <v>-1.1296243998872857E-2</v>
      </c>
      <c r="N164" s="53">
        <f t="shared" si="26"/>
        <v>-0.13995093747002499</v>
      </c>
      <c r="O164" s="27" t="s">
        <v>365</v>
      </c>
      <c r="P164" s="27" t="s">
        <v>365</v>
      </c>
      <c r="Q164" s="27" t="s">
        <v>365</v>
      </c>
      <c r="R164" s="58">
        <f>'Расчет субсидий'!X164-1</f>
        <v>-1.2439261418853209E-2</v>
      </c>
      <c r="S164" s="58">
        <f>R164*'Расчет субсидий'!Y164</f>
        <v>-6.2196307094266046E-2</v>
      </c>
      <c r="T164" s="53">
        <f t="shared" si="27"/>
        <v>-0.77055979721088097</v>
      </c>
      <c r="U164" s="52">
        <f>'Расчет субсидий'!AB164-1</f>
        <v>3.7735849056603765E-2</v>
      </c>
      <c r="V164" s="52">
        <f>U164*'Расчет субсидий'!AC164</f>
        <v>0.7547169811320753</v>
      </c>
      <c r="W164" s="53">
        <f t="shared" si="28"/>
        <v>9.3503069732311257</v>
      </c>
      <c r="X164" s="27" t="s">
        <v>365</v>
      </c>
      <c r="Y164" s="27" t="s">
        <v>365</v>
      </c>
      <c r="Z164" s="27" t="s">
        <v>365</v>
      </c>
      <c r="AA164" s="27" t="s">
        <v>365</v>
      </c>
      <c r="AB164" s="27" t="s">
        <v>365</v>
      </c>
      <c r="AC164" s="27" t="s">
        <v>365</v>
      </c>
      <c r="AD164" s="27" t="s">
        <v>365</v>
      </c>
      <c r="AE164" s="27" t="s">
        <v>365</v>
      </c>
      <c r="AF164" s="27" t="s">
        <v>365</v>
      </c>
      <c r="AG164" s="52">
        <f t="shared" si="29"/>
        <v>1.7706099048992714</v>
      </c>
      <c r="AH164" s="80"/>
    </row>
    <row r="165" spans="1:34" ht="15" customHeight="1">
      <c r="A165" s="33" t="s">
        <v>152</v>
      </c>
      <c r="B165" s="50">
        <f>'Расчет субсидий'!AT165</f>
        <v>61.072727272727263</v>
      </c>
      <c r="C165" s="52">
        <f>'Расчет субсидий'!D165-1</f>
        <v>8.8372093023255882E-2</v>
      </c>
      <c r="D165" s="52">
        <f>C165*'Расчет субсидий'!E165</f>
        <v>0.44186046511627941</v>
      </c>
      <c r="E165" s="53">
        <f t="shared" si="25"/>
        <v>3.6533543857641533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2">
        <f>'Расчет субсидий'!P165-1</f>
        <v>0.22770710059171595</v>
      </c>
      <c r="M165" s="52">
        <f>L165*'Расчет субсидий'!Q165</f>
        <v>4.554142011834319</v>
      </c>
      <c r="N165" s="53">
        <f t="shared" si="26"/>
        <v>37.654182724741588</v>
      </c>
      <c r="O165" s="27" t="s">
        <v>365</v>
      </c>
      <c r="P165" s="27" t="s">
        <v>365</v>
      </c>
      <c r="Q165" s="27" t="s">
        <v>365</v>
      </c>
      <c r="R165" s="58">
        <f>'Расчет субсидий'!X165-1</f>
        <v>-2.7157001414427118E-2</v>
      </c>
      <c r="S165" s="58">
        <f>R165*'Расчет субсидий'!Y165</f>
        <v>-0.13578500707213559</v>
      </c>
      <c r="T165" s="53">
        <f t="shared" si="27"/>
        <v>-1.1226864367181115</v>
      </c>
      <c r="U165" s="52">
        <f>'Расчет субсидий'!AB165-1</f>
        <v>0.12631578947368416</v>
      </c>
      <c r="V165" s="52">
        <f>U165*'Расчет субсидий'!AC165</f>
        <v>2.5263157894736832</v>
      </c>
      <c r="W165" s="53">
        <f t="shared" si="28"/>
        <v>20.88787659893962</v>
      </c>
      <c r="X165" s="27" t="s">
        <v>365</v>
      </c>
      <c r="Y165" s="27" t="s">
        <v>365</v>
      </c>
      <c r="Z165" s="27" t="s">
        <v>365</v>
      </c>
      <c r="AA165" s="27" t="s">
        <v>365</v>
      </c>
      <c r="AB165" s="27" t="s">
        <v>365</v>
      </c>
      <c r="AC165" s="27" t="s">
        <v>365</v>
      </c>
      <c r="AD165" s="27" t="s">
        <v>365</v>
      </c>
      <c r="AE165" s="27" t="s">
        <v>365</v>
      </c>
      <c r="AF165" s="27" t="s">
        <v>365</v>
      </c>
      <c r="AG165" s="52">
        <f t="shared" si="29"/>
        <v>7.3865332593521469</v>
      </c>
      <c r="AH165" s="80"/>
    </row>
    <row r="166" spans="1:34" ht="15" customHeight="1">
      <c r="A166" s="33" t="s">
        <v>153</v>
      </c>
      <c r="B166" s="50">
        <f>'Расчет субсидий'!AT166</f>
        <v>31.072727272727263</v>
      </c>
      <c r="C166" s="52">
        <f>'Расчет субсидий'!D166-1</f>
        <v>-0.19624628722737825</v>
      </c>
      <c r="D166" s="52">
        <f>C166*'Расчет субсидий'!E166</f>
        <v>-0.98123143613689123</v>
      </c>
      <c r="E166" s="53">
        <f t="shared" si="25"/>
        <v>-8.9453983170664486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2">
        <f>'Расчет субсидий'!P166-1</f>
        <v>1.660209182341954E-2</v>
      </c>
      <c r="M166" s="52">
        <f>L166*'Расчет субсидий'!Q166</f>
        <v>0.33204183646839081</v>
      </c>
      <c r="N166" s="53">
        <f t="shared" si="26"/>
        <v>3.0270600551016367</v>
      </c>
      <c r="O166" s="27" t="s">
        <v>365</v>
      </c>
      <c r="P166" s="27" t="s">
        <v>365</v>
      </c>
      <c r="Q166" s="27" t="s">
        <v>365</v>
      </c>
      <c r="R166" s="58">
        <f>'Расчет субсидий'!X166-1</f>
        <v>-1.4766873596618657E-2</v>
      </c>
      <c r="S166" s="58">
        <f>R166*'Расчет субсидий'!Y166</f>
        <v>-7.3834367983093285E-2</v>
      </c>
      <c r="T166" s="53">
        <f t="shared" si="27"/>
        <v>-0.67311116090810252</v>
      </c>
      <c r="U166" s="52">
        <f>'Расчет субсидий'!AB166-1</f>
        <v>0.20657142857142863</v>
      </c>
      <c r="V166" s="52">
        <f>U166*'Расчет субсидий'!AC166</f>
        <v>4.1314285714285726</v>
      </c>
      <c r="W166" s="53">
        <f t="shared" si="28"/>
        <v>37.664176695600183</v>
      </c>
      <c r="X166" s="27" t="s">
        <v>365</v>
      </c>
      <c r="Y166" s="27" t="s">
        <v>365</v>
      </c>
      <c r="Z166" s="27" t="s">
        <v>365</v>
      </c>
      <c r="AA166" s="27" t="s">
        <v>365</v>
      </c>
      <c r="AB166" s="27" t="s">
        <v>365</v>
      </c>
      <c r="AC166" s="27" t="s">
        <v>365</v>
      </c>
      <c r="AD166" s="27" t="s">
        <v>365</v>
      </c>
      <c r="AE166" s="27" t="s">
        <v>365</v>
      </c>
      <c r="AF166" s="27" t="s">
        <v>365</v>
      </c>
      <c r="AG166" s="52">
        <f t="shared" si="29"/>
        <v>3.4084046037769786</v>
      </c>
      <c r="AH166" s="80"/>
    </row>
    <row r="167" spans="1:34" ht="15" customHeight="1">
      <c r="A167" s="32" t="s">
        <v>154</v>
      </c>
      <c r="B167" s="54"/>
      <c r="C167" s="55"/>
      <c r="D167" s="55"/>
      <c r="E167" s="56"/>
      <c r="F167" s="55"/>
      <c r="G167" s="55"/>
      <c r="H167" s="56"/>
      <c r="I167" s="56"/>
      <c r="J167" s="56"/>
      <c r="K167" s="56"/>
      <c r="L167" s="55"/>
      <c r="M167" s="55"/>
      <c r="N167" s="56"/>
      <c r="O167" s="55"/>
      <c r="P167" s="55"/>
      <c r="Q167" s="56"/>
      <c r="R167" s="56"/>
      <c r="S167" s="56"/>
      <c r="T167" s="56"/>
      <c r="U167" s="56"/>
      <c r="V167" s="56"/>
      <c r="W167" s="56"/>
      <c r="X167" s="27"/>
      <c r="Y167" s="27"/>
      <c r="Z167" s="27"/>
      <c r="AA167" s="27"/>
      <c r="AB167" s="27"/>
      <c r="AC167" s="27"/>
      <c r="AD167" s="27"/>
      <c r="AE167" s="27"/>
      <c r="AF167" s="27"/>
      <c r="AG167" s="56"/>
      <c r="AH167" s="80"/>
    </row>
    <row r="168" spans="1:34" ht="15" customHeight="1">
      <c r="A168" s="33" t="s">
        <v>69</v>
      </c>
      <c r="B168" s="50">
        <f>'Расчет субсидий'!AT168</f>
        <v>-39.581818181818107</v>
      </c>
      <c r="C168" s="52">
        <f>'Расчет субсидий'!D168-1</f>
        <v>-1</v>
      </c>
      <c r="D168" s="52">
        <f>C168*'Расчет субсидий'!E168</f>
        <v>0</v>
      </c>
      <c r="E168" s="53">
        <f t="shared" si="25"/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2">
        <f>'Расчет субсидий'!P168-1</f>
        <v>-0.2484171322160148</v>
      </c>
      <c r="M168" s="52">
        <f>L168*'Расчет субсидий'!Q168</f>
        <v>-4.9683426443202965</v>
      </c>
      <c r="N168" s="53">
        <f t="shared" si="26"/>
        <v>-64.164520687022645</v>
      </c>
      <c r="O168" s="27" t="s">
        <v>365</v>
      </c>
      <c r="P168" s="27" t="s">
        <v>365</v>
      </c>
      <c r="Q168" s="27" t="s">
        <v>365</v>
      </c>
      <c r="R168" s="58">
        <f>'Расчет субсидий'!X168-1</f>
        <v>8.4895833333333393E-2</v>
      </c>
      <c r="S168" s="58">
        <f>R168*'Расчет субсидий'!Y168</f>
        <v>0.42447916666666696</v>
      </c>
      <c r="T168" s="53">
        <f t="shared" si="27"/>
        <v>5.4820096399610598</v>
      </c>
      <c r="U168" s="52">
        <f>'Расчет субсидий'!AB168-1</f>
        <v>7.3949579831932732E-2</v>
      </c>
      <c r="V168" s="52">
        <f>U168*'Расчет субсидий'!AC168</f>
        <v>1.4789915966386546</v>
      </c>
      <c r="W168" s="53">
        <f t="shared" si="28"/>
        <v>19.100692865243477</v>
      </c>
      <c r="X168" s="27" t="s">
        <v>365</v>
      </c>
      <c r="Y168" s="27" t="s">
        <v>365</v>
      </c>
      <c r="Z168" s="27" t="s">
        <v>365</v>
      </c>
      <c r="AA168" s="27" t="s">
        <v>365</v>
      </c>
      <c r="AB168" s="27" t="s">
        <v>365</v>
      </c>
      <c r="AC168" s="27" t="s">
        <v>365</v>
      </c>
      <c r="AD168" s="27" t="s">
        <v>365</v>
      </c>
      <c r="AE168" s="27" t="s">
        <v>365</v>
      </c>
      <c r="AF168" s="27" t="s">
        <v>365</v>
      </c>
      <c r="AG168" s="52">
        <f t="shared" si="29"/>
        <v>-3.0648718810149749</v>
      </c>
      <c r="AH168" s="80"/>
    </row>
    <row r="169" spans="1:34" ht="15" customHeight="1">
      <c r="A169" s="33" t="s">
        <v>155</v>
      </c>
      <c r="B169" s="50">
        <f>'Расчет субсидий'!AT169</f>
        <v>-110.19999999999999</v>
      </c>
      <c r="C169" s="52">
        <f>'Расчет субсидий'!D169-1</f>
        <v>-1</v>
      </c>
      <c r="D169" s="52">
        <f>C169*'Расчет субсидий'!E169</f>
        <v>0</v>
      </c>
      <c r="E169" s="53">
        <f t="shared" si="25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2">
        <f>'Расчет субсидий'!P169-1</f>
        <v>-0.49186164801627663</v>
      </c>
      <c r="M169" s="52">
        <f>L169*'Расчет субсидий'!Q169</f>
        <v>-9.8372329603255331</v>
      </c>
      <c r="N169" s="53">
        <f t="shared" si="26"/>
        <v>-104.32190964314741</v>
      </c>
      <c r="O169" s="27" t="s">
        <v>365</v>
      </c>
      <c r="P169" s="27" t="s">
        <v>365</v>
      </c>
      <c r="Q169" s="27" t="s">
        <v>365</v>
      </c>
      <c r="R169" s="58">
        <f>'Расчет субсидий'!X169-1</f>
        <v>-0.11085714285714288</v>
      </c>
      <c r="S169" s="58">
        <f>R169*'Расчет субсидий'!Y169</f>
        <v>-0.55428571428571438</v>
      </c>
      <c r="T169" s="53">
        <f t="shared" si="27"/>
        <v>-5.8780903568525646</v>
      </c>
      <c r="U169" s="52">
        <f>'Расчет субсидий'!AB169-1</f>
        <v>0</v>
      </c>
      <c r="V169" s="52">
        <f>U169*'Расчет субсидий'!AC169</f>
        <v>0</v>
      </c>
      <c r="W169" s="53">
        <f t="shared" si="28"/>
        <v>0</v>
      </c>
      <c r="X169" s="27" t="s">
        <v>365</v>
      </c>
      <c r="Y169" s="27" t="s">
        <v>365</v>
      </c>
      <c r="Z169" s="27" t="s">
        <v>365</v>
      </c>
      <c r="AA169" s="27" t="s">
        <v>365</v>
      </c>
      <c r="AB169" s="27" t="s">
        <v>365</v>
      </c>
      <c r="AC169" s="27" t="s">
        <v>365</v>
      </c>
      <c r="AD169" s="27" t="s">
        <v>365</v>
      </c>
      <c r="AE169" s="27" t="s">
        <v>365</v>
      </c>
      <c r="AF169" s="27" t="s">
        <v>365</v>
      </c>
      <c r="AG169" s="52">
        <f t="shared" si="29"/>
        <v>-10.391518674611248</v>
      </c>
      <c r="AH169" s="80"/>
    </row>
    <row r="170" spans="1:34" ht="15" customHeight="1">
      <c r="A170" s="33" t="s">
        <v>156</v>
      </c>
      <c r="B170" s="50">
        <f>'Расчет субсидий'!AT170</f>
        <v>-128.85454545454547</v>
      </c>
      <c r="C170" s="52">
        <f>'Расчет субсидий'!D170-1</f>
        <v>-1</v>
      </c>
      <c r="D170" s="52">
        <f>C170*'Расчет субсидий'!E170</f>
        <v>0</v>
      </c>
      <c r="E170" s="53">
        <f t="shared" si="25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2">
        <f>'Расчет субсидий'!P170-1</f>
        <v>-0.42523203850120317</v>
      </c>
      <c r="M170" s="52">
        <f>L170*'Расчет субсидий'!Q170</f>
        <v>-8.5046407700240643</v>
      </c>
      <c r="N170" s="53">
        <f t="shared" si="26"/>
        <v>-133.70514078292257</v>
      </c>
      <c r="O170" s="27" t="s">
        <v>365</v>
      </c>
      <c r="P170" s="27" t="s">
        <v>365</v>
      </c>
      <c r="Q170" s="27" t="s">
        <v>365</v>
      </c>
      <c r="R170" s="58">
        <f>'Расчет субсидий'!X170-1</f>
        <v>6.1706783369803064E-2</v>
      </c>
      <c r="S170" s="58">
        <f>R170*'Расчет субсидий'!Y170</f>
        <v>0.30853391684901532</v>
      </c>
      <c r="T170" s="53">
        <f t="shared" si="27"/>
        <v>4.8505953283770964</v>
      </c>
      <c r="U170" s="52">
        <f>'Расчет субсидий'!AB170-1</f>
        <v>0</v>
      </c>
      <c r="V170" s="52">
        <f>U170*'Расчет субсидий'!AC170</f>
        <v>0</v>
      </c>
      <c r="W170" s="53">
        <f t="shared" si="28"/>
        <v>0</v>
      </c>
      <c r="X170" s="27" t="s">
        <v>365</v>
      </c>
      <c r="Y170" s="27" t="s">
        <v>365</v>
      </c>
      <c r="Z170" s="27" t="s">
        <v>365</v>
      </c>
      <c r="AA170" s="27" t="s">
        <v>365</v>
      </c>
      <c r="AB170" s="27" t="s">
        <v>365</v>
      </c>
      <c r="AC170" s="27" t="s">
        <v>365</v>
      </c>
      <c r="AD170" s="27" t="s">
        <v>365</v>
      </c>
      <c r="AE170" s="27" t="s">
        <v>365</v>
      </c>
      <c r="AF170" s="27" t="s">
        <v>365</v>
      </c>
      <c r="AG170" s="52">
        <f t="shared" si="29"/>
        <v>-8.1961068531750492</v>
      </c>
      <c r="AH170" s="80"/>
    </row>
    <row r="171" spans="1:34" ht="15" customHeight="1">
      <c r="A171" s="33" t="s">
        <v>157</v>
      </c>
      <c r="B171" s="50">
        <f>'Расчет субсидий'!AT171</f>
        <v>11.272727272727252</v>
      </c>
      <c r="C171" s="52">
        <f>'Расчет субсидий'!D171-1</f>
        <v>-1</v>
      </c>
      <c r="D171" s="52">
        <f>C171*'Расчет субсидий'!E171</f>
        <v>0</v>
      </c>
      <c r="E171" s="53">
        <f t="shared" si="25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2">
        <f>'Расчет субсидий'!P171-1</f>
        <v>9.868043602983434E-3</v>
      </c>
      <c r="M171" s="52">
        <f>L171*'Расчет субсидий'!Q171</f>
        <v>0.19736087205966868</v>
      </c>
      <c r="N171" s="53">
        <f t="shared" si="26"/>
        <v>3.2808125647517294</v>
      </c>
      <c r="O171" s="27" t="s">
        <v>365</v>
      </c>
      <c r="P171" s="27" t="s">
        <v>365</v>
      </c>
      <c r="Q171" s="27" t="s">
        <v>365</v>
      </c>
      <c r="R171" s="58">
        <f>'Расчет субсидий'!X171-1</f>
        <v>-0.13241895261845382</v>
      </c>
      <c r="S171" s="58">
        <f>R171*'Расчет субсидий'!Y171</f>
        <v>-0.66209476309226911</v>
      </c>
      <c r="T171" s="53">
        <f t="shared" si="27"/>
        <v>-11.006278980935521</v>
      </c>
      <c r="U171" s="52">
        <f>'Расчет субсидий'!AB171-1</f>
        <v>5.7142857142857162E-2</v>
      </c>
      <c r="V171" s="52">
        <f>U171*'Расчет субсидий'!AC171</f>
        <v>1.1428571428571432</v>
      </c>
      <c r="W171" s="53">
        <f t="shared" si="28"/>
        <v>18.998193688911044</v>
      </c>
      <c r="X171" s="27" t="s">
        <v>365</v>
      </c>
      <c r="Y171" s="27" t="s">
        <v>365</v>
      </c>
      <c r="Z171" s="27" t="s">
        <v>365</v>
      </c>
      <c r="AA171" s="27" t="s">
        <v>365</v>
      </c>
      <c r="AB171" s="27" t="s">
        <v>365</v>
      </c>
      <c r="AC171" s="27" t="s">
        <v>365</v>
      </c>
      <c r="AD171" s="27" t="s">
        <v>365</v>
      </c>
      <c r="AE171" s="27" t="s">
        <v>365</v>
      </c>
      <c r="AF171" s="27" t="s">
        <v>365</v>
      </c>
      <c r="AG171" s="52">
        <f t="shared" si="29"/>
        <v>0.67812325182454281</v>
      </c>
      <c r="AH171" s="80"/>
    </row>
    <row r="172" spans="1:34" ht="15" customHeight="1">
      <c r="A172" s="33" t="s">
        <v>158</v>
      </c>
      <c r="B172" s="50">
        <f>'Расчет субсидий'!AT172</f>
        <v>-60.700000000000045</v>
      </c>
      <c r="C172" s="52">
        <f>'Расчет субсидий'!D172-1</f>
        <v>-5.3525867806227811E-2</v>
      </c>
      <c r="D172" s="52">
        <f>C172*'Расчет субсидий'!E172</f>
        <v>-0.26762933903113906</v>
      </c>
      <c r="E172" s="53">
        <f t="shared" si="25"/>
        <v>-6.2638605901690774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2">
        <f>'Расчет субсидий'!P172-1</f>
        <v>-5.0978680760962569E-2</v>
      </c>
      <c r="M172" s="52">
        <f>L172*'Расчет субсидий'!Q172</f>
        <v>-1.0195736152192514</v>
      </c>
      <c r="N172" s="53">
        <f t="shared" si="26"/>
        <v>-23.86310488329908</v>
      </c>
      <c r="O172" s="27" t="s">
        <v>365</v>
      </c>
      <c r="P172" s="27" t="s">
        <v>365</v>
      </c>
      <c r="Q172" s="27" t="s">
        <v>365</v>
      </c>
      <c r="R172" s="58">
        <f>'Расчет субсидий'!X172-1</f>
        <v>-4.6161268090971763E-2</v>
      </c>
      <c r="S172" s="58">
        <f>R172*'Расчет субсидий'!Y172</f>
        <v>-0.23080634045485882</v>
      </c>
      <c r="T172" s="53">
        <f t="shared" si="27"/>
        <v>-5.4020188712124826</v>
      </c>
      <c r="U172" s="52">
        <f>'Расчет субсидий'!AB172-1</f>
        <v>-5.3772766695576735E-2</v>
      </c>
      <c r="V172" s="52">
        <f>U172*'Расчет субсидий'!AC172</f>
        <v>-1.0754553339115347</v>
      </c>
      <c r="W172" s="53">
        <f t="shared" si="28"/>
        <v>-25.171015655319408</v>
      </c>
      <c r="X172" s="27" t="s">
        <v>365</v>
      </c>
      <c r="Y172" s="27" t="s">
        <v>365</v>
      </c>
      <c r="Z172" s="27" t="s">
        <v>365</v>
      </c>
      <c r="AA172" s="27" t="s">
        <v>365</v>
      </c>
      <c r="AB172" s="27" t="s">
        <v>365</v>
      </c>
      <c r="AC172" s="27" t="s">
        <v>365</v>
      </c>
      <c r="AD172" s="27" t="s">
        <v>365</v>
      </c>
      <c r="AE172" s="27" t="s">
        <v>365</v>
      </c>
      <c r="AF172" s="27" t="s">
        <v>365</v>
      </c>
      <c r="AG172" s="52">
        <f t="shared" si="29"/>
        <v>-2.593464628616784</v>
      </c>
      <c r="AH172" s="80"/>
    </row>
    <row r="173" spans="1:34" ht="15" customHeight="1">
      <c r="A173" s="33" t="s">
        <v>159</v>
      </c>
      <c r="B173" s="50">
        <f>'Расчет субсидий'!AT173</f>
        <v>51.272727272727252</v>
      </c>
      <c r="C173" s="52">
        <f>'Расчет субсидий'!D173-1</f>
        <v>-1</v>
      </c>
      <c r="D173" s="52">
        <f>C173*'Расчет субсидий'!E173</f>
        <v>0</v>
      </c>
      <c r="E173" s="53">
        <f t="shared" si="25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2">
        <f>'Расчет субсидий'!P173-1</f>
        <v>0.26742117490872874</v>
      </c>
      <c r="M173" s="52">
        <f>L173*'Расчет субсидий'!Q173</f>
        <v>5.3484234981745749</v>
      </c>
      <c r="N173" s="53">
        <f t="shared" si="26"/>
        <v>53.43564402932703</v>
      </c>
      <c r="O173" s="27" t="s">
        <v>365</v>
      </c>
      <c r="P173" s="27" t="s">
        <v>365</v>
      </c>
      <c r="Q173" s="27" t="s">
        <v>365</v>
      </c>
      <c r="R173" s="58">
        <f>'Расчет субсидий'!X173-1</f>
        <v>-0.10044052863436126</v>
      </c>
      <c r="S173" s="58">
        <f>R173*'Расчет субсидий'!Y173</f>
        <v>-0.5022026431718063</v>
      </c>
      <c r="T173" s="53">
        <f t="shared" si="27"/>
        <v>-5.0174638714145932</v>
      </c>
      <c r="U173" s="52">
        <f>'Расчет субсидий'!AB173-1</f>
        <v>1.4285714285714235E-2</v>
      </c>
      <c r="V173" s="52">
        <f>U173*'Расчет субсидий'!AC173</f>
        <v>0.2857142857142847</v>
      </c>
      <c r="W173" s="53">
        <f t="shared" si="28"/>
        <v>2.8545471148148081</v>
      </c>
      <c r="X173" s="27" t="s">
        <v>365</v>
      </c>
      <c r="Y173" s="27" t="s">
        <v>365</v>
      </c>
      <c r="Z173" s="27" t="s">
        <v>365</v>
      </c>
      <c r="AA173" s="27" t="s">
        <v>365</v>
      </c>
      <c r="AB173" s="27" t="s">
        <v>365</v>
      </c>
      <c r="AC173" s="27" t="s">
        <v>365</v>
      </c>
      <c r="AD173" s="27" t="s">
        <v>365</v>
      </c>
      <c r="AE173" s="27" t="s">
        <v>365</v>
      </c>
      <c r="AF173" s="27" t="s">
        <v>365</v>
      </c>
      <c r="AG173" s="52">
        <f t="shared" si="29"/>
        <v>5.1319351407170535</v>
      </c>
      <c r="AH173" s="80"/>
    </row>
    <row r="174" spans="1:34" ht="15" customHeight="1">
      <c r="A174" s="33" t="s">
        <v>160</v>
      </c>
      <c r="B174" s="50">
        <f>'Расчет субсидий'!AT174</f>
        <v>-0.73636363636364877</v>
      </c>
      <c r="C174" s="52">
        <f>'Расчет субсидий'!D174-1</f>
        <v>-0.46333961375412158</v>
      </c>
      <c r="D174" s="52">
        <f>C174*'Расчет субсидий'!E174</f>
        <v>-2.316698068770608</v>
      </c>
      <c r="E174" s="53">
        <f t="shared" si="25"/>
        <v>-29.109138434874136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2">
        <f>'Расчет субсидий'!P174-1</f>
        <v>4.5207122428267965E-3</v>
      </c>
      <c r="M174" s="52">
        <f>L174*'Расчет субсидий'!Q174</f>
        <v>9.041424485653593E-2</v>
      </c>
      <c r="N174" s="53">
        <f t="shared" si="26"/>
        <v>1.1360482427518748</v>
      </c>
      <c r="O174" s="27" t="s">
        <v>365</v>
      </c>
      <c r="P174" s="27" t="s">
        <v>365</v>
      </c>
      <c r="Q174" s="27" t="s">
        <v>365</v>
      </c>
      <c r="R174" s="58">
        <f>'Расчет субсидий'!X174-1</f>
        <v>8.3535825545171249E-2</v>
      </c>
      <c r="S174" s="58">
        <f>R174*'Расчет субсидий'!Y174</f>
        <v>0.41767912772585625</v>
      </c>
      <c r="T174" s="53">
        <f t="shared" si="27"/>
        <v>5.2481070857806724</v>
      </c>
      <c r="U174" s="52">
        <f>'Расчет субсидий'!AB174-1</f>
        <v>8.7499999999999911E-2</v>
      </c>
      <c r="V174" s="52">
        <f>U174*'Расчет субсидий'!AC174</f>
        <v>1.7499999999999982</v>
      </c>
      <c r="W174" s="53">
        <f t="shared" si="28"/>
        <v>21.988619469977941</v>
      </c>
      <c r="X174" s="27" t="s">
        <v>365</v>
      </c>
      <c r="Y174" s="27" t="s">
        <v>365</v>
      </c>
      <c r="Z174" s="27" t="s">
        <v>365</v>
      </c>
      <c r="AA174" s="27" t="s">
        <v>365</v>
      </c>
      <c r="AB174" s="27" t="s">
        <v>365</v>
      </c>
      <c r="AC174" s="27" t="s">
        <v>365</v>
      </c>
      <c r="AD174" s="27" t="s">
        <v>365</v>
      </c>
      <c r="AE174" s="27" t="s">
        <v>365</v>
      </c>
      <c r="AF174" s="27" t="s">
        <v>365</v>
      </c>
      <c r="AG174" s="52">
        <f t="shared" si="29"/>
        <v>-5.860469618821762E-2</v>
      </c>
      <c r="AH174" s="80"/>
    </row>
    <row r="175" spans="1:34" ht="15" customHeight="1">
      <c r="A175" s="33" t="s">
        <v>161</v>
      </c>
      <c r="B175" s="50">
        <f>'Расчет субсидий'!AT175</f>
        <v>31.390909090909076</v>
      </c>
      <c r="C175" s="52">
        <f>'Расчет субсидий'!D175-1</f>
        <v>-1</v>
      </c>
      <c r="D175" s="52">
        <f>C175*'Расчет субсидий'!E175</f>
        <v>0</v>
      </c>
      <c r="E175" s="53">
        <f t="shared" si="25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2">
        <f>'Расчет субсидий'!P175-1</f>
        <v>0.2048335893497184</v>
      </c>
      <c r="M175" s="52">
        <f>L175*'Расчет субсидий'!Q175</f>
        <v>4.0966717869943681</v>
      </c>
      <c r="N175" s="53">
        <f t="shared" si="26"/>
        <v>29.116467888416867</v>
      </c>
      <c r="O175" s="27" t="s">
        <v>365</v>
      </c>
      <c r="P175" s="27" t="s">
        <v>365</v>
      </c>
      <c r="Q175" s="27" t="s">
        <v>365</v>
      </c>
      <c r="R175" s="58">
        <f>'Расчет субсидий'!X175-1</f>
        <v>0.19733587059942903</v>
      </c>
      <c r="S175" s="58">
        <f>R175*'Расчет субсидий'!Y175</f>
        <v>0.98667935299714515</v>
      </c>
      <c r="T175" s="53">
        <f t="shared" si="27"/>
        <v>7.0126725281994871</v>
      </c>
      <c r="U175" s="52">
        <f>'Расчет субсидий'!AB175-1</f>
        <v>-3.3333333333333326E-2</v>
      </c>
      <c r="V175" s="52">
        <f>U175*'Расчет субсидий'!AC175</f>
        <v>-0.66666666666666652</v>
      </c>
      <c r="W175" s="53">
        <f t="shared" si="28"/>
        <v>-4.7382313257072726</v>
      </c>
      <c r="X175" s="27" t="s">
        <v>365</v>
      </c>
      <c r="Y175" s="27" t="s">
        <v>365</v>
      </c>
      <c r="Z175" s="27" t="s">
        <v>365</v>
      </c>
      <c r="AA175" s="27" t="s">
        <v>365</v>
      </c>
      <c r="AB175" s="27" t="s">
        <v>365</v>
      </c>
      <c r="AC175" s="27" t="s">
        <v>365</v>
      </c>
      <c r="AD175" s="27" t="s">
        <v>365</v>
      </c>
      <c r="AE175" s="27" t="s">
        <v>365</v>
      </c>
      <c r="AF175" s="27" t="s">
        <v>365</v>
      </c>
      <c r="AG175" s="52">
        <f t="shared" si="29"/>
        <v>4.416684473324846</v>
      </c>
      <c r="AH175" s="80"/>
    </row>
    <row r="176" spans="1:34" ht="15" customHeight="1">
      <c r="A176" s="33" t="s">
        <v>162</v>
      </c>
      <c r="B176" s="50">
        <f>'Расчет субсидий'!AT176</f>
        <v>50.18181818181813</v>
      </c>
      <c r="C176" s="52">
        <f>'Расчет субсидий'!D176-1</f>
        <v>-1</v>
      </c>
      <c r="D176" s="52">
        <f>C176*'Расчет субсидий'!E176</f>
        <v>0</v>
      </c>
      <c r="E176" s="53">
        <f t="shared" si="25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2">
        <f>'Расчет субсидий'!P176-1</f>
        <v>0.21030132357082509</v>
      </c>
      <c r="M176" s="52">
        <f>L176*'Расчет субсидий'!Q176</f>
        <v>4.2060264714165019</v>
      </c>
      <c r="N176" s="53">
        <f t="shared" si="26"/>
        <v>40.41720259668552</v>
      </c>
      <c r="O176" s="27" t="s">
        <v>365</v>
      </c>
      <c r="P176" s="27" t="s">
        <v>365</v>
      </c>
      <c r="Q176" s="27" t="s">
        <v>365</v>
      </c>
      <c r="R176" s="58">
        <f>'Расчет субсидий'!X176-1</f>
        <v>0.20323144104803492</v>
      </c>
      <c r="S176" s="58">
        <f>R176*'Расчет субсидий'!Y176</f>
        <v>1.0161572052401746</v>
      </c>
      <c r="T176" s="53">
        <f t="shared" si="27"/>
        <v>9.7646155851326082</v>
      </c>
      <c r="U176" s="52">
        <f>'Расчет субсидий'!AB176-1</f>
        <v>0</v>
      </c>
      <c r="V176" s="52">
        <f>U176*'Расчет субсидий'!AC176</f>
        <v>0</v>
      </c>
      <c r="W176" s="53">
        <f t="shared" si="28"/>
        <v>0</v>
      </c>
      <c r="X176" s="27" t="s">
        <v>365</v>
      </c>
      <c r="Y176" s="27" t="s">
        <v>365</v>
      </c>
      <c r="Z176" s="27" t="s">
        <v>365</v>
      </c>
      <c r="AA176" s="27" t="s">
        <v>365</v>
      </c>
      <c r="AB176" s="27" t="s">
        <v>365</v>
      </c>
      <c r="AC176" s="27" t="s">
        <v>365</v>
      </c>
      <c r="AD176" s="27" t="s">
        <v>365</v>
      </c>
      <c r="AE176" s="27" t="s">
        <v>365</v>
      </c>
      <c r="AF176" s="27" t="s">
        <v>365</v>
      </c>
      <c r="AG176" s="52">
        <f t="shared" si="29"/>
        <v>5.2221836766566767</v>
      </c>
      <c r="AH176" s="80"/>
    </row>
    <row r="177" spans="1:34" ht="15" customHeight="1">
      <c r="A177" s="33" t="s">
        <v>97</v>
      </c>
      <c r="B177" s="50">
        <f>'Расчет субсидий'!AT177</f>
        <v>37.045454545454504</v>
      </c>
      <c r="C177" s="52">
        <f>'Расчет субсидий'!D177-1</f>
        <v>-0.20814736203759854</v>
      </c>
      <c r="D177" s="52">
        <f>C177*'Расчет субсидий'!E177</f>
        <v>-1.0407368101879926</v>
      </c>
      <c r="E177" s="53">
        <f t="shared" si="25"/>
        <v>-11.721168194137602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2">
        <f>'Расчет субсидий'!P177-1</f>
        <v>0.20723990810633408</v>
      </c>
      <c r="M177" s="52">
        <f>L177*'Расчет субсидий'!Q177</f>
        <v>4.1447981621266816</v>
      </c>
      <c r="N177" s="53">
        <f t="shared" si="26"/>
        <v>46.680271047839376</v>
      </c>
      <c r="O177" s="27" t="s">
        <v>365</v>
      </c>
      <c r="P177" s="27" t="s">
        <v>365</v>
      </c>
      <c r="Q177" s="27" t="s">
        <v>365</v>
      </c>
      <c r="R177" s="58">
        <f>'Расчет субсидий'!X177-1</f>
        <v>7.0383275261324041E-2</v>
      </c>
      <c r="S177" s="58">
        <f>R177*'Расчет субсидий'!Y177</f>
        <v>0.3519163763066202</v>
      </c>
      <c r="T177" s="53">
        <f t="shared" si="27"/>
        <v>3.9634141855866756</v>
      </c>
      <c r="U177" s="52">
        <f>'Расчет субсидий'!AB177-1</f>
        <v>-8.3333333333333037E-3</v>
      </c>
      <c r="V177" s="52">
        <f>U177*'Расчет субсидий'!AC177</f>
        <v>-0.16666666666666607</v>
      </c>
      <c r="W177" s="53">
        <f t="shared" si="28"/>
        <v>-1.8770624938339471</v>
      </c>
      <c r="X177" s="27" t="s">
        <v>365</v>
      </c>
      <c r="Y177" s="27" t="s">
        <v>365</v>
      </c>
      <c r="Z177" s="27" t="s">
        <v>365</v>
      </c>
      <c r="AA177" s="27" t="s">
        <v>365</v>
      </c>
      <c r="AB177" s="27" t="s">
        <v>365</v>
      </c>
      <c r="AC177" s="27" t="s">
        <v>365</v>
      </c>
      <c r="AD177" s="27" t="s">
        <v>365</v>
      </c>
      <c r="AE177" s="27" t="s">
        <v>365</v>
      </c>
      <c r="AF177" s="27" t="s">
        <v>365</v>
      </c>
      <c r="AG177" s="52">
        <f t="shared" si="29"/>
        <v>3.2893110615786432</v>
      </c>
      <c r="AH177" s="80"/>
    </row>
    <row r="178" spans="1:34" ht="15" customHeight="1">
      <c r="A178" s="33" t="s">
        <v>163</v>
      </c>
      <c r="B178" s="50">
        <f>'Расчет субсидий'!AT178</f>
        <v>24.418181818181893</v>
      </c>
      <c r="C178" s="52">
        <f>'Расчет субсидий'!D178-1</f>
        <v>-1.5586179398681788E-2</v>
      </c>
      <c r="D178" s="52">
        <f>C178*'Расчет субсидий'!E178</f>
        <v>-7.7930896993408938E-2</v>
      </c>
      <c r="E178" s="53">
        <f t="shared" si="25"/>
        <v>-0.86506264256010212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2">
        <f>'Расчет субсидий'!P178-1</f>
        <v>0.13126934984520133</v>
      </c>
      <c r="M178" s="52">
        <f>L178*'Расчет субсидий'!Q178</f>
        <v>2.6253869969040267</v>
      </c>
      <c r="N178" s="53">
        <f t="shared" si="26"/>
        <v>29.142795744758459</v>
      </c>
      <c r="O178" s="27" t="s">
        <v>365</v>
      </c>
      <c r="P178" s="27" t="s">
        <v>365</v>
      </c>
      <c r="Q178" s="27" t="s">
        <v>365</v>
      </c>
      <c r="R178" s="58">
        <f>'Расчет субсидий'!X178-1</f>
        <v>-6.9539078156312661E-2</v>
      </c>
      <c r="S178" s="58">
        <f>R178*'Расчет субсидий'!Y178</f>
        <v>-0.34769539078156331</v>
      </c>
      <c r="T178" s="53">
        <f t="shared" si="27"/>
        <v>-3.8595512840164674</v>
      </c>
      <c r="U178" s="52">
        <f>'Расчет субсидий'!AB178-1</f>
        <v>0</v>
      </c>
      <c r="V178" s="52">
        <f>U178*'Расчет субсидий'!AC178</f>
        <v>0</v>
      </c>
      <c r="W178" s="53">
        <f t="shared" si="28"/>
        <v>0</v>
      </c>
      <c r="X178" s="27" t="s">
        <v>365</v>
      </c>
      <c r="Y178" s="27" t="s">
        <v>365</v>
      </c>
      <c r="Z178" s="27" t="s">
        <v>365</v>
      </c>
      <c r="AA178" s="27" t="s">
        <v>365</v>
      </c>
      <c r="AB178" s="27" t="s">
        <v>365</v>
      </c>
      <c r="AC178" s="27" t="s">
        <v>365</v>
      </c>
      <c r="AD178" s="27" t="s">
        <v>365</v>
      </c>
      <c r="AE178" s="27" t="s">
        <v>365</v>
      </c>
      <c r="AF178" s="27" t="s">
        <v>365</v>
      </c>
      <c r="AG178" s="52">
        <f t="shared" si="29"/>
        <v>2.1997607091290545</v>
      </c>
      <c r="AH178" s="80"/>
    </row>
    <row r="179" spans="1:34" ht="15" customHeight="1">
      <c r="A179" s="33" t="s">
        <v>164</v>
      </c>
      <c r="B179" s="50">
        <f>'Расчет субсидий'!AT179</f>
        <v>109.79999999999995</v>
      </c>
      <c r="C179" s="52">
        <f>'Расчет субсидий'!D179-1</f>
        <v>0.16099603567888998</v>
      </c>
      <c r="D179" s="52">
        <f>C179*'Расчет субсидий'!E179</f>
        <v>0.80498017839444991</v>
      </c>
      <c r="E179" s="53">
        <f t="shared" si="25"/>
        <v>14.495510611270298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2">
        <f>'Расчет субсидий'!P179-1</f>
        <v>0.2240499306518724</v>
      </c>
      <c r="M179" s="52">
        <f>L179*'Расчет субсидий'!Q179</f>
        <v>4.480998613037448</v>
      </c>
      <c r="N179" s="53">
        <f t="shared" si="26"/>
        <v>80.690636474956023</v>
      </c>
      <c r="O179" s="27" t="s">
        <v>365</v>
      </c>
      <c r="P179" s="27" t="s">
        <v>365</v>
      </c>
      <c r="Q179" s="27" t="s">
        <v>365</v>
      </c>
      <c r="R179" s="58">
        <f>'Расчет субсидий'!X179-1</f>
        <v>6.707232267037555E-2</v>
      </c>
      <c r="S179" s="58">
        <f>R179*'Расчет субсидий'!Y179</f>
        <v>0.33536161335187775</v>
      </c>
      <c r="T179" s="53">
        <f t="shared" si="27"/>
        <v>6.0389534493268062</v>
      </c>
      <c r="U179" s="52">
        <f>'Расчет субсидий'!AB179-1</f>
        <v>2.3809523809523725E-2</v>
      </c>
      <c r="V179" s="52">
        <f>U179*'Расчет субсидий'!AC179</f>
        <v>0.4761904761904745</v>
      </c>
      <c r="W179" s="53">
        <f t="shared" si="28"/>
        <v>8.5748994644468262</v>
      </c>
      <c r="X179" s="27" t="s">
        <v>365</v>
      </c>
      <c r="Y179" s="27" t="s">
        <v>365</v>
      </c>
      <c r="Z179" s="27" t="s">
        <v>365</v>
      </c>
      <c r="AA179" s="27" t="s">
        <v>365</v>
      </c>
      <c r="AB179" s="27" t="s">
        <v>365</v>
      </c>
      <c r="AC179" s="27" t="s">
        <v>365</v>
      </c>
      <c r="AD179" s="27" t="s">
        <v>365</v>
      </c>
      <c r="AE179" s="27" t="s">
        <v>365</v>
      </c>
      <c r="AF179" s="27" t="s">
        <v>365</v>
      </c>
      <c r="AG179" s="52">
        <f t="shared" si="29"/>
        <v>6.0975308809742499</v>
      </c>
      <c r="AH179" s="80"/>
    </row>
    <row r="180" spans="1:34" ht="15" customHeight="1">
      <c r="A180" s="33" t="s">
        <v>165</v>
      </c>
      <c r="B180" s="50">
        <f>'Расчет субсидий'!AT180</f>
        <v>7.2727272727206582E-2</v>
      </c>
      <c r="C180" s="52">
        <f>'Расчет субсидий'!D180-1</f>
        <v>-0.31067823343848577</v>
      </c>
      <c r="D180" s="52">
        <f>C180*'Расчет субсидий'!E180</f>
        <v>-1.5533911671924288</v>
      </c>
      <c r="E180" s="53">
        <f t="shared" si="25"/>
        <v>-12.179731363424835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2">
        <f>'Расчет субсидий'!P180-1</f>
        <v>-0.17447425670775918</v>
      </c>
      <c r="M180" s="52">
        <f>L180*'Расчет субсидий'!Q180</f>
        <v>-3.4894851341551836</v>
      </c>
      <c r="N180" s="53">
        <f t="shared" si="26"/>
        <v>-27.360134670708952</v>
      </c>
      <c r="O180" s="27" t="s">
        <v>365</v>
      </c>
      <c r="P180" s="27" t="s">
        <v>365</v>
      </c>
      <c r="Q180" s="27" t="s">
        <v>365</v>
      </c>
      <c r="R180" s="58">
        <f>'Расчет субсидий'!X180-1</f>
        <v>0.20427652733118973</v>
      </c>
      <c r="S180" s="58">
        <f>R180*'Расчет субсидий'!Y180</f>
        <v>1.0213826366559486</v>
      </c>
      <c r="T180" s="53">
        <f t="shared" si="27"/>
        <v>8.0083924747815729</v>
      </c>
      <c r="U180" s="52">
        <f>'Расчет субсидий'!AB180-1</f>
        <v>0.20153846153846144</v>
      </c>
      <c r="V180" s="52">
        <f>U180*'Расчет субсидий'!AC180</f>
        <v>4.0307692307692289</v>
      </c>
      <c r="W180" s="53">
        <f t="shared" si="28"/>
        <v>31.604200832079421</v>
      </c>
      <c r="X180" s="27" t="s">
        <v>365</v>
      </c>
      <c r="Y180" s="27" t="s">
        <v>365</v>
      </c>
      <c r="Z180" s="27" t="s">
        <v>365</v>
      </c>
      <c r="AA180" s="27" t="s">
        <v>365</v>
      </c>
      <c r="AB180" s="27" t="s">
        <v>365</v>
      </c>
      <c r="AC180" s="27" t="s">
        <v>365</v>
      </c>
      <c r="AD180" s="27" t="s">
        <v>365</v>
      </c>
      <c r="AE180" s="27" t="s">
        <v>365</v>
      </c>
      <c r="AF180" s="27" t="s">
        <v>365</v>
      </c>
      <c r="AG180" s="52">
        <f t="shared" si="29"/>
        <v>9.2755660775649673E-3</v>
      </c>
      <c r="AH180" s="80"/>
    </row>
    <row r="181" spans="1:34" ht="15" customHeight="1">
      <c r="A181" s="32" t="s">
        <v>166</v>
      </c>
      <c r="B181" s="54"/>
      <c r="C181" s="55"/>
      <c r="D181" s="55"/>
      <c r="E181" s="56"/>
      <c r="F181" s="55"/>
      <c r="G181" s="55"/>
      <c r="H181" s="56"/>
      <c r="I181" s="56"/>
      <c r="J181" s="56"/>
      <c r="K181" s="56"/>
      <c r="L181" s="55"/>
      <c r="M181" s="55"/>
      <c r="N181" s="56"/>
      <c r="O181" s="55"/>
      <c r="P181" s="55"/>
      <c r="Q181" s="56"/>
      <c r="R181" s="56"/>
      <c r="S181" s="56"/>
      <c r="T181" s="56"/>
      <c r="U181" s="56"/>
      <c r="V181" s="56"/>
      <c r="W181" s="56"/>
      <c r="X181" s="27"/>
      <c r="Y181" s="27"/>
      <c r="Z181" s="27"/>
      <c r="AA181" s="27"/>
      <c r="AB181" s="27"/>
      <c r="AC181" s="27"/>
      <c r="AD181" s="27"/>
      <c r="AE181" s="27"/>
      <c r="AF181" s="27"/>
      <c r="AG181" s="56"/>
      <c r="AH181" s="80"/>
    </row>
    <row r="182" spans="1:34" ht="15" customHeight="1">
      <c r="A182" s="33" t="s">
        <v>167</v>
      </c>
      <c r="B182" s="50">
        <f>'Расчет субсидий'!AT182</f>
        <v>-115.46363636363637</v>
      </c>
      <c r="C182" s="52">
        <f>'Расчет субсидий'!D182-1</f>
        <v>-1</v>
      </c>
      <c r="D182" s="52">
        <f>C182*'Расчет субсидий'!E182</f>
        <v>0</v>
      </c>
      <c r="E182" s="53">
        <f t="shared" si="25"/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2">
        <f>'Расчет субсидий'!P182-1</f>
        <v>-0.76671823964242747</v>
      </c>
      <c r="M182" s="52">
        <f>L182*'Расчет субсидий'!Q182</f>
        <v>-15.33436479284855</v>
      </c>
      <c r="N182" s="53">
        <f t="shared" si="26"/>
        <v>-115.99511466271284</v>
      </c>
      <c r="O182" s="27" t="s">
        <v>365</v>
      </c>
      <c r="P182" s="27" t="s">
        <v>365</v>
      </c>
      <c r="Q182" s="27" t="s">
        <v>365</v>
      </c>
      <c r="R182" s="58">
        <f>'Расчет субсидий'!X182-1</f>
        <v>-3.1749414020882161E-2</v>
      </c>
      <c r="S182" s="58">
        <f>R182*'Расчет субсидий'!Y182</f>
        <v>-0.1587470701044108</v>
      </c>
      <c r="T182" s="53">
        <f t="shared" si="27"/>
        <v>-1.2008247389365929</v>
      </c>
      <c r="U182" s="52">
        <f>'Расчет субсидий'!AB182-1</f>
        <v>1.1450381679389388E-2</v>
      </c>
      <c r="V182" s="52">
        <f>U182*'Расчет субсидий'!AC182</f>
        <v>0.22900763358778775</v>
      </c>
      <c r="W182" s="53">
        <f t="shared" si="28"/>
        <v>1.7323030380130544</v>
      </c>
      <c r="X182" s="27" t="s">
        <v>365</v>
      </c>
      <c r="Y182" s="27" t="s">
        <v>365</v>
      </c>
      <c r="Z182" s="27" t="s">
        <v>365</v>
      </c>
      <c r="AA182" s="27" t="s">
        <v>365</v>
      </c>
      <c r="AB182" s="27" t="s">
        <v>365</v>
      </c>
      <c r="AC182" s="27" t="s">
        <v>365</v>
      </c>
      <c r="AD182" s="27" t="s">
        <v>365</v>
      </c>
      <c r="AE182" s="27" t="s">
        <v>365</v>
      </c>
      <c r="AF182" s="27" t="s">
        <v>365</v>
      </c>
      <c r="AG182" s="52">
        <f t="shared" si="29"/>
        <v>-15.264104229365174</v>
      </c>
      <c r="AH182" s="80"/>
    </row>
    <row r="183" spans="1:34" ht="15" customHeight="1">
      <c r="A183" s="33" t="s">
        <v>168</v>
      </c>
      <c r="B183" s="50">
        <f>'Расчет субсидий'!AT183</f>
        <v>4.2999999999999545</v>
      </c>
      <c r="C183" s="52">
        <f>'Расчет субсидий'!D183-1</f>
        <v>5.5947514083814376E-2</v>
      </c>
      <c r="D183" s="52">
        <f>C183*'Расчет субсидий'!E183</f>
        <v>0.27973757041907188</v>
      </c>
      <c r="E183" s="53">
        <f t="shared" si="25"/>
        <v>3.8190913845787087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2">
        <f>'Расчет субсидий'!P183-1</f>
        <v>-0.10627904205885852</v>
      </c>
      <c r="M183" s="52">
        <f>L183*'Расчет субсидий'!Q183</f>
        <v>-2.1255808411771704</v>
      </c>
      <c r="N183" s="53">
        <f t="shared" si="26"/>
        <v>-29.019296427019526</v>
      </c>
      <c r="O183" s="27" t="s">
        <v>365</v>
      </c>
      <c r="P183" s="27" t="s">
        <v>365</v>
      </c>
      <c r="Q183" s="27" t="s">
        <v>365</v>
      </c>
      <c r="R183" s="58">
        <f>'Расчет субсидий'!X183-1</f>
        <v>8.8321664060906802E-2</v>
      </c>
      <c r="S183" s="58">
        <f>R183*'Расчет субсидий'!Y183</f>
        <v>0.44160832030453401</v>
      </c>
      <c r="T183" s="53">
        <f t="shared" si="27"/>
        <v>6.0290168707289808</v>
      </c>
      <c r="U183" s="52">
        <f>'Расчет субсидий'!AB183-1</f>
        <v>8.5959885386819535E-2</v>
      </c>
      <c r="V183" s="52">
        <f>U183*'Расчет субсидий'!AC183</f>
        <v>1.7191977077363907</v>
      </c>
      <c r="W183" s="53">
        <f t="shared" si="28"/>
        <v>23.471188171711791</v>
      </c>
      <c r="X183" s="27" t="s">
        <v>365</v>
      </c>
      <c r="Y183" s="27" t="s">
        <v>365</v>
      </c>
      <c r="Z183" s="27" t="s">
        <v>365</v>
      </c>
      <c r="AA183" s="27" t="s">
        <v>365</v>
      </c>
      <c r="AB183" s="27" t="s">
        <v>365</v>
      </c>
      <c r="AC183" s="27" t="s">
        <v>365</v>
      </c>
      <c r="AD183" s="27" t="s">
        <v>365</v>
      </c>
      <c r="AE183" s="27" t="s">
        <v>365</v>
      </c>
      <c r="AF183" s="27" t="s">
        <v>365</v>
      </c>
      <c r="AG183" s="52">
        <f t="shared" si="29"/>
        <v>0.31496275728282619</v>
      </c>
      <c r="AH183" s="80"/>
    </row>
    <row r="184" spans="1:34" ht="15" customHeight="1">
      <c r="A184" s="33" t="s">
        <v>169</v>
      </c>
      <c r="B184" s="50">
        <f>'Расчет субсидий'!AT184</f>
        <v>39.045454545454561</v>
      </c>
      <c r="C184" s="52">
        <f>'Расчет субсидий'!D184-1</f>
        <v>-1</v>
      </c>
      <c r="D184" s="52">
        <f>C184*'Расчет субсидий'!E184</f>
        <v>0</v>
      </c>
      <c r="E184" s="53">
        <f t="shared" si="25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2">
        <f>'Расчет субсидий'!P184-1</f>
        <v>0.19060647514819884</v>
      </c>
      <c r="M184" s="52">
        <f>L184*'Расчет субсидий'!Q184</f>
        <v>3.8121295029639768</v>
      </c>
      <c r="N184" s="53">
        <f t="shared" si="26"/>
        <v>30.712203830377561</v>
      </c>
      <c r="O184" s="27" t="s">
        <v>365</v>
      </c>
      <c r="P184" s="27" t="s">
        <v>365</v>
      </c>
      <c r="Q184" s="27" t="s">
        <v>365</v>
      </c>
      <c r="R184" s="58">
        <f>'Расчет субсидий'!X184-1</f>
        <v>0.2068717118575476</v>
      </c>
      <c r="S184" s="58">
        <f>R184*'Расчет субсидий'!Y184</f>
        <v>1.034358559287738</v>
      </c>
      <c r="T184" s="53">
        <f t="shared" si="27"/>
        <v>8.3332507150769981</v>
      </c>
      <c r="U184" s="52">
        <f>'Расчет субсидий'!AB184-1</f>
        <v>0</v>
      </c>
      <c r="V184" s="52">
        <f>U184*'Расчет субсидий'!AC184</f>
        <v>0</v>
      </c>
      <c r="W184" s="53">
        <f t="shared" si="28"/>
        <v>0</v>
      </c>
      <c r="X184" s="27" t="s">
        <v>365</v>
      </c>
      <c r="Y184" s="27" t="s">
        <v>365</v>
      </c>
      <c r="Z184" s="27" t="s">
        <v>365</v>
      </c>
      <c r="AA184" s="27" t="s">
        <v>365</v>
      </c>
      <c r="AB184" s="27" t="s">
        <v>365</v>
      </c>
      <c r="AC184" s="27" t="s">
        <v>365</v>
      </c>
      <c r="AD184" s="27" t="s">
        <v>365</v>
      </c>
      <c r="AE184" s="27" t="s">
        <v>365</v>
      </c>
      <c r="AF184" s="27" t="s">
        <v>365</v>
      </c>
      <c r="AG184" s="52">
        <f t="shared" si="29"/>
        <v>4.8464880622517148</v>
      </c>
      <c r="AH184" s="80"/>
    </row>
    <row r="185" spans="1:34" ht="15" customHeight="1">
      <c r="A185" s="33" t="s">
        <v>170</v>
      </c>
      <c r="B185" s="50">
        <f>'Расчет субсидий'!AT185</f>
        <v>-30.336363636363615</v>
      </c>
      <c r="C185" s="52">
        <f>'Расчет субсидий'!D185-1</f>
        <v>-1</v>
      </c>
      <c r="D185" s="52">
        <f>C185*'Расчет субсидий'!E185</f>
        <v>0</v>
      </c>
      <c r="E185" s="53">
        <f t="shared" ref="E185:E247" si="30">$B185*D185/$AG185</f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2">
        <f>'Расчет субсидий'!P185-1</f>
        <v>-0.13319672131147542</v>
      </c>
      <c r="M185" s="52">
        <f>L185*'Расчет субсидий'!Q185</f>
        <v>-2.6639344262295084</v>
      </c>
      <c r="N185" s="53">
        <f t="shared" ref="N185:N247" si="31">$B185*M185/$AG185</f>
        <v>-10.230528045593081</v>
      </c>
      <c r="O185" s="27" t="s">
        <v>365</v>
      </c>
      <c r="P185" s="27" t="s">
        <v>365</v>
      </c>
      <c r="Q185" s="27" t="s">
        <v>365</v>
      </c>
      <c r="R185" s="58">
        <f>'Расчет субсидий'!X185-1</f>
        <v>-0.54707454707454706</v>
      </c>
      <c r="S185" s="58">
        <f>R185*'Расчет субсидий'!Y185</f>
        <v>-2.7353727353727351</v>
      </c>
      <c r="T185" s="53">
        <f t="shared" ref="T185:T247" si="32">$B185*S185/$AG185</f>
        <v>-10.504878501829335</v>
      </c>
      <c r="U185" s="52">
        <f>'Расчет субсидий'!AB185-1</f>
        <v>-0.125</v>
      </c>
      <c r="V185" s="52">
        <f>U185*'Расчет субсидий'!AC185</f>
        <v>-2.5</v>
      </c>
      <c r="W185" s="53">
        <f t="shared" ref="W185:W247" si="33">$B185*V185/$AG185</f>
        <v>-9.6009570889411986</v>
      </c>
      <c r="X185" s="27" t="s">
        <v>365</v>
      </c>
      <c r="Y185" s="27" t="s">
        <v>365</v>
      </c>
      <c r="Z185" s="27" t="s">
        <v>365</v>
      </c>
      <c r="AA185" s="27" t="s">
        <v>365</v>
      </c>
      <c r="AB185" s="27" t="s">
        <v>365</v>
      </c>
      <c r="AC185" s="27" t="s">
        <v>365</v>
      </c>
      <c r="AD185" s="27" t="s">
        <v>365</v>
      </c>
      <c r="AE185" s="27" t="s">
        <v>365</v>
      </c>
      <c r="AF185" s="27" t="s">
        <v>365</v>
      </c>
      <c r="AG185" s="52">
        <f t="shared" si="29"/>
        <v>-7.899307161602243</v>
      </c>
      <c r="AH185" s="80"/>
    </row>
    <row r="186" spans="1:34" ht="15" customHeight="1">
      <c r="A186" s="33" t="s">
        <v>171</v>
      </c>
      <c r="B186" s="50">
        <f>'Расчет субсидий'!AT186</f>
        <v>-13.318181818181813</v>
      </c>
      <c r="C186" s="52">
        <f>'Расчет субсидий'!D186-1</f>
        <v>-1</v>
      </c>
      <c r="D186" s="52">
        <f>C186*'Расчет субсидий'!E186</f>
        <v>0</v>
      </c>
      <c r="E186" s="53">
        <f t="shared" si="30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2">
        <f>'Расчет субсидий'!P186-1</f>
        <v>-0.29670522257273046</v>
      </c>
      <c r="M186" s="52">
        <f>L186*'Расчет субсидий'!Q186</f>
        <v>-5.9341044514546093</v>
      </c>
      <c r="N186" s="53">
        <f t="shared" si="31"/>
        <v>-26.645541532415127</v>
      </c>
      <c r="O186" s="27" t="s">
        <v>365</v>
      </c>
      <c r="P186" s="27" t="s">
        <v>365</v>
      </c>
      <c r="Q186" s="27" t="s">
        <v>365</v>
      </c>
      <c r="R186" s="58">
        <f>'Расчет субсидий'!X186-1</f>
        <v>-4.4066317626527018E-2</v>
      </c>
      <c r="S186" s="58">
        <f>R186*'Расчет субсидий'!Y186</f>
        <v>-0.22033158813263509</v>
      </c>
      <c r="T186" s="53">
        <f t="shared" si="32"/>
        <v>-0.98934127811855543</v>
      </c>
      <c r="U186" s="52">
        <f>'Расчет субсидий'!AB186-1</f>
        <v>0.15942028985507251</v>
      </c>
      <c r="V186" s="52">
        <f>U186*'Расчет субсидий'!AC186</f>
        <v>3.1884057971014501</v>
      </c>
      <c r="W186" s="53">
        <f t="shared" si="33"/>
        <v>14.316700992351869</v>
      </c>
      <c r="X186" s="27" t="s">
        <v>365</v>
      </c>
      <c r="Y186" s="27" t="s">
        <v>365</v>
      </c>
      <c r="Z186" s="27" t="s">
        <v>365</v>
      </c>
      <c r="AA186" s="27" t="s">
        <v>365</v>
      </c>
      <c r="AB186" s="27" t="s">
        <v>365</v>
      </c>
      <c r="AC186" s="27" t="s">
        <v>365</v>
      </c>
      <c r="AD186" s="27" t="s">
        <v>365</v>
      </c>
      <c r="AE186" s="27" t="s">
        <v>365</v>
      </c>
      <c r="AF186" s="27" t="s">
        <v>365</v>
      </c>
      <c r="AG186" s="52">
        <f t="shared" ref="AG186:AG249" si="34">D186+M186+S186+V186</f>
        <v>-2.9660302424857941</v>
      </c>
      <c r="AH186" s="80"/>
    </row>
    <row r="187" spans="1:34" ht="15" customHeight="1">
      <c r="A187" s="33" t="s">
        <v>172</v>
      </c>
      <c r="B187" s="50">
        <f>'Расчет субсидий'!AT187</f>
        <v>-59.727272727272748</v>
      </c>
      <c r="C187" s="52">
        <f>'Расчет субсидий'!D187-1</f>
        <v>-1</v>
      </c>
      <c r="D187" s="52">
        <f>C187*'Расчет субсидий'!E187</f>
        <v>0</v>
      </c>
      <c r="E187" s="53">
        <f t="shared" si="30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2">
        <f>'Расчет субсидий'!P187-1</f>
        <v>-0.40643669300443241</v>
      </c>
      <c r="M187" s="52">
        <f>L187*'Расчет субсидий'!Q187</f>
        <v>-8.1287338600886478</v>
      </c>
      <c r="N187" s="53">
        <f t="shared" si="31"/>
        <v>-69.861687639066204</v>
      </c>
      <c r="O187" s="27" t="s">
        <v>365</v>
      </c>
      <c r="P187" s="27" t="s">
        <v>365</v>
      </c>
      <c r="Q187" s="27" t="s">
        <v>365</v>
      </c>
      <c r="R187" s="58">
        <f>'Расчет субсидий'!X187-1</f>
        <v>0.20164927358297513</v>
      </c>
      <c r="S187" s="58">
        <f>R187*'Расчет субсидий'!Y187</f>
        <v>1.0082463679148757</v>
      </c>
      <c r="T187" s="53">
        <f t="shared" si="32"/>
        <v>8.6652846594394362</v>
      </c>
      <c r="U187" s="52">
        <f>'Расчет субсидий'!AB187-1</f>
        <v>8.5470085470085166E-3</v>
      </c>
      <c r="V187" s="52">
        <f>U187*'Расчет субсидий'!AC187</f>
        <v>0.17094017094017033</v>
      </c>
      <c r="W187" s="53">
        <f t="shared" si="33"/>
        <v>1.4691302523540273</v>
      </c>
      <c r="X187" s="27" t="s">
        <v>365</v>
      </c>
      <c r="Y187" s="27" t="s">
        <v>365</v>
      </c>
      <c r="Z187" s="27" t="s">
        <v>365</v>
      </c>
      <c r="AA187" s="27" t="s">
        <v>365</v>
      </c>
      <c r="AB187" s="27" t="s">
        <v>365</v>
      </c>
      <c r="AC187" s="27" t="s">
        <v>365</v>
      </c>
      <c r="AD187" s="27" t="s">
        <v>365</v>
      </c>
      <c r="AE187" s="27" t="s">
        <v>365</v>
      </c>
      <c r="AF187" s="27" t="s">
        <v>365</v>
      </c>
      <c r="AG187" s="52">
        <f t="shared" si="34"/>
        <v>-6.9495473212336023</v>
      </c>
      <c r="AH187" s="80"/>
    </row>
    <row r="188" spans="1:34" ht="15" customHeight="1">
      <c r="A188" s="32" t="s">
        <v>173</v>
      </c>
      <c r="B188" s="54"/>
      <c r="C188" s="55"/>
      <c r="D188" s="55"/>
      <c r="E188" s="56"/>
      <c r="F188" s="55"/>
      <c r="G188" s="55"/>
      <c r="H188" s="56"/>
      <c r="I188" s="56"/>
      <c r="J188" s="56"/>
      <c r="K188" s="56"/>
      <c r="L188" s="55"/>
      <c r="M188" s="55"/>
      <c r="N188" s="56"/>
      <c r="O188" s="55"/>
      <c r="P188" s="55"/>
      <c r="Q188" s="56"/>
      <c r="R188" s="56"/>
      <c r="S188" s="56"/>
      <c r="T188" s="56"/>
      <c r="U188" s="56"/>
      <c r="V188" s="56"/>
      <c r="W188" s="56"/>
      <c r="X188" s="27"/>
      <c r="Y188" s="27"/>
      <c r="Z188" s="27"/>
      <c r="AA188" s="27"/>
      <c r="AB188" s="27"/>
      <c r="AC188" s="27"/>
      <c r="AD188" s="27"/>
      <c r="AE188" s="27"/>
      <c r="AF188" s="27"/>
      <c r="AG188" s="56"/>
      <c r="AH188" s="80"/>
    </row>
    <row r="189" spans="1:34" ht="15" customHeight="1">
      <c r="A189" s="33" t="s">
        <v>174</v>
      </c>
      <c r="B189" s="50">
        <f>'Расчет субсидий'!AT189</f>
        <v>15.418181818181836</v>
      </c>
      <c r="C189" s="52">
        <f>'Расчет субсидий'!D189-1</f>
        <v>-1</v>
      </c>
      <c r="D189" s="52">
        <f>C189*'Расчет субсидий'!E189</f>
        <v>0</v>
      </c>
      <c r="E189" s="53">
        <f t="shared" si="30"/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2">
        <f>'Расчет субсидий'!P189-1</f>
        <v>0.14674868189806678</v>
      </c>
      <c r="M189" s="52">
        <f>L189*'Расчет субсидий'!Q189</f>
        <v>2.9349736379613356</v>
      </c>
      <c r="N189" s="53">
        <f t="shared" si="31"/>
        <v>20.252045206960247</v>
      </c>
      <c r="O189" s="27" t="s">
        <v>365</v>
      </c>
      <c r="P189" s="27" t="s">
        <v>365</v>
      </c>
      <c r="Q189" s="27" t="s">
        <v>365</v>
      </c>
      <c r="R189" s="58">
        <f>'Расчет субсидий'!X189-1</f>
        <v>-0.14010695187165778</v>
      </c>
      <c r="S189" s="58">
        <f>R189*'Расчет субсидий'!Y189</f>
        <v>-0.70053475935828891</v>
      </c>
      <c r="T189" s="53">
        <f t="shared" si="32"/>
        <v>-4.8338633887784122</v>
      </c>
      <c r="U189" s="52">
        <f>'Расчет субсидий'!AB189-1</f>
        <v>0</v>
      </c>
      <c r="V189" s="52">
        <f>U189*'Расчет субсидий'!AC189</f>
        <v>0</v>
      </c>
      <c r="W189" s="53">
        <f t="shared" si="33"/>
        <v>0</v>
      </c>
      <c r="X189" s="27" t="s">
        <v>365</v>
      </c>
      <c r="Y189" s="27" t="s">
        <v>365</v>
      </c>
      <c r="Z189" s="27" t="s">
        <v>365</v>
      </c>
      <c r="AA189" s="27" t="s">
        <v>365</v>
      </c>
      <c r="AB189" s="27" t="s">
        <v>365</v>
      </c>
      <c r="AC189" s="27" t="s">
        <v>365</v>
      </c>
      <c r="AD189" s="27" t="s">
        <v>365</v>
      </c>
      <c r="AE189" s="27" t="s">
        <v>365</v>
      </c>
      <c r="AF189" s="27" t="s">
        <v>365</v>
      </c>
      <c r="AG189" s="52">
        <f t="shared" si="34"/>
        <v>2.2344388786030467</v>
      </c>
      <c r="AH189" s="80"/>
    </row>
    <row r="190" spans="1:34" ht="15" customHeight="1">
      <c r="A190" s="33" t="s">
        <v>175</v>
      </c>
      <c r="B190" s="50">
        <f>'Расчет субсидий'!AT190</f>
        <v>27.618181818181824</v>
      </c>
      <c r="C190" s="52">
        <f>'Расчет субсидий'!D190-1</f>
        <v>-1</v>
      </c>
      <c r="D190" s="52">
        <f>C190*'Расчет субсидий'!E190</f>
        <v>0</v>
      </c>
      <c r="E190" s="53">
        <f t="shared" si="30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2">
        <f>'Расчет субсидий'!P190-1</f>
        <v>0.22573737373737379</v>
      </c>
      <c r="M190" s="52">
        <f>L190*'Расчет субсидий'!Q190</f>
        <v>4.5147474747474758</v>
      </c>
      <c r="N190" s="53">
        <f t="shared" si="31"/>
        <v>29.070095011750855</v>
      </c>
      <c r="O190" s="27" t="s">
        <v>365</v>
      </c>
      <c r="P190" s="27" t="s">
        <v>365</v>
      </c>
      <c r="Q190" s="27" t="s">
        <v>365</v>
      </c>
      <c r="R190" s="58">
        <f>'Расчет субсидий'!X190-1</f>
        <v>-4.5098039215686225E-2</v>
      </c>
      <c r="S190" s="58">
        <f>R190*'Расчет субсидий'!Y190</f>
        <v>-0.22549019607843113</v>
      </c>
      <c r="T190" s="53">
        <f t="shared" si="32"/>
        <v>-1.4519131935690304</v>
      </c>
      <c r="U190" s="52">
        <f>'Расчет субсидий'!AB190-1</f>
        <v>0</v>
      </c>
      <c r="V190" s="52">
        <f>U190*'Расчет субсидий'!AC190</f>
        <v>0</v>
      </c>
      <c r="W190" s="53">
        <f t="shared" si="33"/>
        <v>0</v>
      </c>
      <c r="X190" s="27" t="s">
        <v>365</v>
      </c>
      <c r="Y190" s="27" t="s">
        <v>365</v>
      </c>
      <c r="Z190" s="27" t="s">
        <v>365</v>
      </c>
      <c r="AA190" s="27" t="s">
        <v>365</v>
      </c>
      <c r="AB190" s="27" t="s">
        <v>365</v>
      </c>
      <c r="AC190" s="27" t="s">
        <v>365</v>
      </c>
      <c r="AD190" s="27" t="s">
        <v>365</v>
      </c>
      <c r="AE190" s="27" t="s">
        <v>365</v>
      </c>
      <c r="AF190" s="27" t="s">
        <v>365</v>
      </c>
      <c r="AG190" s="52">
        <f t="shared" si="34"/>
        <v>4.2892572786690444</v>
      </c>
      <c r="AH190" s="80"/>
    </row>
    <row r="191" spans="1:34" ht="15" customHeight="1">
      <c r="A191" s="33" t="s">
        <v>176</v>
      </c>
      <c r="B191" s="50">
        <f>'Расчет субсидий'!AT191</f>
        <v>-6.545454545454561</v>
      </c>
      <c r="C191" s="52">
        <f>'Расчет субсидий'!D191-1</f>
        <v>-1</v>
      </c>
      <c r="D191" s="52">
        <f>C191*'Расчет субсидий'!E191</f>
        <v>0</v>
      </c>
      <c r="E191" s="53">
        <f t="shared" si="30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2">
        <f>'Расчет субсидий'!P191-1</f>
        <v>-2.0660048296216815E-2</v>
      </c>
      <c r="M191" s="52">
        <f>L191*'Расчет субсидий'!Q191</f>
        <v>-0.41320096592433631</v>
      </c>
      <c r="N191" s="53">
        <f t="shared" si="31"/>
        <v>-4.5291919959958618</v>
      </c>
      <c r="O191" s="27" t="s">
        <v>365</v>
      </c>
      <c r="P191" s="27" t="s">
        <v>365</v>
      </c>
      <c r="Q191" s="27" t="s">
        <v>365</v>
      </c>
      <c r="R191" s="58">
        <f>'Расчет субсидий'!X191-1</f>
        <v>-8.1431831146605793E-2</v>
      </c>
      <c r="S191" s="58">
        <f>R191*'Расчет субсидий'!Y191</f>
        <v>-0.40715915573302897</v>
      </c>
      <c r="T191" s="53">
        <f t="shared" si="32"/>
        <v>-4.4629663077316035</v>
      </c>
      <c r="U191" s="52">
        <f>'Расчет субсидий'!AB191-1</f>
        <v>1.1160714285714191E-2</v>
      </c>
      <c r="V191" s="52">
        <f>U191*'Расчет субсидий'!AC191</f>
        <v>0.22321428571428381</v>
      </c>
      <c r="W191" s="53">
        <f t="shared" si="33"/>
        <v>2.4467037582729034</v>
      </c>
      <c r="X191" s="27" t="s">
        <v>365</v>
      </c>
      <c r="Y191" s="27" t="s">
        <v>365</v>
      </c>
      <c r="Z191" s="27" t="s">
        <v>365</v>
      </c>
      <c r="AA191" s="27" t="s">
        <v>365</v>
      </c>
      <c r="AB191" s="27" t="s">
        <v>365</v>
      </c>
      <c r="AC191" s="27" t="s">
        <v>365</v>
      </c>
      <c r="AD191" s="27" t="s">
        <v>365</v>
      </c>
      <c r="AE191" s="27" t="s">
        <v>365</v>
      </c>
      <c r="AF191" s="27" t="s">
        <v>365</v>
      </c>
      <c r="AG191" s="52">
        <f t="shared" si="34"/>
        <v>-0.59714583594308146</v>
      </c>
      <c r="AH191" s="80"/>
    </row>
    <row r="192" spans="1:34" ht="15" customHeight="1">
      <c r="A192" s="33" t="s">
        <v>177</v>
      </c>
      <c r="B192" s="50">
        <f>'Расчет субсидий'!AT192</f>
        <v>9.0636363636363626</v>
      </c>
      <c r="C192" s="52">
        <f>'Расчет субсидий'!D192-1</f>
        <v>0.20179526901669753</v>
      </c>
      <c r="D192" s="52">
        <f>C192*'Расчет субсидий'!E192</f>
        <v>1.0089763450834877</v>
      </c>
      <c r="E192" s="53">
        <f t="shared" si="30"/>
        <v>7.3912940498870157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2">
        <f>'Расчет субсидий'!P192-1</f>
        <v>1.5511148638083672E-2</v>
      </c>
      <c r="M192" s="52">
        <f>L192*'Расчет субсидий'!Q192</f>
        <v>0.31022297276167343</v>
      </c>
      <c r="N192" s="53">
        <f t="shared" si="31"/>
        <v>2.2725500195169479</v>
      </c>
      <c r="O192" s="27" t="s">
        <v>365</v>
      </c>
      <c r="P192" s="27" t="s">
        <v>365</v>
      </c>
      <c r="Q192" s="27" t="s">
        <v>365</v>
      </c>
      <c r="R192" s="58">
        <f>'Расчет субсидий'!X192-1</f>
        <v>-1.638672127421581E-2</v>
      </c>
      <c r="S192" s="58">
        <f>R192*'Расчет субсидий'!Y192</f>
        <v>-8.1933606371079049E-2</v>
      </c>
      <c r="T192" s="53">
        <f t="shared" si="32"/>
        <v>-0.60020770576760307</v>
      </c>
      <c r="U192" s="52">
        <f>'Расчет субсидий'!AB192-1</f>
        <v>0</v>
      </c>
      <c r="V192" s="52">
        <f>U192*'Расчет субсидий'!AC192</f>
        <v>0</v>
      </c>
      <c r="W192" s="53">
        <f t="shared" si="33"/>
        <v>0</v>
      </c>
      <c r="X192" s="27" t="s">
        <v>365</v>
      </c>
      <c r="Y192" s="27" t="s">
        <v>365</v>
      </c>
      <c r="Z192" s="27" t="s">
        <v>365</v>
      </c>
      <c r="AA192" s="27" t="s">
        <v>365</v>
      </c>
      <c r="AB192" s="27" t="s">
        <v>365</v>
      </c>
      <c r="AC192" s="27" t="s">
        <v>365</v>
      </c>
      <c r="AD192" s="27" t="s">
        <v>365</v>
      </c>
      <c r="AE192" s="27" t="s">
        <v>365</v>
      </c>
      <c r="AF192" s="27" t="s">
        <v>365</v>
      </c>
      <c r="AG192" s="52">
        <f t="shared" si="34"/>
        <v>1.2372657114740822</v>
      </c>
      <c r="AH192" s="80"/>
    </row>
    <row r="193" spans="1:34" ht="15" customHeight="1">
      <c r="A193" s="33" t="s">
        <v>178</v>
      </c>
      <c r="B193" s="50">
        <f>'Расчет субсидий'!AT193</f>
        <v>26.309090909090912</v>
      </c>
      <c r="C193" s="52">
        <f>'Расчет субсидий'!D193-1</f>
        <v>-1</v>
      </c>
      <c r="D193" s="52">
        <f>C193*'Расчет субсидий'!E193</f>
        <v>0</v>
      </c>
      <c r="E193" s="53">
        <f t="shared" si="30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2">
        <f>'Расчет субсидий'!P193-1</f>
        <v>0.27017326732673252</v>
      </c>
      <c r="M193" s="52">
        <f>L193*'Расчет субсидий'!Q193</f>
        <v>5.4034653465346505</v>
      </c>
      <c r="N193" s="53">
        <f t="shared" si="31"/>
        <v>36.089520407370365</v>
      </c>
      <c r="O193" s="27" t="s">
        <v>365</v>
      </c>
      <c r="P193" s="27" t="s">
        <v>365</v>
      </c>
      <c r="Q193" s="27" t="s">
        <v>365</v>
      </c>
      <c r="R193" s="58">
        <f>'Расчет субсидий'!X193-1</f>
        <v>-8.9483065953654184E-2</v>
      </c>
      <c r="S193" s="58">
        <f>R193*'Расчет субсидий'!Y193</f>
        <v>-0.44741532976827092</v>
      </c>
      <c r="T193" s="53">
        <f t="shared" si="32"/>
        <v>-2.9882683868043589</v>
      </c>
      <c r="U193" s="52">
        <f>'Расчет субсидий'!AB193-1</f>
        <v>-5.084745762711862E-2</v>
      </c>
      <c r="V193" s="52">
        <f>U193*'Расчет субсидий'!AC193</f>
        <v>-1.0169491525423724</v>
      </c>
      <c r="W193" s="53">
        <f t="shared" si="33"/>
        <v>-6.7921611114750942</v>
      </c>
      <c r="X193" s="27" t="s">
        <v>365</v>
      </c>
      <c r="Y193" s="27" t="s">
        <v>365</v>
      </c>
      <c r="Z193" s="27" t="s">
        <v>365</v>
      </c>
      <c r="AA193" s="27" t="s">
        <v>365</v>
      </c>
      <c r="AB193" s="27" t="s">
        <v>365</v>
      </c>
      <c r="AC193" s="27" t="s">
        <v>365</v>
      </c>
      <c r="AD193" s="27" t="s">
        <v>365</v>
      </c>
      <c r="AE193" s="27" t="s">
        <v>365</v>
      </c>
      <c r="AF193" s="27" t="s">
        <v>365</v>
      </c>
      <c r="AG193" s="52">
        <f t="shared" si="34"/>
        <v>3.9391008642240073</v>
      </c>
      <c r="AH193" s="80"/>
    </row>
    <row r="194" spans="1:34" ht="15" customHeight="1">
      <c r="A194" s="33" t="s">
        <v>179</v>
      </c>
      <c r="B194" s="50">
        <f>'Расчет субсидий'!AT194</f>
        <v>-40.899999999999977</v>
      </c>
      <c r="C194" s="52">
        <f>'Расчет субсидий'!D194-1</f>
        <v>-1</v>
      </c>
      <c r="D194" s="52">
        <f>C194*'Расчет субсидий'!E194</f>
        <v>0</v>
      </c>
      <c r="E194" s="53">
        <f t="shared" si="30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2">
        <f>'Расчет субсидий'!P194-1</f>
        <v>-0.2491486946651531</v>
      </c>
      <c r="M194" s="52">
        <f>L194*'Расчет субсидий'!Q194</f>
        <v>-4.9829738933030621</v>
      </c>
      <c r="N194" s="53">
        <f t="shared" si="31"/>
        <v>-40.220839186172824</v>
      </c>
      <c r="O194" s="27" t="s">
        <v>365</v>
      </c>
      <c r="P194" s="27" t="s">
        <v>365</v>
      </c>
      <c r="Q194" s="27" t="s">
        <v>365</v>
      </c>
      <c r="R194" s="58">
        <f>'Расчет субсидий'!X194-1</f>
        <v>-1.682829435253852E-2</v>
      </c>
      <c r="S194" s="58">
        <f>R194*'Расчет субсидий'!Y194</f>
        <v>-8.4141471762692599E-2</v>
      </c>
      <c r="T194" s="53">
        <f t="shared" si="32"/>
        <v>-0.67916081382715221</v>
      </c>
      <c r="U194" s="52">
        <f>'Расчет субсидий'!AB194-1</f>
        <v>0</v>
      </c>
      <c r="V194" s="52">
        <f>U194*'Расчет субсидий'!AC194</f>
        <v>0</v>
      </c>
      <c r="W194" s="53">
        <f t="shared" si="33"/>
        <v>0</v>
      </c>
      <c r="X194" s="27" t="s">
        <v>365</v>
      </c>
      <c r="Y194" s="27" t="s">
        <v>365</v>
      </c>
      <c r="Z194" s="27" t="s">
        <v>365</v>
      </c>
      <c r="AA194" s="27" t="s">
        <v>365</v>
      </c>
      <c r="AB194" s="27" t="s">
        <v>365</v>
      </c>
      <c r="AC194" s="27" t="s">
        <v>365</v>
      </c>
      <c r="AD194" s="27" t="s">
        <v>365</v>
      </c>
      <c r="AE194" s="27" t="s">
        <v>365</v>
      </c>
      <c r="AF194" s="27" t="s">
        <v>365</v>
      </c>
      <c r="AG194" s="52">
        <f t="shared" si="34"/>
        <v>-5.0671153650657548</v>
      </c>
      <c r="AH194" s="80"/>
    </row>
    <row r="195" spans="1:34" ht="15" customHeight="1">
      <c r="A195" s="33" t="s">
        <v>180</v>
      </c>
      <c r="B195" s="50">
        <f>'Расчет субсидий'!AT195</f>
        <v>37.209090909090889</v>
      </c>
      <c r="C195" s="52">
        <f>'Расчет субсидий'!D195-1</f>
        <v>-1</v>
      </c>
      <c r="D195" s="52">
        <f>C195*'Расчет субсидий'!E195</f>
        <v>0</v>
      </c>
      <c r="E195" s="53">
        <f t="shared" si="30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2">
        <f>'Расчет субсидий'!P195-1</f>
        <v>0.20988248461108006</v>
      </c>
      <c r="M195" s="52">
        <f>L195*'Расчет субсидий'!Q195</f>
        <v>4.1976496922216011</v>
      </c>
      <c r="N195" s="53">
        <f t="shared" si="31"/>
        <v>37.611879819814632</v>
      </c>
      <c r="O195" s="27" t="s">
        <v>365</v>
      </c>
      <c r="P195" s="27" t="s">
        <v>365</v>
      </c>
      <c r="Q195" s="27" t="s">
        <v>365</v>
      </c>
      <c r="R195" s="58">
        <f>'Расчет субсидий'!X195-1</f>
        <v>-0.11657006164320549</v>
      </c>
      <c r="S195" s="58">
        <f>R195*'Расчет субсидий'!Y195</f>
        <v>-0.58285030821602746</v>
      </c>
      <c r="T195" s="53">
        <f t="shared" si="32"/>
        <v>-5.2224690845893091</v>
      </c>
      <c r="U195" s="52">
        <f>'Расчет субсидий'!AB195-1</f>
        <v>2.689486552567244E-2</v>
      </c>
      <c r="V195" s="52">
        <f>U195*'Расчет субсидий'!AC195</f>
        <v>0.5378973105134488</v>
      </c>
      <c r="W195" s="53">
        <f t="shared" si="33"/>
        <v>4.8196801738655664</v>
      </c>
      <c r="X195" s="27" t="s">
        <v>365</v>
      </c>
      <c r="Y195" s="27" t="s">
        <v>365</v>
      </c>
      <c r="Z195" s="27" t="s">
        <v>365</v>
      </c>
      <c r="AA195" s="27" t="s">
        <v>365</v>
      </c>
      <c r="AB195" s="27" t="s">
        <v>365</v>
      </c>
      <c r="AC195" s="27" t="s">
        <v>365</v>
      </c>
      <c r="AD195" s="27" t="s">
        <v>365</v>
      </c>
      <c r="AE195" s="27" t="s">
        <v>365</v>
      </c>
      <c r="AF195" s="27" t="s">
        <v>365</v>
      </c>
      <c r="AG195" s="52">
        <f t="shared" si="34"/>
        <v>4.1526966945190225</v>
      </c>
      <c r="AH195" s="80"/>
    </row>
    <row r="196" spans="1:34" ht="15" customHeight="1">
      <c r="A196" s="33" t="s">
        <v>181</v>
      </c>
      <c r="B196" s="50">
        <f>'Расчет субсидий'!AT196</f>
        <v>-30.73636363636362</v>
      </c>
      <c r="C196" s="52">
        <f>'Расчет субсидий'!D196-1</f>
        <v>0.16533588333731775</v>
      </c>
      <c r="D196" s="52">
        <f>C196*'Расчет субсидий'!E196</f>
        <v>0.82667941668658873</v>
      </c>
      <c r="E196" s="53">
        <f t="shared" si="30"/>
        <v>3.4480224667716084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2">
        <f>'Расчет субсидий'!P196-1</f>
        <v>-0.44161891117478502</v>
      </c>
      <c r="M196" s="52">
        <f>L196*'Расчет субсидий'!Q196</f>
        <v>-8.8323782234957005</v>
      </c>
      <c r="N196" s="53">
        <f t="shared" si="31"/>
        <v>-36.839236510449268</v>
      </c>
      <c r="O196" s="27" t="s">
        <v>365</v>
      </c>
      <c r="P196" s="27" t="s">
        <v>365</v>
      </c>
      <c r="Q196" s="27" t="s">
        <v>365</v>
      </c>
      <c r="R196" s="58">
        <f>'Расчет субсидий'!X196-1</f>
        <v>0.12730254557554721</v>
      </c>
      <c r="S196" s="58">
        <f>R196*'Расчет субсидий'!Y196</f>
        <v>0.63651272787773605</v>
      </c>
      <c r="T196" s="53">
        <f t="shared" si="32"/>
        <v>2.6548504073140324</v>
      </c>
      <c r="U196" s="52">
        <f>'Расчет субсидий'!AB196-1</f>
        <v>0</v>
      </c>
      <c r="V196" s="52">
        <f>U196*'Расчет субсидий'!AC196</f>
        <v>0</v>
      </c>
      <c r="W196" s="53">
        <f t="shared" si="33"/>
        <v>0</v>
      </c>
      <c r="X196" s="27" t="s">
        <v>365</v>
      </c>
      <c r="Y196" s="27" t="s">
        <v>365</v>
      </c>
      <c r="Z196" s="27" t="s">
        <v>365</v>
      </c>
      <c r="AA196" s="27" t="s">
        <v>365</v>
      </c>
      <c r="AB196" s="27" t="s">
        <v>365</v>
      </c>
      <c r="AC196" s="27" t="s">
        <v>365</v>
      </c>
      <c r="AD196" s="27" t="s">
        <v>365</v>
      </c>
      <c r="AE196" s="27" t="s">
        <v>365</v>
      </c>
      <c r="AF196" s="27" t="s">
        <v>365</v>
      </c>
      <c r="AG196" s="52">
        <f t="shared" si="34"/>
        <v>-7.3691860789313743</v>
      </c>
      <c r="AH196" s="80"/>
    </row>
    <row r="197" spans="1:34" ht="15" customHeight="1">
      <c r="A197" s="33" t="s">
        <v>182</v>
      </c>
      <c r="B197" s="50">
        <f>'Расчет субсидий'!AT197</f>
        <v>30.81818181818187</v>
      </c>
      <c r="C197" s="52">
        <f>'Расчет субсидий'!D197-1</f>
        <v>-1</v>
      </c>
      <c r="D197" s="52">
        <f>C197*'Расчет субсидий'!E197</f>
        <v>0</v>
      </c>
      <c r="E197" s="53">
        <f t="shared" si="30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2">
        <f>'Расчет субсидий'!P197-1</f>
        <v>0.14618223105307981</v>
      </c>
      <c r="M197" s="52">
        <f>L197*'Расчет субсидий'!Q197</f>
        <v>2.9236446210615963</v>
      </c>
      <c r="N197" s="53">
        <f t="shared" si="31"/>
        <v>32.499513441687597</v>
      </c>
      <c r="O197" s="27" t="s">
        <v>365</v>
      </c>
      <c r="P197" s="27" t="s">
        <v>365</v>
      </c>
      <c r="Q197" s="27" t="s">
        <v>365</v>
      </c>
      <c r="R197" s="58">
        <f>'Расчет субсидий'!X197-1</f>
        <v>-0.10267379679144384</v>
      </c>
      <c r="S197" s="58">
        <f>R197*'Расчет субсидий'!Y197</f>
        <v>-0.51336898395721919</v>
      </c>
      <c r="T197" s="53">
        <f t="shared" si="32"/>
        <v>-5.7066587623105089</v>
      </c>
      <c r="U197" s="52">
        <f>'Расчет субсидий'!AB197-1</f>
        <v>1.8105849582172651E-2</v>
      </c>
      <c r="V197" s="52">
        <f>U197*'Расчет субсидий'!AC197</f>
        <v>0.36211699164345301</v>
      </c>
      <c r="W197" s="53">
        <f t="shared" si="33"/>
        <v>4.0253271388047844</v>
      </c>
      <c r="X197" s="27" t="s">
        <v>365</v>
      </c>
      <c r="Y197" s="27" t="s">
        <v>365</v>
      </c>
      <c r="Z197" s="27" t="s">
        <v>365</v>
      </c>
      <c r="AA197" s="27" t="s">
        <v>365</v>
      </c>
      <c r="AB197" s="27" t="s">
        <v>365</v>
      </c>
      <c r="AC197" s="27" t="s">
        <v>365</v>
      </c>
      <c r="AD197" s="27" t="s">
        <v>365</v>
      </c>
      <c r="AE197" s="27" t="s">
        <v>365</v>
      </c>
      <c r="AF197" s="27" t="s">
        <v>365</v>
      </c>
      <c r="AG197" s="52">
        <f t="shared" si="34"/>
        <v>2.7723926287478302</v>
      </c>
      <c r="AH197" s="80"/>
    </row>
    <row r="198" spans="1:34" ht="15" customHeight="1">
      <c r="A198" s="33" t="s">
        <v>183</v>
      </c>
      <c r="B198" s="50">
        <f>'Расчет субсидий'!AT198</f>
        <v>12.172727272727229</v>
      </c>
      <c r="C198" s="52">
        <f>'Расчет субсидий'!D198-1</f>
        <v>-1</v>
      </c>
      <c r="D198" s="52">
        <f>C198*'Расчет субсидий'!E198</f>
        <v>0</v>
      </c>
      <c r="E198" s="53">
        <f t="shared" si="30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2">
        <f>'Расчет субсидий'!P198-1</f>
        <v>0.10992366412213728</v>
      </c>
      <c r="M198" s="52">
        <f>L198*'Расчет субсидий'!Q198</f>
        <v>2.1984732824427455</v>
      </c>
      <c r="N198" s="53">
        <f t="shared" si="31"/>
        <v>16.906063903124561</v>
      </c>
      <c r="O198" s="27" t="s">
        <v>365</v>
      </c>
      <c r="P198" s="27" t="s">
        <v>365</v>
      </c>
      <c r="Q198" s="27" t="s">
        <v>365</v>
      </c>
      <c r="R198" s="58">
        <f>'Расчет субсидий'!X198-1</f>
        <v>-0.26511694238448369</v>
      </c>
      <c r="S198" s="58">
        <f>R198*'Расчет субсидий'!Y198</f>
        <v>-1.3255847119224184</v>
      </c>
      <c r="T198" s="53">
        <f t="shared" si="32"/>
        <v>-10.193628472875925</v>
      </c>
      <c r="U198" s="52">
        <f>'Расчет субсидий'!AB198-1</f>
        <v>3.5502958579881616E-2</v>
      </c>
      <c r="V198" s="52">
        <f>U198*'Расчет субсидий'!AC198</f>
        <v>0.71005917159763232</v>
      </c>
      <c r="W198" s="53">
        <f t="shared" si="33"/>
        <v>5.4602918424785933</v>
      </c>
      <c r="X198" s="27" t="s">
        <v>365</v>
      </c>
      <c r="Y198" s="27" t="s">
        <v>365</v>
      </c>
      <c r="Z198" s="27" t="s">
        <v>365</v>
      </c>
      <c r="AA198" s="27" t="s">
        <v>365</v>
      </c>
      <c r="AB198" s="27" t="s">
        <v>365</v>
      </c>
      <c r="AC198" s="27" t="s">
        <v>365</v>
      </c>
      <c r="AD198" s="27" t="s">
        <v>365</v>
      </c>
      <c r="AE198" s="27" t="s">
        <v>365</v>
      </c>
      <c r="AF198" s="27" t="s">
        <v>365</v>
      </c>
      <c r="AG198" s="52">
        <f t="shared" si="34"/>
        <v>1.5829477421179594</v>
      </c>
      <c r="AH198" s="80"/>
    </row>
    <row r="199" spans="1:34" ht="15" customHeight="1">
      <c r="A199" s="33" t="s">
        <v>184</v>
      </c>
      <c r="B199" s="50">
        <f>'Расчет субсидий'!AT199</f>
        <v>8.8818181818181756</v>
      </c>
      <c r="C199" s="52">
        <f>'Расчет субсидий'!D199-1</f>
        <v>-1</v>
      </c>
      <c r="D199" s="52">
        <f>C199*'Расчет субсидий'!E199</f>
        <v>0</v>
      </c>
      <c r="E199" s="53">
        <f t="shared" si="30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2">
        <f>'Расчет субсидий'!P199-1</f>
        <v>0.2113615023474178</v>
      </c>
      <c r="M199" s="52">
        <f>L199*'Расчет субсидий'!Q199</f>
        <v>4.2272300469483559</v>
      </c>
      <c r="N199" s="53">
        <f t="shared" si="31"/>
        <v>35.720962608538059</v>
      </c>
      <c r="O199" s="27" t="s">
        <v>365</v>
      </c>
      <c r="P199" s="27" t="s">
        <v>365</v>
      </c>
      <c r="Q199" s="27" t="s">
        <v>365</v>
      </c>
      <c r="R199" s="58">
        <f>'Расчет субсидий'!X199-1</f>
        <v>-0.25427819218955683</v>
      </c>
      <c r="S199" s="58">
        <f>R199*'Расчет субсидий'!Y199</f>
        <v>-1.2713909609477843</v>
      </c>
      <c r="T199" s="53">
        <f t="shared" si="32"/>
        <v>-10.743514895678427</v>
      </c>
      <c r="U199" s="52">
        <f>'Расчет субсидий'!AB199-1</f>
        <v>-9.5238095238095233E-2</v>
      </c>
      <c r="V199" s="52">
        <f>U199*'Расчет субсидий'!AC199</f>
        <v>-1.9047619047619047</v>
      </c>
      <c r="W199" s="53">
        <f t="shared" si="33"/>
        <v>-16.09562953104146</v>
      </c>
      <c r="X199" s="27" t="s">
        <v>365</v>
      </c>
      <c r="Y199" s="27" t="s">
        <v>365</v>
      </c>
      <c r="Z199" s="27" t="s">
        <v>365</v>
      </c>
      <c r="AA199" s="27" t="s">
        <v>365</v>
      </c>
      <c r="AB199" s="27" t="s">
        <v>365</v>
      </c>
      <c r="AC199" s="27" t="s">
        <v>365</v>
      </c>
      <c r="AD199" s="27" t="s">
        <v>365</v>
      </c>
      <c r="AE199" s="27" t="s">
        <v>365</v>
      </c>
      <c r="AF199" s="27" t="s">
        <v>365</v>
      </c>
      <c r="AG199" s="52">
        <f t="shared" si="34"/>
        <v>1.051077181238667</v>
      </c>
      <c r="AH199" s="80"/>
    </row>
    <row r="200" spans="1:34" ht="15" customHeight="1">
      <c r="A200" s="33" t="s">
        <v>185</v>
      </c>
      <c r="B200" s="50">
        <f>'Расчет субсидий'!AT200</f>
        <v>9</v>
      </c>
      <c r="C200" s="52">
        <f>'Расчет субсидий'!D200-1</f>
        <v>-1</v>
      </c>
      <c r="D200" s="52">
        <f>C200*'Расчет субсидий'!E200</f>
        <v>0</v>
      </c>
      <c r="E200" s="53">
        <f t="shared" si="30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2">
        <f>'Расчет субсидий'!P200-1</f>
        <v>0.10470347648261757</v>
      </c>
      <c r="M200" s="52">
        <f>L200*'Расчет субсидий'!Q200</f>
        <v>2.0940695296523515</v>
      </c>
      <c r="N200" s="53">
        <f t="shared" si="31"/>
        <v>14.543114712261774</v>
      </c>
      <c r="O200" s="27" t="s">
        <v>365</v>
      </c>
      <c r="P200" s="27" t="s">
        <v>365</v>
      </c>
      <c r="Q200" s="27" t="s">
        <v>365</v>
      </c>
      <c r="R200" s="58">
        <f>'Расчет субсидий'!X200-1</f>
        <v>-0.15963110857577489</v>
      </c>
      <c r="S200" s="58">
        <f>R200*'Расчет субсидий'!Y200</f>
        <v>-0.79815554287887447</v>
      </c>
      <c r="T200" s="53">
        <f t="shared" si="32"/>
        <v>-5.5431147122617741</v>
      </c>
      <c r="U200" s="52">
        <f>'Расчет субсидий'!AB200-1</f>
        <v>0</v>
      </c>
      <c r="V200" s="52">
        <f>U200*'Расчет субсидий'!AC200</f>
        <v>0</v>
      </c>
      <c r="W200" s="53">
        <f t="shared" si="33"/>
        <v>0</v>
      </c>
      <c r="X200" s="27" t="s">
        <v>365</v>
      </c>
      <c r="Y200" s="27" t="s">
        <v>365</v>
      </c>
      <c r="Z200" s="27" t="s">
        <v>365</v>
      </c>
      <c r="AA200" s="27" t="s">
        <v>365</v>
      </c>
      <c r="AB200" s="27" t="s">
        <v>365</v>
      </c>
      <c r="AC200" s="27" t="s">
        <v>365</v>
      </c>
      <c r="AD200" s="27" t="s">
        <v>365</v>
      </c>
      <c r="AE200" s="27" t="s">
        <v>365</v>
      </c>
      <c r="AF200" s="27" t="s">
        <v>365</v>
      </c>
      <c r="AG200" s="52">
        <f t="shared" si="34"/>
        <v>1.295913986773477</v>
      </c>
      <c r="AH200" s="80"/>
    </row>
    <row r="201" spans="1:34" ht="15" customHeight="1">
      <c r="A201" s="33" t="s">
        <v>186</v>
      </c>
      <c r="B201" s="50">
        <f>'Расчет субсидий'!AT201</f>
        <v>41.836363636363615</v>
      </c>
      <c r="C201" s="52">
        <f>'Расчет субсидий'!D201-1</f>
        <v>-1</v>
      </c>
      <c r="D201" s="52">
        <f>C201*'Расчет субсидий'!E201</f>
        <v>0</v>
      </c>
      <c r="E201" s="53">
        <f t="shared" si="30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2">
        <f>'Расчет субсидий'!P201-1</f>
        <v>0.1823079104054437</v>
      </c>
      <c r="M201" s="52">
        <f>L201*'Расчет субсидий'!Q201</f>
        <v>3.6461582081088739</v>
      </c>
      <c r="N201" s="53">
        <f t="shared" si="31"/>
        <v>34.379133254272645</v>
      </c>
      <c r="O201" s="27" t="s">
        <v>365</v>
      </c>
      <c r="P201" s="27" t="s">
        <v>365</v>
      </c>
      <c r="Q201" s="27" t="s">
        <v>365</v>
      </c>
      <c r="R201" s="58">
        <f>'Расчет субсидий'!X201-1</f>
        <v>-0.17959902692727125</v>
      </c>
      <c r="S201" s="58">
        <f>R201*'Расчет субсидий'!Y201</f>
        <v>-0.89799513463635627</v>
      </c>
      <c r="T201" s="53">
        <f t="shared" si="32"/>
        <v>-8.4670748314467961</v>
      </c>
      <c r="U201" s="52">
        <f>'Расчет субсидий'!AB201-1</f>
        <v>8.4444444444444544E-2</v>
      </c>
      <c r="V201" s="52">
        <f>U201*'Расчет субсидий'!AC201</f>
        <v>1.6888888888888909</v>
      </c>
      <c r="W201" s="53">
        <f t="shared" si="33"/>
        <v>15.924305213537762</v>
      </c>
      <c r="X201" s="27" t="s">
        <v>365</v>
      </c>
      <c r="Y201" s="27" t="s">
        <v>365</v>
      </c>
      <c r="Z201" s="27" t="s">
        <v>365</v>
      </c>
      <c r="AA201" s="27" t="s">
        <v>365</v>
      </c>
      <c r="AB201" s="27" t="s">
        <v>365</v>
      </c>
      <c r="AC201" s="27" t="s">
        <v>365</v>
      </c>
      <c r="AD201" s="27" t="s">
        <v>365</v>
      </c>
      <c r="AE201" s="27" t="s">
        <v>365</v>
      </c>
      <c r="AF201" s="27" t="s">
        <v>365</v>
      </c>
      <c r="AG201" s="52">
        <f t="shared" si="34"/>
        <v>4.4370519623614086</v>
      </c>
      <c r="AH201" s="80"/>
    </row>
    <row r="202" spans="1:34" ht="15" customHeight="1">
      <c r="A202" s="32" t="s">
        <v>187</v>
      </c>
      <c r="B202" s="54"/>
      <c r="C202" s="55"/>
      <c r="D202" s="55"/>
      <c r="E202" s="56"/>
      <c r="F202" s="55"/>
      <c r="G202" s="55"/>
      <c r="H202" s="56"/>
      <c r="I202" s="56"/>
      <c r="J202" s="56"/>
      <c r="K202" s="56"/>
      <c r="L202" s="55"/>
      <c r="M202" s="55"/>
      <c r="N202" s="56"/>
      <c r="O202" s="55"/>
      <c r="P202" s="55"/>
      <c r="Q202" s="56"/>
      <c r="R202" s="56"/>
      <c r="S202" s="56"/>
      <c r="T202" s="56"/>
      <c r="U202" s="56"/>
      <c r="V202" s="56"/>
      <c r="W202" s="56"/>
      <c r="X202" s="27"/>
      <c r="Y202" s="27"/>
      <c r="Z202" s="27"/>
      <c r="AA202" s="27"/>
      <c r="AB202" s="27"/>
      <c r="AC202" s="27"/>
      <c r="AD202" s="27"/>
      <c r="AE202" s="27"/>
      <c r="AF202" s="27"/>
      <c r="AG202" s="56"/>
      <c r="AH202" s="80"/>
    </row>
    <row r="203" spans="1:34" ht="15" customHeight="1">
      <c r="A203" s="33" t="s">
        <v>188</v>
      </c>
      <c r="B203" s="50">
        <f>'Расчет субсидий'!AT203</f>
        <v>41.463636363636397</v>
      </c>
      <c r="C203" s="52">
        <f>'Расчет субсидий'!D203-1</f>
        <v>-1</v>
      </c>
      <c r="D203" s="52">
        <f>C203*'Расчет субсидий'!E203</f>
        <v>0</v>
      </c>
      <c r="E203" s="53">
        <f t="shared" si="30"/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2">
        <f>'Расчет субсидий'!P203-1</f>
        <v>0.30000000000000004</v>
      </c>
      <c r="M203" s="52">
        <f>L203*'Расчет субсидий'!Q203</f>
        <v>6.0000000000000009</v>
      </c>
      <c r="N203" s="53">
        <f t="shared" si="31"/>
        <v>37.80681962583062</v>
      </c>
      <c r="O203" s="27" t="s">
        <v>365</v>
      </c>
      <c r="P203" s="27" t="s">
        <v>365</v>
      </c>
      <c r="Q203" s="27" t="s">
        <v>365</v>
      </c>
      <c r="R203" s="58">
        <f>'Расчет субсидий'!X203-1</f>
        <v>-3.0990343588591984E-2</v>
      </c>
      <c r="S203" s="58">
        <f>R203*'Расчет субсидий'!Y203</f>
        <v>-0.15495171794295992</v>
      </c>
      <c r="T203" s="53">
        <f t="shared" si="32"/>
        <v>-0.97637194183034459</v>
      </c>
      <c r="U203" s="52">
        <f>'Расчет субсидий'!AB203-1</f>
        <v>3.6764705882353033E-2</v>
      </c>
      <c r="V203" s="52">
        <f>U203*'Расчет субсидий'!AC203</f>
        <v>0.73529411764706065</v>
      </c>
      <c r="W203" s="53">
        <f t="shared" si="33"/>
        <v>4.6331886796361168</v>
      </c>
      <c r="X203" s="27" t="s">
        <v>365</v>
      </c>
      <c r="Y203" s="27" t="s">
        <v>365</v>
      </c>
      <c r="Z203" s="27" t="s">
        <v>365</v>
      </c>
      <c r="AA203" s="27" t="s">
        <v>365</v>
      </c>
      <c r="AB203" s="27" t="s">
        <v>365</v>
      </c>
      <c r="AC203" s="27" t="s">
        <v>365</v>
      </c>
      <c r="AD203" s="27" t="s">
        <v>365</v>
      </c>
      <c r="AE203" s="27" t="s">
        <v>365</v>
      </c>
      <c r="AF203" s="27" t="s">
        <v>365</v>
      </c>
      <c r="AG203" s="52">
        <f t="shared" si="34"/>
        <v>6.5803423997041017</v>
      </c>
      <c r="AH203" s="80"/>
    </row>
    <row r="204" spans="1:34" ht="15" customHeight="1">
      <c r="A204" s="33" t="s">
        <v>189</v>
      </c>
      <c r="B204" s="50">
        <f>'Расчет субсидий'!AT204</f>
        <v>-24.190909090909059</v>
      </c>
      <c r="C204" s="52">
        <f>'Расчет субсидий'!D204-1</f>
        <v>-1</v>
      </c>
      <c r="D204" s="52">
        <f>C204*'Расчет субсидий'!E204</f>
        <v>0</v>
      </c>
      <c r="E204" s="53">
        <f t="shared" si="30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2">
        <f>'Расчет субсидий'!P204-1</f>
        <v>-0.27930596699111299</v>
      </c>
      <c r="M204" s="52">
        <f>L204*'Расчет субсидий'!Q204</f>
        <v>-5.5861193398222593</v>
      </c>
      <c r="N204" s="53">
        <f t="shared" si="31"/>
        <v>-26.188131480674041</v>
      </c>
      <c r="O204" s="27" t="s">
        <v>365</v>
      </c>
      <c r="P204" s="27" t="s">
        <v>365</v>
      </c>
      <c r="Q204" s="27" t="s">
        <v>365</v>
      </c>
      <c r="R204" s="58">
        <f>'Расчет субсидий'!X204-1</f>
        <v>-2.9081295439524091E-2</v>
      </c>
      <c r="S204" s="58">
        <f>R204*'Расчет субсидий'!Y204</f>
        <v>-0.14540647719762045</v>
      </c>
      <c r="T204" s="53">
        <f t="shared" si="32"/>
        <v>-0.68167608161305016</v>
      </c>
      <c r="U204" s="52">
        <f>'Расчет субсидий'!AB204-1</f>
        <v>2.857142857142847E-2</v>
      </c>
      <c r="V204" s="52">
        <f>U204*'Расчет субсидий'!AC204</f>
        <v>0.5714285714285694</v>
      </c>
      <c r="W204" s="53">
        <f t="shared" si="33"/>
        <v>2.6788984713780319</v>
      </c>
      <c r="X204" s="27" t="s">
        <v>365</v>
      </c>
      <c r="Y204" s="27" t="s">
        <v>365</v>
      </c>
      <c r="Z204" s="27" t="s">
        <v>365</v>
      </c>
      <c r="AA204" s="27" t="s">
        <v>365</v>
      </c>
      <c r="AB204" s="27" t="s">
        <v>365</v>
      </c>
      <c r="AC204" s="27" t="s">
        <v>365</v>
      </c>
      <c r="AD204" s="27" t="s">
        <v>365</v>
      </c>
      <c r="AE204" s="27" t="s">
        <v>365</v>
      </c>
      <c r="AF204" s="27" t="s">
        <v>365</v>
      </c>
      <c r="AG204" s="52">
        <f t="shared" si="34"/>
        <v>-5.1600972455913103</v>
      </c>
      <c r="AH204" s="80"/>
    </row>
    <row r="205" spans="1:34" ht="15" customHeight="1">
      <c r="A205" s="33" t="s">
        <v>190</v>
      </c>
      <c r="B205" s="50">
        <f>'Расчет субсидий'!AT205</f>
        <v>67.290909090909167</v>
      </c>
      <c r="C205" s="52">
        <f>'Расчет субсидий'!D205-1</f>
        <v>-1</v>
      </c>
      <c r="D205" s="52">
        <f>C205*'Расчет субсидий'!E205</f>
        <v>0</v>
      </c>
      <c r="E205" s="53">
        <f t="shared" si="30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2">
        <f>'Расчет субсидий'!P205-1</f>
        <v>0.24968380400675838</v>
      </c>
      <c r="M205" s="52">
        <f>L205*'Расчет субсидий'!Q205</f>
        <v>4.9936760801351676</v>
      </c>
      <c r="N205" s="53">
        <f t="shared" si="31"/>
        <v>59.158891395367874</v>
      </c>
      <c r="O205" s="27" t="s">
        <v>365</v>
      </c>
      <c r="P205" s="27" t="s">
        <v>365</v>
      </c>
      <c r="Q205" s="27" t="s">
        <v>365</v>
      </c>
      <c r="R205" s="58">
        <f>'Расчет субсидий'!X205-1</f>
        <v>0.13728675873273755</v>
      </c>
      <c r="S205" s="58">
        <f>R205*'Расчет субсидий'!Y205</f>
        <v>0.68643379366368773</v>
      </c>
      <c r="T205" s="53">
        <f t="shared" si="32"/>
        <v>8.1320176955412933</v>
      </c>
      <c r="U205" s="52">
        <f>'Расчет субсидий'!AB205-1</f>
        <v>0</v>
      </c>
      <c r="V205" s="52">
        <f>U205*'Расчет субсидий'!AC205</f>
        <v>0</v>
      </c>
      <c r="W205" s="53">
        <f t="shared" si="33"/>
        <v>0</v>
      </c>
      <c r="X205" s="27" t="s">
        <v>365</v>
      </c>
      <c r="Y205" s="27" t="s">
        <v>365</v>
      </c>
      <c r="Z205" s="27" t="s">
        <v>365</v>
      </c>
      <c r="AA205" s="27" t="s">
        <v>365</v>
      </c>
      <c r="AB205" s="27" t="s">
        <v>365</v>
      </c>
      <c r="AC205" s="27" t="s">
        <v>365</v>
      </c>
      <c r="AD205" s="27" t="s">
        <v>365</v>
      </c>
      <c r="AE205" s="27" t="s">
        <v>365</v>
      </c>
      <c r="AF205" s="27" t="s">
        <v>365</v>
      </c>
      <c r="AG205" s="52">
        <f t="shared" si="34"/>
        <v>5.6801098737988553</v>
      </c>
      <c r="AH205" s="80"/>
    </row>
    <row r="206" spans="1:34" ht="15" customHeight="1">
      <c r="A206" s="33" t="s">
        <v>191</v>
      </c>
      <c r="B206" s="50">
        <f>'Расчет субсидий'!AT206</f>
        <v>15.300000000000011</v>
      </c>
      <c r="C206" s="52">
        <f>'Расчет субсидий'!D206-1</f>
        <v>-1</v>
      </c>
      <c r="D206" s="52">
        <f>C206*'Расчет субсидий'!E206</f>
        <v>0</v>
      </c>
      <c r="E206" s="53">
        <f t="shared" si="30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2">
        <f>'Расчет субсидий'!P206-1</f>
        <v>0.2089943074003795</v>
      </c>
      <c r="M206" s="52">
        <f>L206*'Расчет субсидий'!Q206</f>
        <v>4.17988614800759</v>
      </c>
      <c r="N206" s="53">
        <f t="shared" si="31"/>
        <v>13.686818831523485</v>
      </c>
      <c r="O206" s="27" t="s">
        <v>365</v>
      </c>
      <c r="P206" s="27" t="s">
        <v>365</v>
      </c>
      <c r="Q206" s="27" t="s">
        <v>365</v>
      </c>
      <c r="R206" s="58">
        <f>'Расчет субсидий'!X206-1</f>
        <v>-9.5766129032258673E-3</v>
      </c>
      <c r="S206" s="58">
        <f>R206*'Расчет субсидий'!Y206</f>
        <v>-4.7883064516129337E-2</v>
      </c>
      <c r="T206" s="53">
        <f t="shared" si="32"/>
        <v>-0.1567905933138404</v>
      </c>
      <c r="U206" s="52">
        <f>'Расчет субсидий'!AB206-1</f>
        <v>2.7027027027026973E-2</v>
      </c>
      <c r="V206" s="52">
        <f>U206*'Расчет субсидий'!AC206</f>
        <v>0.54054054054053946</v>
      </c>
      <c r="W206" s="53">
        <f t="shared" si="33"/>
        <v>1.7699717617903656</v>
      </c>
      <c r="X206" s="27" t="s">
        <v>365</v>
      </c>
      <c r="Y206" s="27" t="s">
        <v>365</v>
      </c>
      <c r="Z206" s="27" t="s">
        <v>365</v>
      </c>
      <c r="AA206" s="27" t="s">
        <v>365</v>
      </c>
      <c r="AB206" s="27" t="s">
        <v>365</v>
      </c>
      <c r="AC206" s="27" t="s">
        <v>365</v>
      </c>
      <c r="AD206" s="27" t="s">
        <v>365</v>
      </c>
      <c r="AE206" s="27" t="s">
        <v>365</v>
      </c>
      <c r="AF206" s="27" t="s">
        <v>365</v>
      </c>
      <c r="AG206" s="52">
        <f t="shared" si="34"/>
        <v>4.6725436240320004</v>
      </c>
      <c r="AH206" s="80"/>
    </row>
    <row r="207" spans="1:34" ht="15" customHeight="1">
      <c r="A207" s="33" t="s">
        <v>192</v>
      </c>
      <c r="B207" s="50">
        <f>'Расчет субсидий'!AT207</f>
        <v>31.136363636363626</v>
      </c>
      <c r="C207" s="52">
        <f>'Расчет субсидий'!D207-1</f>
        <v>-1</v>
      </c>
      <c r="D207" s="52">
        <f>C207*'Расчет субсидий'!E207</f>
        <v>0</v>
      </c>
      <c r="E207" s="53">
        <f t="shared" si="30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2">
        <f>'Расчет субсидий'!P207-1</f>
        <v>0.2185831216483205</v>
      </c>
      <c r="M207" s="52">
        <f>L207*'Расчет субсидий'!Q207</f>
        <v>4.37166243296641</v>
      </c>
      <c r="N207" s="53">
        <f t="shared" si="31"/>
        <v>23.745280234578797</v>
      </c>
      <c r="O207" s="27" t="s">
        <v>365</v>
      </c>
      <c r="P207" s="27" t="s">
        <v>365</v>
      </c>
      <c r="Q207" s="27" t="s">
        <v>365</v>
      </c>
      <c r="R207" s="58">
        <f>'Расчет субсидий'!X207-1</f>
        <v>0.25310180456247866</v>
      </c>
      <c r="S207" s="58">
        <f>R207*'Расчет субсидий'!Y207</f>
        <v>1.2655090228123933</v>
      </c>
      <c r="T207" s="53">
        <f t="shared" si="32"/>
        <v>6.8737847093280227</v>
      </c>
      <c r="U207" s="52">
        <f>'Расчет субсидий'!AB207-1</f>
        <v>4.761904761904745E-3</v>
      </c>
      <c r="V207" s="52">
        <f>U207*'Расчет субсидий'!AC207</f>
        <v>9.52380952380949E-2</v>
      </c>
      <c r="W207" s="53">
        <f t="shared" si="33"/>
        <v>0.51729869245680704</v>
      </c>
      <c r="X207" s="27" t="s">
        <v>365</v>
      </c>
      <c r="Y207" s="27" t="s">
        <v>365</v>
      </c>
      <c r="Z207" s="27" t="s">
        <v>365</v>
      </c>
      <c r="AA207" s="27" t="s">
        <v>365</v>
      </c>
      <c r="AB207" s="27" t="s">
        <v>365</v>
      </c>
      <c r="AC207" s="27" t="s">
        <v>365</v>
      </c>
      <c r="AD207" s="27" t="s">
        <v>365</v>
      </c>
      <c r="AE207" s="27" t="s">
        <v>365</v>
      </c>
      <c r="AF207" s="27" t="s">
        <v>365</v>
      </c>
      <c r="AG207" s="52">
        <f t="shared" si="34"/>
        <v>5.7324095510168984</v>
      </c>
      <c r="AH207" s="80"/>
    </row>
    <row r="208" spans="1:34" ht="15" customHeight="1">
      <c r="A208" s="33" t="s">
        <v>193</v>
      </c>
      <c r="B208" s="50">
        <f>'Расчет субсидий'!AT208</f>
        <v>46.927272727272737</v>
      </c>
      <c r="C208" s="52">
        <f>'Расчет субсидий'!D208-1</f>
        <v>0.14155528554070473</v>
      </c>
      <c r="D208" s="52">
        <f>C208*'Расчет субсидий'!E208</f>
        <v>0.70777642770352367</v>
      </c>
      <c r="E208" s="53">
        <f t="shared" si="30"/>
        <v>5.2292077221042472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2">
        <f>'Расчет субсидий'!P208-1</f>
        <v>0.22884893663670236</v>
      </c>
      <c r="M208" s="52">
        <f>L208*'Расчет субсидий'!Q208</f>
        <v>4.5769787327340472</v>
      </c>
      <c r="N208" s="53">
        <f t="shared" si="31"/>
        <v>33.81572428284565</v>
      </c>
      <c r="O208" s="27" t="s">
        <v>365</v>
      </c>
      <c r="P208" s="27" t="s">
        <v>365</v>
      </c>
      <c r="Q208" s="27" t="s">
        <v>365</v>
      </c>
      <c r="R208" s="58">
        <f>'Расчет субсидий'!X208-1</f>
        <v>4.8581909277981561E-2</v>
      </c>
      <c r="S208" s="58">
        <f>R208*'Расчет субсидий'!Y208</f>
        <v>0.2429095463899078</v>
      </c>
      <c r="T208" s="53">
        <f t="shared" si="32"/>
        <v>1.7946690876331681</v>
      </c>
      <c r="U208" s="52">
        <f>'Расчет субсидий'!AB208-1</f>
        <v>4.1198501872659277E-2</v>
      </c>
      <c r="V208" s="52">
        <f>U208*'Расчет субсидий'!AC208</f>
        <v>0.82397003745318553</v>
      </c>
      <c r="W208" s="53">
        <f t="shared" si="33"/>
        <v>6.0876716346896691</v>
      </c>
      <c r="X208" s="27" t="s">
        <v>365</v>
      </c>
      <c r="Y208" s="27" t="s">
        <v>365</v>
      </c>
      <c r="Z208" s="27" t="s">
        <v>365</v>
      </c>
      <c r="AA208" s="27" t="s">
        <v>365</v>
      </c>
      <c r="AB208" s="27" t="s">
        <v>365</v>
      </c>
      <c r="AC208" s="27" t="s">
        <v>365</v>
      </c>
      <c r="AD208" s="27" t="s">
        <v>365</v>
      </c>
      <c r="AE208" s="27" t="s">
        <v>365</v>
      </c>
      <c r="AF208" s="27" t="s">
        <v>365</v>
      </c>
      <c r="AG208" s="52">
        <f t="shared" si="34"/>
        <v>6.3516347442806644</v>
      </c>
      <c r="AH208" s="80"/>
    </row>
    <row r="209" spans="1:34" ht="15" customHeight="1">
      <c r="A209" s="33" t="s">
        <v>194</v>
      </c>
      <c r="B209" s="50">
        <f>'Расчет субсидий'!AT209</f>
        <v>-7.7636363636363797</v>
      </c>
      <c r="C209" s="52">
        <f>'Расчет субсидий'!D209-1</f>
        <v>4.1221357355256227E-2</v>
      </c>
      <c r="D209" s="52">
        <f>C209*'Расчет субсидий'!E209</f>
        <v>0.20610678677628114</v>
      </c>
      <c r="E209" s="53">
        <f t="shared" si="30"/>
        <v>1.0629775976841334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2">
        <f>'Расчет субсидий'!P209-1</f>
        <v>-0.12253066494512588</v>
      </c>
      <c r="M209" s="52">
        <f>L209*'Расчет субсидий'!Q209</f>
        <v>-2.4506132989025176</v>
      </c>
      <c r="N209" s="53">
        <f t="shared" si="31"/>
        <v>-12.638822224460419</v>
      </c>
      <c r="O209" s="27" t="s">
        <v>365</v>
      </c>
      <c r="P209" s="27" t="s">
        <v>365</v>
      </c>
      <c r="Q209" s="27" t="s">
        <v>365</v>
      </c>
      <c r="R209" s="58">
        <f>'Расчет субсидий'!X209-1</f>
        <v>4.3072254179840952E-2</v>
      </c>
      <c r="S209" s="58">
        <f>R209*'Расчет субсидий'!Y209</f>
        <v>0.21536127089920476</v>
      </c>
      <c r="T209" s="53">
        <f t="shared" si="32"/>
        <v>1.1107067843579774</v>
      </c>
      <c r="U209" s="52">
        <f>'Расчет субсидий'!AB209-1</f>
        <v>2.6190476190476097E-2</v>
      </c>
      <c r="V209" s="52">
        <f>U209*'Расчет субсидий'!AC209</f>
        <v>0.52380952380952195</v>
      </c>
      <c r="W209" s="53">
        <f t="shared" si="33"/>
        <v>2.7015014787819296</v>
      </c>
      <c r="X209" s="27" t="s">
        <v>365</v>
      </c>
      <c r="Y209" s="27" t="s">
        <v>365</v>
      </c>
      <c r="Z209" s="27" t="s">
        <v>365</v>
      </c>
      <c r="AA209" s="27" t="s">
        <v>365</v>
      </c>
      <c r="AB209" s="27" t="s">
        <v>365</v>
      </c>
      <c r="AC209" s="27" t="s">
        <v>365</v>
      </c>
      <c r="AD209" s="27" t="s">
        <v>365</v>
      </c>
      <c r="AE209" s="27" t="s">
        <v>365</v>
      </c>
      <c r="AF209" s="27" t="s">
        <v>365</v>
      </c>
      <c r="AG209" s="52">
        <f t="shared" si="34"/>
        <v>-1.5053357174175099</v>
      </c>
      <c r="AH209" s="80"/>
    </row>
    <row r="210" spans="1:34" ht="15" customHeight="1">
      <c r="A210" s="33" t="s">
        <v>195</v>
      </c>
      <c r="B210" s="50">
        <f>'Расчет субсидий'!AT210</f>
        <v>-27.22727272727272</v>
      </c>
      <c r="C210" s="52">
        <f>'Расчет субсидий'!D210-1</f>
        <v>-1</v>
      </c>
      <c r="D210" s="52">
        <f>C210*'Расчет субсидий'!E210</f>
        <v>0</v>
      </c>
      <c r="E210" s="53">
        <f t="shared" si="30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2">
        <f>'Расчет субсидий'!P210-1</f>
        <v>-0.68634627625716105</v>
      </c>
      <c r="M210" s="52">
        <f>L210*'Расчет субсидий'!Q210</f>
        <v>-13.726925525143221</v>
      </c>
      <c r="N210" s="53">
        <f t="shared" si="31"/>
        <v>-42.06428279555103</v>
      </c>
      <c r="O210" s="27" t="s">
        <v>365</v>
      </c>
      <c r="P210" s="27" t="s">
        <v>365</v>
      </c>
      <c r="Q210" s="27" t="s">
        <v>365</v>
      </c>
      <c r="R210" s="58">
        <f>'Расчет субсидий'!X210-1</f>
        <v>4.603293413173648E-2</v>
      </c>
      <c r="S210" s="58">
        <f>R210*'Расчет субсидий'!Y210</f>
        <v>0.2301646706586824</v>
      </c>
      <c r="T210" s="53">
        <f t="shared" si="32"/>
        <v>0.70530810256076393</v>
      </c>
      <c r="U210" s="52">
        <f>'Расчет субсидий'!AB210-1</f>
        <v>0.23058139534883715</v>
      </c>
      <c r="V210" s="52">
        <f>U210*'Расчет субсидий'!AC210</f>
        <v>4.611627906976743</v>
      </c>
      <c r="W210" s="53">
        <f t="shared" si="33"/>
        <v>14.131701965717545</v>
      </c>
      <c r="X210" s="27" t="s">
        <v>365</v>
      </c>
      <c r="Y210" s="27" t="s">
        <v>365</v>
      </c>
      <c r="Z210" s="27" t="s">
        <v>365</v>
      </c>
      <c r="AA210" s="27" t="s">
        <v>365</v>
      </c>
      <c r="AB210" s="27" t="s">
        <v>365</v>
      </c>
      <c r="AC210" s="27" t="s">
        <v>365</v>
      </c>
      <c r="AD210" s="27" t="s">
        <v>365</v>
      </c>
      <c r="AE210" s="27" t="s">
        <v>365</v>
      </c>
      <c r="AF210" s="27" t="s">
        <v>365</v>
      </c>
      <c r="AG210" s="52">
        <f t="shared" si="34"/>
        <v>-8.8851329475077954</v>
      </c>
      <c r="AH210" s="80"/>
    </row>
    <row r="211" spans="1:34" ht="15" customHeight="1">
      <c r="A211" s="33" t="s">
        <v>196</v>
      </c>
      <c r="B211" s="50">
        <f>'Расчет субсидий'!AT211</f>
        <v>17.236363636363649</v>
      </c>
      <c r="C211" s="52">
        <f>'Расчет субсидий'!D211-1</f>
        <v>-1</v>
      </c>
      <c r="D211" s="52">
        <f>C211*'Расчет субсидий'!E211</f>
        <v>0</v>
      </c>
      <c r="E211" s="53">
        <f t="shared" si="30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2">
        <f>'Расчет субсидий'!P211-1</f>
        <v>0.13709677419354827</v>
      </c>
      <c r="M211" s="52">
        <f>L211*'Расчет субсидий'!Q211</f>
        <v>2.7419354838709653</v>
      </c>
      <c r="N211" s="53">
        <f t="shared" si="31"/>
        <v>15.23223789503473</v>
      </c>
      <c r="O211" s="27" t="s">
        <v>365</v>
      </c>
      <c r="P211" s="27" t="s">
        <v>365</v>
      </c>
      <c r="Q211" s="27" t="s">
        <v>365</v>
      </c>
      <c r="R211" s="58">
        <f>'Расчет субсидий'!X211-1</f>
        <v>-3.1744086285083961E-2</v>
      </c>
      <c r="S211" s="58">
        <f>R211*'Расчет субсидий'!Y211</f>
        <v>-0.15872043142541981</v>
      </c>
      <c r="T211" s="53">
        <f t="shared" si="32"/>
        <v>-0.88173751151189217</v>
      </c>
      <c r="U211" s="52">
        <f>'Расчет субсидий'!AB211-1</f>
        <v>2.5974025974025983E-2</v>
      </c>
      <c r="V211" s="52">
        <f>U211*'Расчет субсидий'!AC211</f>
        <v>0.51948051948051965</v>
      </c>
      <c r="W211" s="53">
        <f t="shared" si="33"/>
        <v>2.8858632528408084</v>
      </c>
      <c r="X211" s="27" t="s">
        <v>365</v>
      </c>
      <c r="Y211" s="27" t="s">
        <v>365</v>
      </c>
      <c r="Z211" s="27" t="s">
        <v>365</v>
      </c>
      <c r="AA211" s="27" t="s">
        <v>365</v>
      </c>
      <c r="AB211" s="27" t="s">
        <v>365</v>
      </c>
      <c r="AC211" s="27" t="s">
        <v>365</v>
      </c>
      <c r="AD211" s="27" t="s">
        <v>365</v>
      </c>
      <c r="AE211" s="27" t="s">
        <v>365</v>
      </c>
      <c r="AF211" s="27" t="s">
        <v>365</v>
      </c>
      <c r="AG211" s="52">
        <f t="shared" si="34"/>
        <v>3.1026955719260654</v>
      </c>
      <c r="AH211" s="80"/>
    </row>
    <row r="212" spans="1:34" ht="15" customHeight="1">
      <c r="A212" s="33" t="s">
        <v>197</v>
      </c>
      <c r="B212" s="50">
        <f>'Расчет субсидий'!AT212</f>
        <v>67.254545454545394</v>
      </c>
      <c r="C212" s="52">
        <f>'Расчет субсидий'!D212-1</f>
        <v>-1</v>
      </c>
      <c r="D212" s="52">
        <f>C212*'Расчет субсидий'!E212</f>
        <v>0</v>
      </c>
      <c r="E212" s="53">
        <f t="shared" si="30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2">
        <f>'Расчет субсидий'!P212-1</f>
        <v>0.27494895217624937</v>
      </c>
      <c r="M212" s="52">
        <f>L212*'Расчет субсидий'!Q212</f>
        <v>5.4989790435249875</v>
      </c>
      <c r="N212" s="53">
        <f t="shared" si="31"/>
        <v>55.435249602166706</v>
      </c>
      <c r="O212" s="27" t="s">
        <v>365</v>
      </c>
      <c r="P212" s="27" t="s">
        <v>365</v>
      </c>
      <c r="Q212" s="27" t="s">
        <v>365</v>
      </c>
      <c r="R212" s="58">
        <f>'Расчет субсидий'!X212-1</f>
        <v>0.23448639870077148</v>
      </c>
      <c r="S212" s="58">
        <f>R212*'Расчет субсидий'!Y212</f>
        <v>1.1724319935038574</v>
      </c>
      <c r="T212" s="53">
        <f t="shared" si="32"/>
        <v>11.819295852378691</v>
      </c>
      <c r="U212" s="52">
        <f>'Расчет субсидий'!AB212-1</f>
        <v>0</v>
      </c>
      <c r="V212" s="52">
        <f>U212*'Расчет субсидий'!AC212</f>
        <v>0</v>
      </c>
      <c r="W212" s="53">
        <f t="shared" si="33"/>
        <v>0</v>
      </c>
      <c r="X212" s="27" t="s">
        <v>365</v>
      </c>
      <c r="Y212" s="27" t="s">
        <v>365</v>
      </c>
      <c r="Z212" s="27" t="s">
        <v>365</v>
      </c>
      <c r="AA212" s="27" t="s">
        <v>365</v>
      </c>
      <c r="AB212" s="27" t="s">
        <v>365</v>
      </c>
      <c r="AC212" s="27" t="s">
        <v>365</v>
      </c>
      <c r="AD212" s="27" t="s">
        <v>365</v>
      </c>
      <c r="AE212" s="27" t="s">
        <v>365</v>
      </c>
      <c r="AF212" s="27" t="s">
        <v>365</v>
      </c>
      <c r="AG212" s="52">
        <f t="shared" si="34"/>
        <v>6.6714110370288449</v>
      </c>
      <c r="AH212" s="80"/>
    </row>
    <row r="213" spans="1:34" ht="15" customHeight="1">
      <c r="A213" s="33" t="s">
        <v>198</v>
      </c>
      <c r="B213" s="50">
        <f>'Расчет субсидий'!AT213</f>
        <v>15.409090909090907</v>
      </c>
      <c r="C213" s="52">
        <f>'Расчет субсидий'!D213-1</f>
        <v>-1</v>
      </c>
      <c r="D213" s="52">
        <f>C213*'Расчет субсидий'!E213</f>
        <v>0</v>
      </c>
      <c r="E213" s="53">
        <f t="shared" si="30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2">
        <f>'Расчет субсидий'!P213-1</f>
        <v>0.21139678615574775</v>
      </c>
      <c r="M213" s="52">
        <f>L213*'Расчет субсидий'!Q213</f>
        <v>4.227935723114955</v>
      </c>
      <c r="N213" s="53">
        <f t="shared" si="31"/>
        <v>13.376500563187141</v>
      </c>
      <c r="O213" s="27" t="s">
        <v>365</v>
      </c>
      <c r="P213" s="27" t="s">
        <v>365</v>
      </c>
      <c r="Q213" s="27" t="s">
        <v>365</v>
      </c>
      <c r="R213" s="58">
        <f>'Расчет субсидий'!X213-1</f>
        <v>0.12848893166506259</v>
      </c>
      <c r="S213" s="58">
        <f>R213*'Расчет субсидий'!Y213</f>
        <v>0.64244465832531295</v>
      </c>
      <c r="T213" s="53">
        <f t="shared" si="32"/>
        <v>2.0325903459037669</v>
      </c>
      <c r="U213" s="52">
        <f>'Расчет субсидий'!AB213-1</f>
        <v>0</v>
      </c>
      <c r="V213" s="52">
        <f>U213*'Расчет субсидий'!AC213</f>
        <v>0</v>
      </c>
      <c r="W213" s="53">
        <f t="shared" si="33"/>
        <v>0</v>
      </c>
      <c r="X213" s="27" t="s">
        <v>365</v>
      </c>
      <c r="Y213" s="27" t="s">
        <v>365</v>
      </c>
      <c r="Z213" s="27" t="s">
        <v>365</v>
      </c>
      <c r="AA213" s="27" t="s">
        <v>365</v>
      </c>
      <c r="AB213" s="27" t="s">
        <v>365</v>
      </c>
      <c r="AC213" s="27" t="s">
        <v>365</v>
      </c>
      <c r="AD213" s="27" t="s">
        <v>365</v>
      </c>
      <c r="AE213" s="27" t="s">
        <v>365</v>
      </c>
      <c r="AF213" s="27" t="s">
        <v>365</v>
      </c>
      <c r="AG213" s="52">
        <f t="shared" si="34"/>
        <v>4.8703803814402677</v>
      </c>
      <c r="AH213" s="80"/>
    </row>
    <row r="214" spans="1:34" ht="15" customHeight="1">
      <c r="A214" s="33" t="s">
        <v>199</v>
      </c>
      <c r="B214" s="50">
        <f>'Расчет субсидий'!AT214</f>
        <v>20.054545454545462</v>
      </c>
      <c r="C214" s="52">
        <f>'Расчет субсидий'!D214-1</f>
        <v>-1</v>
      </c>
      <c r="D214" s="52">
        <f>C214*'Расчет субсидий'!E214</f>
        <v>0</v>
      </c>
      <c r="E214" s="53">
        <f t="shared" si="30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2">
        <f>'Расчет субсидий'!P214-1</f>
        <v>0.2016352908120258</v>
      </c>
      <c r="M214" s="52">
        <f>L214*'Расчет субсидий'!Q214</f>
        <v>4.0327058162405161</v>
      </c>
      <c r="N214" s="53">
        <f t="shared" si="31"/>
        <v>17.010457424437995</v>
      </c>
      <c r="O214" s="27" t="s">
        <v>365</v>
      </c>
      <c r="P214" s="27" t="s">
        <v>365</v>
      </c>
      <c r="Q214" s="27" t="s">
        <v>365</v>
      </c>
      <c r="R214" s="58">
        <f>'Расчет субсидий'!X214-1</f>
        <v>0.1443337024732374</v>
      </c>
      <c r="S214" s="58">
        <f>R214*'Расчет субсидий'!Y214</f>
        <v>0.72166851236618701</v>
      </c>
      <c r="T214" s="53">
        <f t="shared" si="32"/>
        <v>3.0440880301074693</v>
      </c>
      <c r="U214" s="52">
        <f>'Расчет субсидий'!AB214-1</f>
        <v>0</v>
      </c>
      <c r="V214" s="52">
        <f>U214*'Расчет субсидий'!AC214</f>
        <v>0</v>
      </c>
      <c r="W214" s="53">
        <f t="shared" si="33"/>
        <v>0</v>
      </c>
      <c r="X214" s="27" t="s">
        <v>365</v>
      </c>
      <c r="Y214" s="27" t="s">
        <v>365</v>
      </c>
      <c r="Z214" s="27" t="s">
        <v>365</v>
      </c>
      <c r="AA214" s="27" t="s">
        <v>365</v>
      </c>
      <c r="AB214" s="27" t="s">
        <v>365</v>
      </c>
      <c r="AC214" s="27" t="s">
        <v>365</v>
      </c>
      <c r="AD214" s="27" t="s">
        <v>365</v>
      </c>
      <c r="AE214" s="27" t="s">
        <v>365</v>
      </c>
      <c r="AF214" s="27" t="s">
        <v>365</v>
      </c>
      <c r="AG214" s="52">
        <f t="shared" si="34"/>
        <v>4.7543743286067031</v>
      </c>
      <c r="AH214" s="80"/>
    </row>
    <row r="215" spans="1:34" ht="15" customHeight="1">
      <c r="A215" s="32" t="s">
        <v>200</v>
      </c>
      <c r="B215" s="54"/>
      <c r="C215" s="55"/>
      <c r="D215" s="55"/>
      <c r="E215" s="56"/>
      <c r="F215" s="55"/>
      <c r="G215" s="55"/>
      <c r="H215" s="56"/>
      <c r="I215" s="56"/>
      <c r="J215" s="56"/>
      <c r="K215" s="56"/>
      <c r="L215" s="55"/>
      <c r="M215" s="55"/>
      <c r="N215" s="56"/>
      <c r="O215" s="55"/>
      <c r="P215" s="55"/>
      <c r="Q215" s="56"/>
      <c r="R215" s="56"/>
      <c r="S215" s="56"/>
      <c r="T215" s="56"/>
      <c r="U215" s="56"/>
      <c r="V215" s="56"/>
      <c r="W215" s="56"/>
      <c r="X215" s="27"/>
      <c r="Y215" s="27"/>
      <c r="Z215" s="27"/>
      <c r="AA215" s="27"/>
      <c r="AB215" s="27"/>
      <c r="AC215" s="27"/>
      <c r="AD215" s="27"/>
      <c r="AE215" s="27"/>
      <c r="AF215" s="27"/>
      <c r="AG215" s="56"/>
      <c r="AH215" s="80"/>
    </row>
    <row r="216" spans="1:34" ht="15" customHeight="1">
      <c r="A216" s="33" t="s">
        <v>201</v>
      </c>
      <c r="B216" s="50">
        <f>'Расчет субсидий'!AT216</f>
        <v>29.78181818181821</v>
      </c>
      <c r="C216" s="52">
        <f>'Расчет субсидий'!D216-1</f>
        <v>-1</v>
      </c>
      <c r="D216" s="52">
        <f>C216*'Расчет субсидий'!E216</f>
        <v>0</v>
      </c>
      <c r="E216" s="53">
        <f t="shared" si="30"/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2">
        <f>'Расчет субсидий'!P216-1</f>
        <v>0.22878447395301316</v>
      </c>
      <c r="M216" s="52">
        <f>L216*'Расчет субсидий'!Q216</f>
        <v>4.5756894790602631</v>
      </c>
      <c r="N216" s="53">
        <f t="shared" si="31"/>
        <v>27.506734787636248</v>
      </c>
      <c r="O216" s="27" t="s">
        <v>365</v>
      </c>
      <c r="P216" s="27" t="s">
        <v>365</v>
      </c>
      <c r="Q216" s="27" t="s">
        <v>365</v>
      </c>
      <c r="R216" s="58">
        <f>'Расчет субсидий'!X216-1</f>
        <v>0.11037318153067677</v>
      </c>
      <c r="S216" s="58">
        <f>R216*'Расчет субсидий'!Y216</f>
        <v>0.55186590765338384</v>
      </c>
      <c r="T216" s="53">
        <f t="shared" si="32"/>
        <v>3.3175391882749441</v>
      </c>
      <c r="U216" s="52">
        <f>'Расчет субсидий'!AB216-1</f>
        <v>-8.6705202312138407E-3</v>
      </c>
      <c r="V216" s="52">
        <f>U216*'Расчет субсидий'!AC216</f>
        <v>-0.17341040462427681</v>
      </c>
      <c r="W216" s="53">
        <f t="shared" si="33"/>
        <v>-1.0424557940929828</v>
      </c>
      <c r="X216" s="27" t="s">
        <v>365</v>
      </c>
      <c r="Y216" s="27" t="s">
        <v>365</v>
      </c>
      <c r="Z216" s="27" t="s">
        <v>365</v>
      </c>
      <c r="AA216" s="27" t="s">
        <v>365</v>
      </c>
      <c r="AB216" s="27" t="s">
        <v>365</v>
      </c>
      <c r="AC216" s="27" t="s">
        <v>365</v>
      </c>
      <c r="AD216" s="27" t="s">
        <v>365</v>
      </c>
      <c r="AE216" s="27" t="s">
        <v>365</v>
      </c>
      <c r="AF216" s="27" t="s">
        <v>365</v>
      </c>
      <c r="AG216" s="52">
        <f t="shared" si="34"/>
        <v>4.9541449820893702</v>
      </c>
      <c r="AH216" s="80"/>
    </row>
    <row r="217" spans="1:34" ht="15" customHeight="1">
      <c r="A217" s="33" t="s">
        <v>202</v>
      </c>
      <c r="B217" s="50">
        <f>'Расчет субсидий'!AT217</f>
        <v>18.581818181818107</v>
      </c>
      <c r="C217" s="52">
        <f>'Расчет субсидий'!D217-1</f>
        <v>-1</v>
      </c>
      <c r="D217" s="52">
        <f>C217*'Расчет субсидий'!E217</f>
        <v>0</v>
      </c>
      <c r="E217" s="53">
        <f t="shared" si="30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2">
        <f>'Расчет субсидий'!P217-1</f>
        <v>-0.11102106969205838</v>
      </c>
      <c r="M217" s="52">
        <f>L217*'Расчет субсидий'!Q217</f>
        <v>-2.2204213938411677</v>
      </c>
      <c r="N217" s="53">
        <f t="shared" si="31"/>
        <v>-29.812118346533008</v>
      </c>
      <c r="O217" s="27" t="s">
        <v>365</v>
      </c>
      <c r="P217" s="27" t="s">
        <v>365</v>
      </c>
      <c r="Q217" s="27" t="s">
        <v>365</v>
      </c>
      <c r="R217" s="58">
        <f>'Расчет субсидий'!X217-1</f>
        <v>-8.2137978142076462E-2</v>
      </c>
      <c r="S217" s="58">
        <f>R217*'Расчет субсидий'!Y217</f>
        <v>-0.41068989071038231</v>
      </c>
      <c r="T217" s="53">
        <f t="shared" si="32"/>
        <v>-5.5140594751711509</v>
      </c>
      <c r="U217" s="52">
        <f>'Расчет субсидий'!AB217-1</f>
        <v>0.20075471698113212</v>
      </c>
      <c r="V217" s="52">
        <f>U217*'Расчет субсидий'!AC217</f>
        <v>4.0150943396226424</v>
      </c>
      <c r="W217" s="53">
        <f t="shared" si="33"/>
        <v>53.907996003522264</v>
      </c>
      <c r="X217" s="27" t="s">
        <v>365</v>
      </c>
      <c r="Y217" s="27" t="s">
        <v>365</v>
      </c>
      <c r="Z217" s="27" t="s">
        <v>365</v>
      </c>
      <c r="AA217" s="27" t="s">
        <v>365</v>
      </c>
      <c r="AB217" s="27" t="s">
        <v>365</v>
      </c>
      <c r="AC217" s="27" t="s">
        <v>365</v>
      </c>
      <c r="AD217" s="27" t="s">
        <v>365</v>
      </c>
      <c r="AE217" s="27" t="s">
        <v>365</v>
      </c>
      <c r="AF217" s="27" t="s">
        <v>365</v>
      </c>
      <c r="AG217" s="52">
        <f t="shared" si="34"/>
        <v>1.3839830550710923</v>
      </c>
      <c r="AH217" s="80"/>
    </row>
    <row r="218" spans="1:34" ht="15" customHeight="1">
      <c r="A218" s="33" t="s">
        <v>203</v>
      </c>
      <c r="B218" s="50">
        <f>'Расчет субсидий'!AT218</f>
        <v>0.82727272727272716</v>
      </c>
      <c r="C218" s="52">
        <f>'Расчет субсидий'!D218-1</f>
        <v>0.29053455085861524</v>
      </c>
      <c r="D218" s="52">
        <f>C218*'Расчет субсидий'!E218</f>
        <v>1.4526727542930762</v>
      </c>
      <c r="E218" s="53">
        <f t="shared" si="30"/>
        <v>9.6919277767795978E-2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2">
        <f>'Расчет субсидий'!P218-1</f>
        <v>0.30000000000000004</v>
      </c>
      <c r="M218" s="52">
        <f>L218*'Расчет субсидий'!Q218</f>
        <v>6.0000000000000009</v>
      </c>
      <c r="N218" s="53">
        <f t="shared" si="31"/>
        <v>0.4003074091451263</v>
      </c>
      <c r="O218" s="27" t="s">
        <v>365</v>
      </c>
      <c r="P218" s="27" t="s">
        <v>365</v>
      </c>
      <c r="Q218" s="27" t="s">
        <v>365</v>
      </c>
      <c r="R218" s="58">
        <f>'Расчет субсидий'!X218-1</f>
        <v>-5.0622238350374604E-2</v>
      </c>
      <c r="S218" s="58">
        <f>R218*'Расчет субсидий'!Y218</f>
        <v>-0.25311119175187302</v>
      </c>
      <c r="T218" s="53">
        <f t="shared" si="32"/>
        <v>-1.6887047565971255E-2</v>
      </c>
      <c r="U218" s="52">
        <f>'Расчет субсидий'!AB218-1</f>
        <v>0.26</v>
      </c>
      <c r="V218" s="52">
        <f>U218*'Расчет субсидий'!AC218</f>
        <v>5.2</v>
      </c>
      <c r="W218" s="53">
        <f t="shared" si="33"/>
        <v>0.3469330879257761</v>
      </c>
      <c r="X218" s="27" t="s">
        <v>365</v>
      </c>
      <c r="Y218" s="27" t="s">
        <v>365</v>
      </c>
      <c r="Z218" s="27" t="s">
        <v>365</v>
      </c>
      <c r="AA218" s="27" t="s">
        <v>365</v>
      </c>
      <c r="AB218" s="27" t="s">
        <v>365</v>
      </c>
      <c r="AC218" s="27" t="s">
        <v>365</v>
      </c>
      <c r="AD218" s="27" t="s">
        <v>365</v>
      </c>
      <c r="AE218" s="27" t="s">
        <v>365</v>
      </c>
      <c r="AF218" s="27" t="s">
        <v>365</v>
      </c>
      <c r="AG218" s="52">
        <f t="shared" si="34"/>
        <v>12.399561562541205</v>
      </c>
      <c r="AH218" s="80"/>
    </row>
    <row r="219" spans="1:34" ht="15" customHeight="1">
      <c r="A219" s="33" t="s">
        <v>204</v>
      </c>
      <c r="B219" s="50">
        <f>'Расчет субсидий'!AT219</f>
        <v>-1.8999999999999773</v>
      </c>
      <c r="C219" s="52">
        <f>'Расчет субсидий'!D219-1</f>
        <v>0.30000000000000004</v>
      </c>
      <c r="D219" s="52">
        <f>C219*'Расчет субсидий'!E219</f>
        <v>1.5000000000000002</v>
      </c>
      <c r="E219" s="53">
        <f t="shared" si="30"/>
        <v>10.649578761961656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2">
        <f>'Расчет субсидий'!P219-1</f>
        <v>-0.14230916762562329</v>
      </c>
      <c r="M219" s="52">
        <f>L219*'Расчет субсидий'!Q219</f>
        <v>-2.8461833525124658</v>
      </c>
      <c r="N219" s="53">
        <f t="shared" si="31"/>
        <v>-20.207102522377053</v>
      </c>
      <c r="O219" s="27" t="s">
        <v>365</v>
      </c>
      <c r="P219" s="27" t="s">
        <v>365</v>
      </c>
      <c r="Q219" s="27" t="s">
        <v>365</v>
      </c>
      <c r="R219" s="58">
        <f>'Расчет субсидий'!X219-1</f>
        <v>-6.5976714100905554E-2</v>
      </c>
      <c r="S219" s="58">
        <f>R219*'Расчет субсидий'!Y219</f>
        <v>-0.32988357050452777</v>
      </c>
      <c r="T219" s="53">
        <f t="shared" si="32"/>
        <v>-2.3420807109100661</v>
      </c>
      <c r="U219" s="52">
        <f>'Расчет субсидий'!AB219-1</f>
        <v>7.0422535211267512E-2</v>
      </c>
      <c r="V219" s="52">
        <f>U219*'Расчет субсидий'!AC219</f>
        <v>1.4084507042253502</v>
      </c>
      <c r="W219" s="53">
        <f t="shared" si="33"/>
        <v>9.999604471325485</v>
      </c>
      <c r="X219" s="27" t="s">
        <v>365</v>
      </c>
      <c r="Y219" s="27" t="s">
        <v>365</v>
      </c>
      <c r="Z219" s="27" t="s">
        <v>365</v>
      </c>
      <c r="AA219" s="27" t="s">
        <v>365</v>
      </c>
      <c r="AB219" s="27" t="s">
        <v>365</v>
      </c>
      <c r="AC219" s="27" t="s">
        <v>365</v>
      </c>
      <c r="AD219" s="27" t="s">
        <v>365</v>
      </c>
      <c r="AE219" s="27" t="s">
        <v>365</v>
      </c>
      <c r="AF219" s="27" t="s">
        <v>365</v>
      </c>
      <c r="AG219" s="52">
        <f t="shared" si="34"/>
        <v>-0.2676162187916431</v>
      </c>
      <c r="AH219" s="80"/>
    </row>
    <row r="220" spans="1:34" ht="15" customHeight="1">
      <c r="A220" s="33" t="s">
        <v>205</v>
      </c>
      <c r="B220" s="50">
        <f>'Расчет субсидий'!AT220</f>
        <v>-203.91818181818189</v>
      </c>
      <c r="C220" s="52">
        <f>'Расчет субсидий'!D220-1</f>
        <v>0.23559854719516293</v>
      </c>
      <c r="D220" s="52">
        <f>C220*'Расчет субсидий'!E220</f>
        <v>1.1779927359758147</v>
      </c>
      <c r="E220" s="53">
        <f t="shared" si="30"/>
        <v>14.576057949863459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2">
        <f>'Расчет субсидий'!P220-1</f>
        <v>-6.9758427012627244E-2</v>
      </c>
      <c r="M220" s="52">
        <f>L220*'Расчет субсидий'!Q220</f>
        <v>-1.3951685402525449</v>
      </c>
      <c r="N220" s="53">
        <f t="shared" si="31"/>
        <v>-17.26331315252272</v>
      </c>
      <c r="O220" s="27" t="s">
        <v>365</v>
      </c>
      <c r="P220" s="27" t="s">
        <v>365</v>
      </c>
      <c r="Q220" s="27" t="s">
        <v>365</v>
      </c>
      <c r="R220" s="58">
        <f>'Расчет субсидий'!X220-1</f>
        <v>-8.828875574084627E-2</v>
      </c>
      <c r="S220" s="58">
        <f>R220*'Расчет субсидий'!Y220</f>
        <v>-0.44144377870423135</v>
      </c>
      <c r="T220" s="53">
        <f t="shared" si="32"/>
        <v>-5.4622663650548038</v>
      </c>
      <c r="U220" s="52">
        <f>'Расчет субсидий'!AB220-1</f>
        <v>-0.79107142857142854</v>
      </c>
      <c r="V220" s="52">
        <f>U220*'Расчет субсидий'!AC220</f>
        <v>-15.821428571428571</v>
      </c>
      <c r="W220" s="53">
        <f t="shared" si="33"/>
        <v>-195.7686602504678</v>
      </c>
      <c r="X220" s="27" t="s">
        <v>365</v>
      </c>
      <c r="Y220" s="27" t="s">
        <v>365</v>
      </c>
      <c r="Z220" s="27" t="s">
        <v>365</v>
      </c>
      <c r="AA220" s="27" t="s">
        <v>365</v>
      </c>
      <c r="AB220" s="27" t="s">
        <v>365</v>
      </c>
      <c r="AC220" s="27" t="s">
        <v>365</v>
      </c>
      <c r="AD220" s="27" t="s">
        <v>365</v>
      </c>
      <c r="AE220" s="27" t="s">
        <v>365</v>
      </c>
      <c r="AF220" s="27" t="s">
        <v>365</v>
      </c>
      <c r="AG220" s="52">
        <f t="shared" si="34"/>
        <v>-16.480048154409534</v>
      </c>
      <c r="AH220" s="80"/>
    </row>
    <row r="221" spans="1:34" ht="15" customHeight="1">
      <c r="A221" s="33" t="s">
        <v>206</v>
      </c>
      <c r="B221" s="50">
        <f>'Расчет субсидий'!AT221</f>
        <v>-13.263636363636351</v>
      </c>
      <c r="C221" s="52">
        <f>'Расчет субсидий'!D221-1</f>
        <v>-0.11043381259295992</v>
      </c>
      <c r="D221" s="52">
        <f>C221*'Расчет субсидий'!E221</f>
        <v>-0.55216906296479962</v>
      </c>
      <c r="E221" s="53">
        <f t="shared" si="30"/>
        <v>-4.091426492842281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2">
        <f>'Расчет субсидий'!P221-1</f>
        <v>-5.7613527412185062E-2</v>
      </c>
      <c r="M221" s="52">
        <f>L221*'Расчет субсидий'!Q221</f>
        <v>-1.1522705482437012</v>
      </c>
      <c r="N221" s="53">
        <f t="shared" si="31"/>
        <v>-8.5380195382418957</v>
      </c>
      <c r="O221" s="27" t="s">
        <v>365</v>
      </c>
      <c r="P221" s="27" t="s">
        <v>365</v>
      </c>
      <c r="Q221" s="27" t="s">
        <v>365</v>
      </c>
      <c r="R221" s="58">
        <f>'Расчет субсидий'!X221-1</f>
        <v>-1.7117759895199813E-2</v>
      </c>
      <c r="S221" s="58">
        <f>R221*'Расчет субсидий'!Y221</f>
        <v>-8.5588799475999067E-2</v>
      </c>
      <c r="T221" s="53">
        <f t="shared" si="32"/>
        <v>-0.63419033255217305</v>
      </c>
      <c r="U221" s="52">
        <f>'Расчет субсидий'!AB221-1</f>
        <v>0</v>
      </c>
      <c r="V221" s="52">
        <f>U221*'Расчет субсидий'!AC221</f>
        <v>0</v>
      </c>
      <c r="W221" s="53">
        <f t="shared" si="33"/>
        <v>0</v>
      </c>
      <c r="X221" s="27" t="s">
        <v>365</v>
      </c>
      <c r="Y221" s="27" t="s">
        <v>365</v>
      </c>
      <c r="Z221" s="27" t="s">
        <v>365</v>
      </c>
      <c r="AA221" s="27" t="s">
        <v>365</v>
      </c>
      <c r="AB221" s="27" t="s">
        <v>365</v>
      </c>
      <c r="AC221" s="27" t="s">
        <v>365</v>
      </c>
      <c r="AD221" s="27" t="s">
        <v>365</v>
      </c>
      <c r="AE221" s="27" t="s">
        <v>365</v>
      </c>
      <c r="AF221" s="27" t="s">
        <v>365</v>
      </c>
      <c r="AG221" s="52">
        <f t="shared" si="34"/>
        <v>-1.7900284106845001</v>
      </c>
      <c r="AH221" s="80"/>
    </row>
    <row r="222" spans="1:34" ht="15" customHeight="1">
      <c r="A222" s="33" t="s">
        <v>207</v>
      </c>
      <c r="B222" s="50">
        <f>'Расчет субсидий'!AT222</f>
        <v>-1.1090909090909093</v>
      </c>
      <c r="C222" s="52">
        <f>'Расчет субсидий'!D222-1</f>
        <v>-0.13913561130588969</v>
      </c>
      <c r="D222" s="52">
        <f>C222*'Расчет субсидий'!E222</f>
        <v>-0.69567805652944847</v>
      </c>
      <c r="E222" s="53">
        <f t="shared" si="30"/>
        <v>-0.18836236172459744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2">
        <f>'Расчет субсидий'!P222-1</f>
        <v>-0.2194626959388245</v>
      </c>
      <c r="M222" s="52">
        <f>L222*'Расчет субсидий'!Q222</f>
        <v>-4.3892539187764896</v>
      </c>
      <c r="N222" s="53">
        <f t="shared" si="31"/>
        <v>-1.1884379945433658</v>
      </c>
      <c r="O222" s="27" t="s">
        <v>365</v>
      </c>
      <c r="P222" s="27" t="s">
        <v>365</v>
      </c>
      <c r="Q222" s="27" t="s">
        <v>365</v>
      </c>
      <c r="R222" s="58">
        <f>'Расчет субсидий'!X222-1</f>
        <v>-7.8115994620786777E-2</v>
      </c>
      <c r="S222" s="58">
        <f>R222*'Расчет субсидий'!Y222</f>
        <v>-0.39057997310393389</v>
      </c>
      <c r="T222" s="53">
        <f t="shared" si="32"/>
        <v>-0.10575375417648013</v>
      </c>
      <c r="U222" s="52">
        <f>'Расчет субсидий'!AB222-1</f>
        <v>6.8965517241379226E-2</v>
      </c>
      <c r="V222" s="52">
        <f>U222*'Расчет субсидий'!AC222</f>
        <v>1.3793103448275845</v>
      </c>
      <c r="W222" s="53">
        <f t="shared" si="33"/>
        <v>0.37346320135353411</v>
      </c>
      <c r="X222" s="27" t="s">
        <v>365</v>
      </c>
      <c r="Y222" s="27" t="s">
        <v>365</v>
      </c>
      <c r="Z222" s="27" t="s">
        <v>365</v>
      </c>
      <c r="AA222" s="27" t="s">
        <v>365</v>
      </c>
      <c r="AB222" s="27" t="s">
        <v>365</v>
      </c>
      <c r="AC222" s="27" t="s">
        <v>365</v>
      </c>
      <c r="AD222" s="27" t="s">
        <v>365</v>
      </c>
      <c r="AE222" s="27" t="s">
        <v>365</v>
      </c>
      <c r="AF222" s="27" t="s">
        <v>365</v>
      </c>
      <c r="AG222" s="52">
        <f t="shared" si="34"/>
        <v>-4.0962016035822879</v>
      </c>
      <c r="AH222" s="80"/>
    </row>
    <row r="223" spans="1:34" ht="15" customHeight="1">
      <c r="A223" s="33" t="s">
        <v>208</v>
      </c>
      <c r="B223" s="50">
        <f>'Расчет субсидий'!AT223</f>
        <v>-9.2454545454545496</v>
      </c>
      <c r="C223" s="52">
        <f>'Расчет субсидий'!D223-1</f>
        <v>0.30000000000000004</v>
      </c>
      <c r="D223" s="52">
        <f>C223*'Расчет субсидий'!E223</f>
        <v>1.5000000000000002</v>
      </c>
      <c r="E223" s="53">
        <f t="shared" si="30"/>
        <v>21.25442503739086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2">
        <f>'Расчет субсидий'!P223-1</f>
        <v>-0.15928659286592861</v>
      </c>
      <c r="M223" s="52">
        <f>L223*'Расчет субсидий'!Q223</f>
        <v>-3.1857318573185722</v>
      </c>
      <c r="N223" s="53">
        <f t="shared" si="31"/>
        <v>-45.140599300403693</v>
      </c>
      <c r="O223" s="27" t="s">
        <v>365</v>
      </c>
      <c r="P223" s="27" t="s">
        <v>365</v>
      </c>
      <c r="Q223" s="27" t="s">
        <v>365</v>
      </c>
      <c r="R223" s="58">
        <f>'Расчет субсидий'!X223-1</f>
        <v>-0.26489523386669855</v>
      </c>
      <c r="S223" s="58">
        <f>R223*'Расчет субсидий'!Y223</f>
        <v>-1.3244761693334928</v>
      </c>
      <c r="T223" s="53">
        <f t="shared" si="32"/>
        <v>-18.767319636606214</v>
      </c>
      <c r="U223" s="52">
        <f>'Расчет субсидий'!AB223-1</f>
        <v>0.11788617886178865</v>
      </c>
      <c r="V223" s="52">
        <f>U223*'Расчет субсидий'!AC223</f>
        <v>2.357723577235773</v>
      </c>
      <c r="W223" s="53">
        <f t="shared" si="33"/>
        <v>33.408039354164501</v>
      </c>
      <c r="X223" s="27" t="s">
        <v>365</v>
      </c>
      <c r="Y223" s="27" t="s">
        <v>365</v>
      </c>
      <c r="Z223" s="27" t="s">
        <v>365</v>
      </c>
      <c r="AA223" s="27" t="s">
        <v>365</v>
      </c>
      <c r="AB223" s="27" t="s">
        <v>365</v>
      </c>
      <c r="AC223" s="27" t="s">
        <v>365</v>
      </c>
      <c r="AD223" s="27" t="s">
        <v>365</v>
      </c>
      <c r="AE223" s="27" t="s">
        <v>365</v>
      </c>
      <c r="AF223" s="27" t="s">
        <v>365</v>
      </c>
      <c r="AG223" s="52">
        <f t="shared" si="34"/>
        <v>-0.65248444941629202</v>
      </c>
      <c r="AH223" s="80"/>
    </row>
    <row r="224" spans="1:34" ht="15" customHeight="1">
      <c r="A224" s="33" t="s">
        <v>209</v>
      </c>
      <c r="B224" s="50">
        <f>'Расчет субсидий'!AT224</f>
        <v>-11.672727272727286</v>
      </c>
      <c r="C224" s="52">
        <f>'Расчет субсидий'!D224-1</f>
        <v>-0.22127194537279937</v>
      </c>
      <c r="D224" s="52">
        <f>C224*'Расчет субсидий'!E224</f>
        <v>-1.1063597268639969</v>
      </c>
      <c r="E224" s="53">
        <f t="shared" si="30"/>
        <v>-5.4930588441666215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2">
        <f>'Расчет субсидий'!P224-1</f>
        <v>-0.24384105960264901</v>
      </c>
      <c r="M224" s="52">
        <f>L224*'Расчет субсидий'!Q224</f>
        <v>-4.8768211920529803</v>
      </c>
      <c r="N224" s="53">
        <f t="shared" si="31"/>
        <v>-24.213341402401678</v>
      </c>
      <c r="O224" s="27" t="s">
        <v>365</v>
      </c>
      <c r="P224" s="27" t="s">
        <v>365</v>
      </c>
      <c r="Q224" s="27" t="s">
        <v>365</v>
      </c>
      <c r="R224" s="58">
        <f>'Расчет субсидий'!X224-1</f>
        <v>-0.3409342039176293</v>
      </c>
      <c r="S224" s="58">
        <f>R224*'Расчет субсидий'!Y224</f>
        <v>-1.7046710195881465</v>
      </c>
      <c r="T224" s="53">
        <f t="shared" si="32"/>
        <v>-8.4636651110622765</v>
      </c>
      <c r="U224" s="52">
        <f>'Расчет субсидий'!AB224-1</f>
        <v>0.26684210526315777</v>
      </c>
      <c r="V224" s="52">
        <f>U224*'Расчет субсидий'!AC224</f>
        <v>5.3368421052631554</v>
      </c>
      <c r="W224" s="53">
        <f t="shared" si="33"/>
        <v>26.497338084903291</v>
      </c>
      <c r="X224" s="27" t="s">
        <v>365</v>
      </c>
      <c r="Y224" s="27" t="s">
        <v>365</v>
      </c>
      <c r="Z224" s="27" t="s">
        <v>365</v>
      </c>
      <c r="AA224" s="27" t="s">
        <v>365</v>
      </c>
      <c r="AB224" s="27" t="s">
        <v>365</v>
      </c>
      <c r="AC224" s="27" t="s">
        <v>365</v>
      </c>
      <c r="AD224" s="27" t="s">
        <v>365</v>
      </c>
      <c r="AE224" s="27" t="s">
        <v>365</v>
      </c>
      <c r="AF224" s="27" t="s">
        <v>365</v>
      </c>
      <c r="AG224" s="52">
        <f t="shared" si="34"/>
        <v>-2.3510098332419682</v>
      </c>
      <c r="AH224" s="80"/>
    </row>
    <row r="225" spans="1:34" ht="15" customHeight="1">
      <c r="A225" s="33" t="s">
        <v>210</v>
      </c>
      <c r="B225" s="50">
        <f>'Расчет субсидий'!AT225</f>
        <v>-45.418181818181836</v>
      </c>
      <c r="C225" s="52">
        <f>'Расчет субсидий'!D225-1</f>
        <v>-1</v>
      </c>
      <c r="D225" s="52">
        <f>C225*'Расчет субсидий'!E225</f>
        <v>0</v>
      </c>
      <c r="E225" s="53">
        <f t="shared" si="30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2">
        <f>'Расчет субсидий'!P225-1</f>
        <v>-0.3697575990765678</v>
      </c>
      <c r="M225" s="52">
        <f>L225*'Расчет субсидий'!Q225</f>
        <v>-7.395151981531356</v>
      </c>
      <c r="N225" s="53">
        <f t="shared" si="31"/>
        <v>-51.445709670763144</v>
      </c>
      <c r="O225" s="27" t="s">
        <v>365</v>
      </c>
      <c r="P225" s="27" t="s">
        <v>365</v>
      </c>
      <c r="Q225" s="27" t="s">
        <v>365</v>
      </c>
      <c r="R225" s="58">
        <f>'Расчет субсидий'!X225-1</f>
        <v>-0.16956967213114749</v>
      </c>
      <c r="S225" s="58">
        <f>R225*'Расчет субсидий'!Y225</f>
        <v>-0.84784836065573743</v>
      </c>
      <c r="T225" s="53">
        <f t="shared" si="32"/>
        <v>-5.8982101674258329</v>
      </c>
      <c r="U225" s="52">
        <f>'Расчет субсидий'!AB225-1</f>
        <v>8.5714285714285632E-2</v>
      </c>
      <c r="V225" s="52">
        <f>U225*'Расчет субсидий'!AC225</f>
        <v>1.7142857142857126</v>
      </c>
      <c r="W225" s="53">
        <f t="shared" si="33"/>
        <v>11.925738020007133</v>
      </c>
      <c r="X225" s="27" t="s">
        <v>365</v>
      </c>
      <c r="Y225" s="27" t="s">
        <v>365</v>
      </c>
      <c r="Z225" s="27" t="s">
        <v>365</v>
      </c>
      <c r="AA225" s="27" t="s">
        <v>365</v>
      </c>
      <c r="AB225" s="27" t="s">
        <v>365</v>
      </c>
      <c r="AC225" s="27" t="s">
        <v>365</v>
      </c>
      <c r="AD225" s="27" t="s">
        <v>365</v>
      </c>
      <c r="AE225" s="27" t="s">
        <v>365</v>
      </c>
      <c r="AF225" s="27" t="s">
        <v>365</v>
      </c>
      <c r="AG225" s="52">
        <f t="shared" si="34"/>
        <v>-6.5287146279013806</v>
      </c>
      <c r="AH225" s="80"/>
    </row>
    <row r="226" spans="1:34" ht="15" customHeight="1">
      <c r="A226" s="33" t="s">
        <v>211</v>
      </c>
      <c r="B226" s="50">
        <f>'Расчет субсидий'!AT226</f>
        <v>-52.409090909090878</v>
      </c>
      <c r="C226" s="52">
        <f>'Расчет субсидий'!D226-1</f>
        <v>0.21853941908713681</v>
      </c>
      <c r="D226" s="52">
        <f>C226*'Расчет субсидий'!E226</f>
        <v>1.0926970954356841</v>
      </c>
      <c r="E226" s="53">
        <f t="shared" si="30"/>
        <v>12.624701775373474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2">
        <f>'Расчет субсидий'!P226-1</f>
        <v>-0.55261986047202027</v>
      </c>
      <c r="M226" s="52">
        <f>L226*'Расчет субсидий'!Q226</f>
        <v>-11.052397209440405</v>
      </c>
      <c r="N226" s="53">
        <f t="shared" si="31"/>
        <v>-127.69615592006305</v>
      </c>
      <c r="O226" s="27" t="s">
        <v>365</v>
      </c>
      <c r="P226" s="27" t="s">
        <v>365</v>
      </c>
      <c r="Q226" s="27" t="s">
        <v>365</v>
      </c>
      <c r="R226" s="58">
        <f>'Расчет субсидий'!X226-1</f>
        <v>0.26487193169690504</v>
      </c>
      <c r="S226" s="58">
        <f>R226*'Расчет субсидий'!Y226</f>
        <v>1.3243596584845252</v>
      </c>
      <c r="T226" s="53">
        <f t="shared" si="32"/>
        <v>15.301263087037013</v>
      </c>
      <c r="U226" s="52">
        <f>'Расчет субсидий'!AB226-1</f>
        <v>0.20496062992125985</v>
      </c>
      <c r="V226" s="52">
        <f>U226*'Расчет субсидий'!AC226</f>
        <v>4.099212598425197</v>
      </c>
      <c r="W226" s="53">
        <f t="shared" si="33"/>
        <v>47.361100148561682</v>
      </c>
      <c r="X226" s="27" t="s">
        <v>365</v>
      </c>
      <c r="Y226" s="27" t="s">
        <v>365</v>
      </c>
      <c r="Z226" s="27" t="s">
        <v>365</v>
      </c>
      <c r="AA226" s="27" t="s">
        <v>365</v>
      </c>
      <c r="AB226" s="27" t="s">
        <v>365</v>
      </c>
      <c r="AC226" s="27" t="s">
        <v>365</v>
      </c>
      <c r="AD226" s="27" t="s">
        <v>365</v>
      </c>
      <c r="AE226" s="27" t="s">
        <v>365</v>
      </c>
      <c r="AF226" s="27" t="s">
        <v>365</v>
      </c>
      <c r="AG226" s="52">
        <f t="shared" si="34"/>
        <v>-4.5361278570949999</v>
      </c>
      <c r="AH226" s="80"/>
    </row>
    <row r="227" spans="1:34" ht="15" customHeight="1">
      <c r="A227" s="33" t="s">
        <v>212</v>
      </c>
      <c r="B227" s="50">
        <f>'Расчет субсидий'!AT227</f>
        <v>-11.018181818181802</v>
      </c>
      <c r="C227" s="52">
        <f>'Расчет субсидий'!D227-1</f>
        <v>0</v>
      </c>
      <c r="D227" s="52">
        <f>C227*'Расчет субсидий'!E227</f>
        <v>0</v>
      </c>
      <c r="E227" s="53">
        <f t="shared" si="30"/>
        <v>0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2">
        <f>'Расчет субсидий'!P227-1</f>
        <v>-0.152052559257987</v>
      </c>
      <c r="M227" s="52">
        <f>L227*'Расчет субсидий'!Q227</f>
        <v>-3.0410511851597399</v>
      </c>
      <c r="N227" s="53">
        <f t="shared" si="31"/>
        <v>-17.635827546299161</v>
      </c>
      <c r="O227" s="27" t="s">
        <v>365</v>
      </c>
      <c r="P227" s="27" t="s">
        <v>365</v>
      </c>
      <c r="Q227" s="27" t="s">
        <v>365</v>
      </c>
      <c r="R227" s="58">
        <f>'Расчет субсидий'!X227-1</f>
        <v>0.22822404371584692</v>
      </c>
      <c r="S227" s="58">
        <f>R227*'Расчет субсидий'!Y227</f>
        <v>1.1411202185792346</v>
      </c>
      <c r="T227" s="53">
        <f t="shared" si="32"/>
        <v>6.6176457281173597</v>
      </c>
      <c r="U227" s="52">
        <f>'Расчет субсидий'!AB227-1</f>
        <v>0</v>
      </c>
      <c r="V227" s="52">
        <f>U227*'Расчет субсидий'!AC227</f>
        <v>0</v>
      </c>
      <c r="W227" s="53">
        <f t="shared" si="33"/>
        <v>0</v>
      </c>
      <c r="X227" s="27" t="s">
        <v>365</v>
      </c>
      <c r="Y227" s="27" t="s">
        <v>365</v>
      </c>
      <c r="Z227" s="27" t="s">
        <v>365</v>
      </c>
      <c r="AA227" s="27" t="s">
        <v>365</v>
      </c>
      <c r="AB227" s="27" t="s">
        <v>365</v>
      </c>
      <c r="AC227" s="27" t="s">
        <v>365</v>
      </c>
      <c r="AD227" s="27" t="s">
        <v>365</v>
      </c>
      <c r="AE227" s="27" t="s">
        <v>365</v>
      </c>
      <c r="AF227" s="27" t="s">
        <v>365</v>
      </c>
      <c r="AG227" s="52">
        <f t="shared" si="34"/>
        <v>-1.8999309665805053</v>
      </c>
      <c r="AH227" s="80"/>
    </row>
    <row r="228" spans="1:34" ht="15" customHeight="1">
      <c r="A228" s="33" t="s">
        <v>213</v>
      </c>
      <c r="B228" s="50">
        <f>'Расчет субсидий'!AT228</f>
        <v>-58.681818181818187</v>
      </c>
      <c r="C228" s="52">
        <f>'Расчет субсидий'!D228-1</f>
        <v>-1</v>
      </c>
      <c r="D228" s="52">
        <f>C228*'Расчет субсидий'!E228</f>
        <v>0</v>
      </c>
      <c r="E228" s="53">
        <f t="shared" si="30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2">
        <f>'Расчет субсидий'!P228-1</f>
        <v>-0.52478952291861558</v>
      </c>
      <c r="M228" s="52">
        <f>L228*'Расчет субсидий'!Q228</f>
        <v>-10.495790458372312</v>
      </c>
      <c r="N228" s="53">
        <f t="shared" si="31"/>
        <v>-56.530056607918624</v>
      </c>
      <c r="O228" s="27" t="s">
        <v>365</v>
      </c>
      <c r="P228" s="27" t="s">
        <v>365</v>
      </c>
      <c r="Q228" s="27" t="s">
        <v>365</v>
      </c>
      <c r="R228" s="58">
        <f>'Расчет субсидий'!X228-1</f>
        <v>-7.9902409271119246E-2</v>
      </c>
      <c r="S228" s="58">
        <f>R228*'Расчет субсидий'!Y228</f>
        <v>-0.39951204635559623</v>
      </c>
      <c r="T228" s="53">
        <f t="shared" si="32"/>
        <v>-2.151761573899567</v>
      </c>
      <c r="U228" s="52">
        <f>'Расчет субсидий'!AB228-1</f>
        <v>0</v>
      </c>
      <c r="V228" s="52">
        <f>U228*'Расчет субсидий'!AC228</f>
        <v>0</v>
      </c>
      <c r="W228" s="53">
        <f t="shared" si="33"/>
        <v>0</v>
      </c>
      <c r="X228" s="27" t="s">
        <v>365</v>
      </c>
      <c r="Y228" s="27" t="s">
        <v>365</v>
      </c>
      <c r="Z228" s="27" t="s">
        <v>365</v>
      </c>
      <c r="AA228" s="27" t="s">
        <v>365</v>
      </c>
      <c r="AB228" s="27" t="s">
        <v>365</v>
      </c>
      <c r="AC228" s="27" t="s">
        <v>365</v>
      </c>
      <c r="AD228" s="27" t="s">
        <v>365</v>
      </c>
      <c r="AE228" s="27" t="s">
        <v>365</v>
      </c>
      <c r="AF228" s="27" t="s">
        <v>365</v>
      </c>
      <c r="AG228" s="52">
        <f t="shared" si="34"/>
        <v>-10.895302504727908</v>
      </c>
      <c r="AH228" s="80"/>
    </row>
    <row r="229" spans="1:34" ht="15" customHeight="1">
      <c r="A229" s="32" t="s">
        <v>214</v>
      </c>
      <c r="B229" s="54"/>
      <c r="C229" s="55"/>
      <c r="D229" s="55"/>
      <c r="E229" s="56"/>
      <c r="F229" s="55"/>
      <c r="G229" s="55"/>
      <c r="H229" s="56"/>
      <c r="I229" s="56"/>
      <c r="J229" s="56"/>
      <c r="K229" s="56"/>
      <c r="L229" s="55"/>
      <c r="M229" s="55"/>
      <c r="N229" s="56"/>
      <c r="O229" s="55"/>
      <c r="P229" s="55"/>
      <c r="Q229" s="56"/>
      <c r="R229" s="56"/>
      <c r="S229" s="56"/>
      <c r="T229" s="56"/>
      <c r="U229" s="56"/>
      <c r="V229" s="56"/>
      <c r="W229" s="56"/>
      <c r="X229" s="27"/>
      <c r="Y229" s="27"/>
      <c r="Z229" s="27"/>
      <c r="AA229" s="27"/>
      <c r="AB229" s="27"/>
      <c r="AC229" s="27"/>
      <c r="AD229" s="27"/>
      <c r="AE229" s="27"/>
      <c r="AF229" s="27"/>
      <c r="AG229" s="56"/>
      <c r="AH229" s="80"/>
    </row>
    <row r="230" spans="1:34" ht="15" customHeight="1">
      <c r="A230" s="33" t="s">
        <v>215</v>
      </c>
      <c r="B230" s="50">
        <f>'Расчет субсидий'!AT230</f>
        <v>46.445454545454538</v>
      </c>
      <c r="C230" s="52">
        <f>'Расчет субсидий'!D230-1</f>
        <v>-1</v>
      </c>
      <c r="D230" s="52">
        <f>C230*'Расчет субсидий'!E230</f>
        <v>0</v>
      </c>
      <c r="E230" s="53">
        <f t="shared" si="30"/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2">
        <f>'Расчет субсидий'!P230-1</f>
        <v>0.20806473829201089</v>
      </c>
      <c r="M230" s="52">
        <f>L230*'Расчет субсидий'!Q230</f>
        <v>4.1612947658402177</v>
      </c>
      <c r="N230" s="53">
        <f t="shared" si="31"/>
        <v>24.893371188878195</v>
      </c>
      <c r="O230" s="27" t="s">
        <v>365</v>
      </c>
      <c r="P230" s="27" t="s">
        <v>365</v>
      </c>
      <c r="Q230" s="27" t="s">
        <v>365</v>
      </c>
      <c r="R230" s="58">
        <f>'Расчет субсидий'!X230-1</f>
        <v>-9.2783505154639179E-2</v>
      </c>
      <c r="S230" s="58">
        <f>R230*'Расчет субсидий'!Y230</f>
        <v>-0.46391752577319589</v>
      </c>
      <c r="T230" s="53">
        <f t="shared" si="32"/>
        <v>-2.7752110388571216</v>
      </c>
      <c r="U230" s="52">
        <f>'Расчет субсидий'!AB230-1</f>
        <v>0.20333333333333337</v>
      </c>
      <c r="V230" s="52">
        <f>U230*'Расчет субсидий'!AC230</f>
        <v>4.0666666666666673</v>
      </c>
      <c r="W230" s="53">
        <f t="shared" si="33"/>
        <v>24.327294395433466</v>
      </c>
      <c r="X230" s="27" t="s">
        <v>365</v>
      </c>
      <c r="Y230" s="27" t="s">
        <v>365</v>
      </c>
      <c r="Z230" s="27" t="s">
        <v>365</v>
      </c>
      <c r="AA230" s="27" t="s">
        <v>365</v>
      </c>
      <c r="AB230" s="27" t="s">
        <v>365</v>
      </c>
      <c r="AC230" s="27" t="s">
        <v>365</v>
      </c>
      <c r="AD230" s="27" t="s">
        <v>365</v>
      </c>
      <c r="AE230" s="27" t="s">
        <v>365</v>
      </c>
      <c r="AF230" s="27" t="s">
        <v>365</v>
      </c>
      <c r="AG230" s="52">
        <f t="shared" si="34"/>
        <v>7.764043906733689</v>
      </c>
      <c r="AH230" s="80"/>
    </row>
    <row r="231" spans="1:34" ht="15" customHeight="1">
      <c r="A231" s="33" t="s">
        <v>144</v>
      </c>
      <c r="B231" s="50">
        <f>'Расчет субсидий'!AT231</f>
        <v>-42.172727272727258</v>
      </c>
      <c r="C231" s="52">
        <f>'Расчет субсидий'!D231-1</f>
        <v>-1</v>
      </c>
      <c r="D231" s="52">
        <f>C231*'Расчет субсидий'!E231</f>
        <v>0</v>
      </c>
      <c r="E231" s="53">
        <f t="shared" si="30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2">
        <f>'Расчет субсидий'!P231-1</f>
        <v>-0.42167282809611828</v>
      </c>
      <c r="M231" s="52">
        <f>L231*'Расчет субсидий'!Q231</f>
        <v>-8.433456561922366</v>
      </c>
      <c r="N231" s="53">
        <f t="shared" si="31"/>
        <v>-49.552041379349092</v>
      </c>
      <c r="O231" s="27" t="s">
        <v>365</v>
      </c>
      <c r="P231" s="27" t="s">
        <v>365</v>
      </c>
      <c r="Q231" s="27" t="s">
        <v>365</v>
      </c>
      <c r="R231" s="58">
        <f>'Расчет субсидий'!X231-1</f>
        <v>4.5468605010825947E-2</v>
      </c>
      <c r="S231" s="58">
        <f>R231*'Расчет субсидий'!Y231</f>
        <v>0.22734302505412973</v>
      </c>
      <c r="T231" s="53">
        <f t="shared" si="32"/>
        <v>1.3357881080045262</v>
      </c>
      <c r="U231" s="52">
        <f>'Расчет субсидий'!AB231-1</f>
        <v>5.1428571428571379E-2</v>
      </c>
      <c r="V231" s="52">
        <f>U231*'Расчет субсидий'!AC231</f>
        <v>1.0285714285714276</v>
      </c>
      <c r="W231" s="53">
        <f t="shared" si="33"/>
        <v>6.0435259986173113</v>
      </c>
      <c r="X231" s="27" t="s">
        <v>365</v>
      </c>
      <c r="Y231" s="27" t="s">
        <v>365</v>
      </c>
      <c r="Z231" s="27" t="s">
        <v>365</v>
      </c>
      <c r="AA231" s="27" t="s">
        <v>365</v>
      </c>
      <c r="AB231" s="27" t="s">
        <v>365</v>
      </c>
      <c r="AC231" s="27" t="s">
        <v>365</v>
      </c>
      <c r="AD231" s="27" t="s">
        <v>365</v>
      </c>
      <c r="AE231" s="27" t="s">
        <v>365</v>
      </c>
      <c r="AF231" s="27" t="s">
        <v>365</v>
      </c>
      <c r="AG231" s="52">
        <f t="shared" si="34"/>
        <v>-7.1775421082968096</v>
      </c>
      <c r="AH231" s="80"/>
    </row>
    <row r="232" spans="1:34" ht="15" customHeight="1">
      <c r="A232" s="33" t="s">
        <v>216</v>
      </c>
      <c r="B232" s="50">
        <f>'Расчет субсидий'!AT232</f>
        <v>10.963636363636397</v>
      </c>
      <c r="C232" s="52">
        <f>'Расчет субсидий'!D232-1</f>
        <v>-1</v>
      </c>
      <c r="D232" s="52">
        <f>C232*'Расчет субсидий'!E232</f>
        <v>0</v>
      </c>
      <c r="E232" s="53">
        <f t="shared" si="30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2">
        <f>'Расчет субсидий'!P232-1</f>
        <v>5.7096247960848334E-2</v>
      </c>
      <c r="M232" s="52">
        <f>L232*'Расчет субсидий'!Q232</f>
        <v>1.1419249592169667</v>
      </c>
      <c r="N232" s="53">
        <f t="shared" si="31"/>
        <v>7.3528891311488067</v>
      </c>
      <c r="O232" s="27" t="s">
        <v>365</v>
      </c>
      <c r="P232" s="27" t="s">
        <v>365</v>
      </c>
      <c r="Q232" s="27" t="s">
        <v>365</v>
      </c>
      <c r="R232" s="58">
        <f>'Расчет субсидий'!X232-1</f>
        <v>-6.0000000000000053E-2</v>
      </c>
      <c r="S232" s="58">
        <f>R232*'Расчет субсидий'!Y232</f>
        <v>-0.30000000000000027</v>
      </c>
      <c r="T232" s="53">
        <f t="shared" si="32"/>
        <v>-1.9317090160260939</v>
      </c>
      <c r="U232" s="52">
        <f>'Расчет субсидий'!AB232-1</f>
        <v>4.3037974683544311E-2</v>
      </c>
      <c r="V232" s="52">
        <f>U232*'Расчет субсидий'!AC232</f>
        <v>0.86075949367088622</v>
      </c>
      <c r="W232" s="53">
        <f t="shared" si="33"/>
        <v>5.542456248513683</v>
      </c>
      <c r="X232" s="27" t="s">
        <v>365</v>
      </c>
      <c r="Y232" s="27" t="s">
        <v>365</v>
      </c>
      <c r="Z232" s="27" t="s">
        <v>365</v>
      </c>
      <c r="AA232" s="27" t="s">
        <v>365</v>
      </c>
      <c r="AB232" s="27" t="s">
        <v>365</v>
      </c>
      <c r="AC232" s="27" t="s">
        <v>365</v>
      </c>
      <c r="AD232" s="27" t="s">
        <v>365</v>
      </c>
      <c r="AE232" s="27" t="s">
        <v>365</v>
      </c>
      <c r="AF232" s="27" t="s">
        <v>365</v>
      </c>
      <c r="AG232" s="52">
        <f t="shared" si="34"/>
        <v>1.7026844528878526</v>
      </c>
      <c r="AH232" s="80"/>
    </row>
    <row r="233" spans="1:34" ht="15" customHeight="1">
      <c r="A233" s="33" t="s">
        <v>217</v>
      </c>
      <c r="B233" s="50">
        <f>'Расчет субсидий'!AT233</f>
        <v>-28.990909090909071</v>
      </c>
      <c r="C233" s="52">
        <f>'Расчет субсидий'!D233-1</f>
        <v>-1</v>
      </c>
      <c r="D233" s="52">
        <f>C233*'Расчет субсидий'!E233</f>
        <v>0</v>
      </c>
      <c r="E233" s="53">
        <f t="shared" si="30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2">
        <f>'Расчет субсидий'!P233-1</f>
        <v>-0.29680125852123751</v>
      </c>
      <c r="M233" s="52">
        <f>L233*'Расчет субсидий'!Q233</f>
        <v>-5.9360251704247506</v>
      </c>
      <c r="N233" s="53">
        <f t="shared" si="31"/>
        <v>-28.286063654974772</v>
      </c>
      <c r="O233" s="27" t="s">
        <v>365</v>
      </c>
      <c r="P233" s="27" t="s">
        <v>365</v>
      </c>
      <c r="Q233" s="27" t="s">
        <v>365</v>
      </c>
      <c r="R233" s="58">
        <f>'Расчет субсидий'!X233-1</f>
        <v>-2.9583333333333295E-2</v>
      </c>
      <c r="S233" s="58">
        <f>R233*'Расчет субсидий'!Y233</f>
        <v>-0.14791666666666647</v>
      </c>
      <c r="T233" s="53">
        <f t="shared" si="32"/>
        <v>-0.70484543593430038</v>
      </c>
      <c r="U233" s="52">
        <f>'Расчет субсидий'!AB233-1</f>
        <v>0</v>
      </c>
      <c r="V233" s="52">
        <f>U233*'Расчет субсидий'!AC233</f>
        <v>0</v>
      </c>
      <c r="W233" s="53">
        <f t="shared" si="33"/>
        <v>0</v>
      </c>
      <c r="X233" s="27" t="s">
        <v>365</v>
      </c>
      <c r="Y233" s="27" t="s">
        <v>365</v>
      </c>
      <c r="Z233" s="27" t="s">
        <v>365</v>
      </c>
      <c r="AA233" s="27" t="s">
        <v>365</v>
      </c>
      <c r="AB233" s="27" t="s">
        <v>365</v>
      </c>
      <c r="AC233" s="27" t="s">
        <v>365</v>
      </c>
      <c r="AD233" s="27" t="s">
        <v>365</v>
      </c>
      <c r="AE233" s="27" t="s">
        <v>365</v>
      </c>
      <c r="AF233" s="27" t="s">
        <v>365</v>
      </c>
      <c r="AG233" s="52">
        <f t="shared" si="34"/>
        <v>-6.0839418370914169</v>
      </c>
      <c r="AH233" s="80"/>
    </row>
    <row r="234" spans="1:34" ht="15" customHeight="1">
      <c r="A234" s="33" t="s">
        <v>218</v>
      </c>
      <c r="B234" s="50">
        <f>'Расчет субсидий'!AT234</f>
        <v>17.390909090909105</v>
      </c>
      <c r="C234" s="52">
        <f>'Расчет субсидий'!D234-1</f>
        <v>0.20431153421633552</v>
      </c>
      <c r="D234" s="52">
        <f>C234*'Расчет субсидий'!E234</f>
        <v>1.0215576710816776</v>
      </c>
      <c r="E234" s="53">
        <f t="shared" si="30"/>
        <v>2.3114986473345955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2">
        <f>'Расчет субсидий'!P234-1</f>
        <v>0.30000000000000004</v>
      </c>
      <c r="M234" s="52">
        <f>L234*'Расчет субсидий'!Q234</f>
        <v>6.0000000000000009</v>
      </c>
      <c r="N234" s="53">
        <f t="shared" si="31"/>
        <v>13.576318084247145</v>
      </c>
      <c r="O234" s="27" t="s">
        <v>365</v>
      </c>
      <c r="P234" s="27" t="s">
        <v>365</v>
      </c>
      <c r="Q234" s="27" t="s">
        <v>365</v>
      </c>
      <c r="R234" s="58">
        <f>'Расчет субсидий'!X234-1</f>
        <v>-2.7142857142857135E-2</v>
      </c>
      <c r="S234" s="58">
        <f>R234*'Расчет субсидий'!Y234</f>
        <v>-0.13571428571428568</v>
      </c>
      <c r="T234" s="53">
        <f t="shared" si="32"/>
        <v>-0.30708338523892337</v>
      </c>
      <c r="U234" s="52">
        <f>'Расчет субсидий'!AB234-1</f>
        <v>4.0000000000000036E-2</v>
      </c>
      <c r="V234" s="52">
        <f>U234*'Расчет субсидий'!AC234</f>
        <v>0.80000000000000071</v>
      </c>
      <c r="W234" s="53">
        <f t="shared" si="33"/>
        <v>1.8101757445662876</v>
      </c>
      <c r="X234" s="27" t="s">
        <v>365</v>
      </c>
      <c r="Y234" s="27" t="s">
        <v>365</v>
      </c>
      <c r="Z234" s="27" t="s">
        <v>365</v>
      </c>
      <c r="AA234" s="27" t="s">
        <v>365</v>
      </c>
      <c r="AB234" s="27" t="s">
        <v>365</v>
      </c>
      <c r="AC234" s="27" t="s">
        <v>365</v>
      </c>
      <c r="AD234" s="27" t="s">
        <v>365</v>
      </c>
      <c r="AE234" s="27" t="s">
        <v>365</v>
      </c>
      <c r="AF234" s="27" t="s">
        <v>365</v>
      </c>
      <c r="AG234" s="52">
        <f t="shared" si="34"/>
        <v>7.6858433853673933</v>
      </c>
      <c r="AH234" s="80"/>
    </row>
    <row r="235" spans="1:34" ht="15" customHeight="1">
      <c r="A235" s="33" t="s">
        <v>219</v>
      </c>
      <c r="B235" s="50">
        <f>'Расчет субсидий'!AT235</f>
        <v>-8.7000000000000028</v>
      </c>
      <c r="C235" s="52">
        <f>'Расчет субсидий'!D235-1</f>
        <v>1.8554194496103849E-2</v>
      </c>
      <c r="D235" s="52">
        <f>C235*'Расчет субсидий'!E235</f>
        <v>9.2770972480519243E-2</v>
      </c>
      <c r="E235" s="53">
        <f t="shared" si="30"/>
        <v>0.1444466097219291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2">
        <f>'Расчет субсидий'!P235-1</f>
        <v>-0.29955089820359282</v>
      </c>
      <c r="M235" s="52">
        <f>L235*'Расчет субсидий'!Q235</f>
        <v>-5.9910179640718564</v>
      </c>
      <c r="N235" s="53">
        <f t="shared" si="31"/>
        <v>-9.3281574026301524</v>
      </c>
      <c r="O235" s="27" t="s">
        <v>365</v>
      </c>
      <c r="P235" s="27" t="s">
        <v>365</v>
      </c>
      <c r="Q235" s="27" t="s">
        <v>365</v>
      </c>
      <c r="R235" s="58">
        <f>'Расчет субсидий'!X235-1</f>
        <v>6.213274336283181E-2</v>
      </c>
      <c r="S235" s="58">
        <f>R235*'Расчет субсидий'!Y235</f>
        <v>0.31066371681415905</v>
      </c>
      <c r="T235" s="53">
        <f t="shared" si="32"/>
        <v>0.48371079290822128</v>
      </c>
      <c r="U235" s="52">
        <f>'Расчет субсидий'!AB235-1</f>
        <v>0</v>
      </c>
      <c r="V235" s="52">
        <f>U235*'Расчет субсидий'!AC235</f>
        <v>0</v>
      </c>
      <c r="W235" s="53">
        <f t="shared" si="33"/>
        <v>0</v>
      </c>
      <c r="X235" s="27" t="s">
        <v>365</v>
      </c>
      <c r="Y235" s="27" t="s">
        <v>365</v>
      </c>
      <c r="Z235" s="27" t="s">
        <v>365</v>
      </c>
      <c r="AA235" s="27" t="s">
        <v>365</v>
      </c>
      <c r="AB235" s="27" t="s">
        <v>365</v>
      </c>
      <c r="AC235" s="27" t="s">
        <v>365</v>
      </c>
      <c r="AD235" s="27" t="s">
        <v>365</v>
      </c>
      <c r="AE235" s="27" t="s">
        <v>365</v>
      </c>
      <c r="AF235" s="27" t="s">
        <v>365</v>
      </c>
      <c r="AG235" s="52">
        <f t="shared" si="34"/>
        <v>-5.5875832747771783</v>
      </c>
      <c r="AH235" s="80"/>
    </row>
    <row r="236" spans="1:34" ht="15" customHeight="1">
      <c r="A236" s="33" t="s">
        <v>220</v>
      </c>
      <c r="B236" s="50">
        <f>'Расчет субсидий'!AT236</f>
        <v>21.881818181818176</v>
      </c>
      <c r="C236" s="52">
        <f>'Расчет субсидий'!D236-1</f>
        <v>-1</v>
      </c>
      <c r="D236" s="52">
        <f>C236*'Расчет субсидий'!E236</f>
        <v>0</v>
      </c>
      <c r="E236" s="53">
        <f t="shared" si="30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2">
        <f>'Расчет субсидий'!P236-1</f>
        <v>0.11379716981132093</v>
      </c>
      <c r="M236" s="52">
        <f>L236*'Расчет субсидий'!Q236</f>
        <v>2.2759433962264186</v>
      </c>
      <c r="N236" s="53">
        <f t="shared" si="31"/>
        <v>18.890120978169332</v>
      </c>
      <c r="O236" s="27" t="s">
        <v>365</v>
      </c>
      <c r="P236" s="27" t="s">
        <v>365</v>
      </c>
      <c r="Q236" s="27" t="s">
        <v>365</v>
      </c>
      <c r="R236" s="58">
        <f>'Расчет субсидий'!X236-1</f>
        <v>0.14399999999999991</v>
      </c>
      <c r="S236" s="58">
        <f>R236*'Расчет субсидий'!Y236</f>
        <v>0.71999999999999953</v>
      </c>
      <c r="T236" s="53">
        <f t="shared" si="32"/>
        <v>5.9759338157673794</v>
      </c>
      <c r="U236" s="52">
        <f>'Расчет субсидий'!AB236-1</f>
        <v>-1.7977528089887618E-2</v>
      </c>
      <c r="V236" s="52">
        <f>U236*'Расчет субсидий'!AC236</f>
        <v>-0.35955056179775235</v>
      </c>
      <c r="W236" s="53">
        <f t="shared" si="33"/>
        <v>-2.98423661211854</v>
      </c>
      <c r="X236" s="27" t="s">
        <v>365</v>
      </c>
      <c r="Y236" s="27" t="s">
        <v>365</v>
      </c>
      <c r="Z236" s="27" t="s">
        <v>365</v>
      </c>
      <c r="AA236" s="27" t="s">
        <v>365</v>
      </c>
      <c r="AB236" s="27" t="s">
        <v>365</v>
      </c>
      <c r="AC236" s="27" t="s">
        <v>365</v>
      </c>
      <c r="AD236" s="27" t="s">
        <v>365</v>
      </c>
      <c r="AE236" s="27" t="s">
        <v>365</v>
      </c>
      <c r="AF236" s="27" t="s">
        <v>365</v>
      </c>
      <c r="AG236" s="52">
        <f t="shared" si="34"/>
        <v>2.636392834428666</v>
      </c>
      <c r="AH236" s="80"/>
    </row>
    <row r="237" spans="1:34" ht="15" customHeight="1">
      <c r="A237" s="33" t="s">
        <v>221</v>
      </c>
      <c r="B237" s="50">
        <f>'Расчет субсидий'!AT237</f>
        <v>7.3909090909090764</v>
      </c>
      <c r="C237" s="52">
        <f>'Расчет субсидий'!D237-1</f>
        <v>-1</v>
      </c>
      <c r="D237" s="52">
        <f>C237*'Расчет субсидий'!E237</f>
        <v>0</v>
      </c>
      <c r="E237" s="53">
        <f t="shared" si="30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2">
        <f>'Расчет субсидий'!P237-1</f>
        <v>0.20277227722772273</v>
      </c>
      <c r="M237" s="52">
        <f>L237*'Расчет субсидий'!Q237</f>
        <v>4.0554455445544546</v>
      </c>
      <c r="N237" s="53">
        <f t="shared" si="31"/>
        <v>26.149538375920127</v>
      </c>
      <c r="O237" s="27" t="s">
        <v>365</v>
      </c>
      <c r="P237" s="27" t="s">
        <v>365</v>
      </c>
      <c r="Q237" s="27" t="s">
        <v>365</v>
      </c>
      <c r="R237" s="58">
        <f>'Расчет субсидий'!X237-1</f>
        <v>-1.0414201183431948E-2</v>
      </c>
      <c r="S237" s="58">
        <f>R237*'Расчет субсидий'!Y237</f>
        <v>-5.2071005917159741E-2</v>
      </c>
      <c r="T237" s="53">
        <f t="shared" si="32"/>
        <v>-0.33575417362758014</v>
      </c>
      <c r="U237" s="52">
        <f>'Расчет субсидий'!AB237-1</f>
        <v>-0.1428571428571429</v>
      </c>
      <c r="V237" s="52">
        <f>U237*'Расчет субсидий'!AC237</f>
        <v>-2.8571428571428581</v>
      </c>
      <c r="W237" s="53">
        <f t="shared" si="33"/>
        <v>-18.422875111383473</v>
      </c>
      <c r="X237" s="27" t="s">
        <v>365</v>
      </c>
      <c r="Y237" s="27" t="s">
        <v>365</v>
      </c>
      <c r="Z237" s="27" t="s">
        <v>365</v>
      </c>
      <c r="AA237" s="27" t="s">
        <v>365</v>
      </c>
      <c r="AB237" s="27" t="s">
        <v>365</v>
      </c>
      <c r="AC237" s="27" t="s">
        <v>365</v>
      </c>
      <c r="AD237" s="27" t="s">
        <v>365</v>
      </c>
      <c r="AE237" s="27" t="s">
        <v>365</v>
      </c>
      <c r="AF237" s="27" t="s">
        <v>365</v>
      </c>
      <c r="AG237" s="52">
        <f t="shared" si="34"/>
        <v>1.1462316814944367</v>
      </c>
      <c r="AH237" s="80"/>
    </row>
    <row r="238" spans="1:34" ht="15" customHeight="1">
      <c r="A238" s="33" t="s">
        <v>222</v>
      </c>
      <c r="B238" s="50">
        <f>'Расчет субсидий'!AT238</f>
        <v>-15.036363636363603</v>
      </c>
      <c r="C238" s="52">
        <f>'Расчет субсидий'!D238-1</f>
        <v>-0.36641356056956997</v>
      </c>
      <c r="D238" s="52">
        <f>C238*'Расчет субсидий'!E238</f>
        <v>-1.8320678028478499</v>
      </c>
      <c r="E238" s="53">
        <f t="shared" si="30"/>
        <v>-18.344869748185157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2">
        <f>'Расчет субсидий'!P238-1</f>
        <v>-1.8173730698354262E-2</v>
      </c>
      <c r="M238" s="52">
        <f>L238*'Расчет субсидий'!Q238</f>
        <v>-0.36347461396708525</v>
      </c>
      <c r="N238" s="53">
        <f t="shared" si="31"/>
        <v>-3.6395456760023732</v>
      </c>
      <c r="O238" s="27" t="s">
        <v>365</v>
      </c>
      <c r="P238" s="27" t="s">
        <v>365</v>
      </c>
      <c r="Q238" s="27" t="s">
        <v>365</v>
      </c>
      <c r="R238" s="58">
        <f>'Расчет субсидий'!X238-1</f>
        <v>3.5074081559677284E-2</v>
      </c>
      <c r="S238" s="58">
        <f>R238*'Расчет субсидий'!Y238</f>
        <v>0.17537040779838642</v>
      </c>
      <c r="T238" s="53">
        <f t="shared" si="32"/>
        <v>1.7560197738023848</v>
      </c>
      <c r="U238" s="52">
        <f>'Расчет субсидий'!AB238-1</f>
        <v>2.5925925925925908E-2</v>
      </c>
      <c r="V238" s="52">
        <f>U238*'Расчет субсидий'!AC238</f>
        <v>0.51851851851851816</v>
      </c>
      <c r="W238" s="53">
        <f t="shared" si="33"/>
        <v>5.192032014021545</v>
      </c>
      <c r="X238" s="27" t="s">
        <v>365</v>
      </c>
      <c r="Y238" s="27" t="s">
        <v>365</v>
      </c>
      <c r="Z238" s="27" t="s">
        <v>365</v>
      </c>
      <c r="AA238" s="27" t="s">
        <v>365</v>
      </c>
      <c r="AB238" s="27" t="s">
        <v>365</v>
      </c>
      <c r="AC238" s="27" t="s">
        <v>365</v>
      </c>
      <c r="AD238" s="27" t="s">
        <v>365</v>
      </c>
      <c r="AE238" s="27" t="s">
        <v>365</v>
      </c>
      <c r="AF238" s="27" t="s">
        <v>365</v>
      </c>
      <c r="AG238" s="52">
        <f t="shared" si="34"/>
        <v>-1.5016534904980308</v>
      </c>
      <c r="AH238" s="80"/>
    </row>
    <row r="239" spans="1:34" ht="15" customHeight="1">
      <c r="A239" s="32" t="s">
        <v>223</v>
      </c>
      <c r="B239" s="54"/>
      <c r="C239" s="55"/>
      <c r="D239" s="55"/>
      <c r="E239" s="56"/>
      <c r="F239" s="55"/>
      <c r="G239" s="55"/>
      <c r="H239" s="56"/>
      <c r="I239" s="56"/>
      <c r="J239" s="56"/>
      <c r="K239" s="56"/>
      <c r="L239" s="55"/>
      <c r="M239" s="55"/>
      <c r="N239" s="56"/>
      <c r="O239" s="55"/>
      <c r="P239" s="55"/>
      <c r="Q239" s="56"/>
      <c r="R239" s="56"/>
      <c r="S239" s="56"/>
      <c r="T239" s="56"/>
      <c r="U239" s="56"/>
      <c r="V239" s="56"/>
      <c r="W239" s="56"/>
      <c r="X239" s="27"/>
      <c r="Y239" s="27"/>
      <c r="Z239" s="27"/>
      <c r="AA239" s="27"/>
      <c r="AB239" s="27"/>
      <c r="AC239" s="27"/>
      <c r="AD239" s="27"/>
      <c r="AE239" s="27"/>
      <c r="AF239" s="27"/>
      <c r="AG239" s="56"/>
      <c r="AH239" s="80"/>
    </row>
    <row r="240" spans="1:34" ht="15" customHeight="1">
      <c r="A240" s="33" t="s">
        <v>224</v>
      </c>
      <c r="B240" s="50">
        <f>'Расчет субсидий'!AT240</f>
        <v>4.9545454545454959</v>
      </c>
      <c r="C240" s="52">
        <f>'Расчет субсидий'!D240-1</f>
        <v>-1</v>
      </c>
      <c r="D240" s="52">
        <f>C240*'Расчет субсидий'!E240</f>
        <v>0</v>
      </c>
      <c r="E240" s="53">
        <f t="shared" si="30"/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2">
        <f>'Расчет субсидий'!P240-1</f>
        <v>0.20196223316912976</v>
      </c>
      <c r="M240" s="52">
        <f>L240*'Расчет субсидий'!Q240</f>
        <v>4.0392446633825951</v>
      </c>
      <c r="N240" s="53">
        <f t="shared" si="31"/>
        <v>47.531684833607947</v>
      </c>
      <c r="O240" s="27" t="s">
        <v>365</v>
      </c>
      <c r="P240" s="27" t="s">
        <v>365</v>
      </c>
      <c r="Q240" s="27" t="s">
        <v>365</v>
      </c>
      <c r="R240" s="58">
        <f>'Расчет субсидий'!X240-1</f>
        <v>-0.85062556162300407</v>
      </c>
      <c r="S240" s="58">
        <f>R240*'Расчет субсидий'!Y240</f>
        <v>-4.2531278081150203</v>
      </c>
      <c r="T240" s="53">
        <f t="shared" si="32"/>
        <v>-50.048548028057048</v>
      </c>
      <c r="U240" s="52">
        <f>'Расчет субсидий'!AB240-1</f>
        <v>3.1746031746031855E-2</v>
      </c>
      <c r="V240" s="52">
        <f>U240*'Расчет субсидий'!AC240</f>
        <v>0.63492063492063711</v>
      </c>
      <c r="W240" s="53">
        <f t="shared" si="33"/>
        <v>7.4714086489945934</v>
      </c>
      <c r="X240" s="27" t="s">
        <v>365</v>
      </c>
      <c r="Y240" s="27" t="s">
        <v>365</v>
      </c>
      <c r="Z240" s="27" t="s">
        <v>365</v>
      </c>
      <c r="AA240" s="27" t="s">
        <v>365</v>
      </c>
      <c r="AB240" s="27" t="s">
        <v>365</v>
      </c>
      <c r="AC240" s="27" t="s">
        <v>365</v>
      </c>
      <c r="AD240" s="27" t="s">
        <v>365</v>
      </c>
      <c r="AE240" s="27" t="s">
        <v>365</v>
      </c>
      <c r="AF240" s="27" t="s">
        <v>365</v>
      </c>
      <c r="AG240" s="52">
        <f t="shared" si="34"/>
        <v>0.4210374901882119</v>
      </c>
      <c r="AH240" s="80"/>
    </row>
    <row r="241" spans="1:34" ht="15" customHeight="1">
      <c r="A241" s="33" t="s">
        <v>225</v>
      </c>
      <c r="B241" s="50">
        <f>'Расчет субсидий'!AT241</f>
        <v>7.0818181818181074</v>
      </c>
      <c r="C241" s="52">
        <f>'Расчет субсидий'!D241-1</f>
        <v>-1</v>
      </c>
      <c r="D241" s="52">
        <f>C241*'Расчет субсидий'!E241</f>
        <v>0</v>
      </c>
      <c r="E241" s="53">
        <f t="shared" si="30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2">
        <f>'Расчет субсидий'!P241-1</f>
        <v>0.25208883553421368</v>
      </c>
      <c r="M241" s="52">
        <f>L241*'Расчет субсидий'!Q241</f>
        <v>5.0417767106842737</v>
      </c>
      <c r="N241" s="53">
        <f t="shared" si="31"/>
        <v>52.384244539974745</v>
      </c>
      <c r="O241" s="27" t="s">
        <v>365</v>
      </c>
      <c r="P241" s="27" t="s">
        <v>365</v>
      </c>
      <c r="Q241" s="27" t="s">
        <v>365</v>
      </c>
      <c r="R241" s="58">
        <f>'Расчет субсидий'!X241-1</f>
        <v>-0.83015111754592341</v>
      </c>
      <c r="S241" s="58">
        <f>R241*'Расчет субсидий'!Y241</f>
        <v>-4.1507555877296172</v>
      </c>
      <c r="T241" s="53">
        <f t="shared" si="32"/>
        <v>-43.126502463411263</v>
      </c>
      <c r="U241" s="52">
        <f>'Расчет субсидий'!AB241-1</f>
        <v>-1.0471204188481686E-2</v>
      </c>
      <c r="V241" s="52">
        <f>U241*'Расчет субсидий'!AC241</f>
        <v>-0.20942408376963373</v>
      </c>
      <c r="W241" s="53">
        <f t="shared" si="33"/>
        <v>-2.1759238947453747</v>
      </c>
      <c r="X241" s="27" t="s">
        <v>365</v>
      </c>
      <c r="Y241" s="27" t="s">
        <v>365</v>
      </c>
      <c r="Z241" s="27" t="s">
        <v>365</v>
      </c>
      <c r="AA241" s="27" t="s">
        <v>365</v>
      </c>
      <c r="AB241" s="27" t="s">
        <v>365</v>
      </c>
      <c r="AC241" s="27" t="s">
        <v>365</v>
      </c>
      <c r="AD241" s="27" t="s">
        <v>365</v>
      </c>
      <c r="AE241" s="27" t="s">
        <v>365</v>
      </c>
      <c r="AF241" s="27" t="s">
        <v>365</v>
      </c>
      <c r="AG241" s="52">
        <f t="shared" si="34"/>
        <v>0.68159703918502279</v>
      </c>
      <c r="AH241" s="80"/>
    </row>
    <row r="242" spans="1:34" ht="15" customHeight="1">
      <c r="A242" s="33" t="s">
        <v>226</v>
      </c>
      <c r="B242" s="50">
        <f>'Расчет субсидий'!AT242</f>
        <v>1.2909090909091674</v>
      </c>
      <c r="C242" s="52">
        <f>'Расчет субсидий'!D242-1</f>
        <v>-1</v>
      </c>
      <c r="D242" s="52">
        <f>C242*'Расчет субсидий'!E242</f>
        <v>0</v>
      </c>
      <c r="E242" s="53">
        <f t="shared" si="30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2">
        <f>'Расчет субсидий'!P242-1</f>
        <v>0.20312333380103831</v>
      </c>
      <c r="M242" s="52">
        <f>L242*'Расчет субсидий'!Q242</f>
        <v>4.0624666760207662</v>
      </c>
      <c r="N242" s="53">
        <f t="shared" si="31"/>
        <v>70.309170085562087</v>
      </c>
      <c r="O242" s="27" t="s">
        <v>365</v>
      </c>
      <c r="P242" s="27" t="s">
        <v>365</v>
      </c>
      <c r="Q242" s="27" t="s">
        <v>365</v>
      </c>
      <c r="R242" s="58">
        <f>'Расчет субсидий'!X242-1</f>
        <v>-0.89260797677138359</v>
      </c>
      <c r="S242" s="58">
        <f>R242*'Расчет субсидий'!Y242</f>
        <v>-4.4630398838569176</v>
      </c>
      <c r="T242" s="53">
        <f t="shared" si="32"/>
        <v>-77.241896443100643</v>
      </c>
      <c r="U242" s="52">
        <f>'Расчет субсидий'!AB242-1</f>
        <v>2.3758099352051865E-2</v>
      </c>
      <c r="V242" s="52">
        <f>U242*'Расчет субсидий'!AC242</f>
        <v>0.47516198704103729</v>
      </c>
      <c r="W242" s="53">
        <f t="shared" si="33"/>
        <v>8.2236354484477179</v>
      </c>
      <c r="X242" s="27" t="s">
        <v>365</v>
      </c>
      <c r="Y242" s="27" t="s">
        <v>365</v>
      </c>
      <c r="Z242" s="27" t="s">
        <v>365</v>
      </c>
      <c r="AA242" s="27" t="s">
        <v>365</v>
      </c>
      <c r="AB242" s="27" t="s">
        <v>365</v>
      </c>
      <c r="AC242" s="27" t="s">
        <v>365</v>
      </c>
      <c r="AD242" s="27" t="s">
        <v>365</v>
      </c>
      <c r="AE242" s="27" t="s">
        <v>365</v>
      </c>
      <c r="AF242" s="27" t="s">
        <v>365</v>
      </c>
      <c r="AG242" s="52">
        <f t="shared" si="34"/>
        <v>7.4588779204885824E-2</v>
      </c>
      <c r="AH242" s="80"/>
    </row>
    <row r="243" spans="1:34" ht="15" customHeight="1">
      <c r="A243" s="33" t="s">
        <v>227</v>
      </c>
      <c r="B243" s="50">
        <f>'Расчет субсидий'!AT243</f>
        <v>-70.454545454545496</v>
      </c>
      <c r="C243" s="52">
        <f>'Расчет субсидий'!D243-1</f>
        <v>0.30000000000000004</v>
      </c>
      <c r="D243" s="52">
        <f>C243*'Расчет субсидий'!E243</f>
        <v>1.5000000000000002</v>
      </c>
      <c r="E243" s="53">
        <f t="shared" si="30"/>
        <v>18.43666424680076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2">
        <f>'Расчет субсидий'!P243-1</f>
        <v>-0.36521550320269236</v>
      </c>
      <c r="M243" s="52">
        <f>L243*'Расчет субсидий'!Q243</f>
        <v>-7.3043100640538476</v>
      </c>
      <c r="N243" s="53">
        <f t="shared" si="31"/>
        <v>-89.778074803658996</v>
      </c>
      <c r="O243" s="27" t="s">
        <v>365</v>
      </c>
      <c r="P243" s="27" t="s">
        <v>365</v>
      </c>
      <c r="Q243" s="27" t="s">
        <v>365</v>
      </c>
      <c r="R243" s="58">
        <f>'Расчет субсидий'!X243-1</f>
        <v>-0.12842614128699781</v>
      </c>
      <c r="S243" s="58">
        <f>R243*'Расчет субсидий'!Y243</f>
        <v>-0.64213070643498904</v>
      </c>
      <c r="T243" s="53">
        <f t="shared" si="32"/>
        <v>-7.8924988247352497</v>
      </c>
      <c r="U243" s="52">
        <f>'Расчет субсидий'!AB243-1</f>
        <v>3.5714285714285809E-2</v>
      </c>
      <c r="V243" s="52">
        <f>U243*'Расчет субсидий'!AC243</f>
        <v>0.71428571428571619</v>
      </c>
      <c r="W243" s="53">
        <f t="shared" si="33"/>
        <v>8.7793639270480028</v>
      </c>
      <c r="X243" s="27" t="s">
        <v>365</v>
      </c>
      <c r="Y243" s="27" t="s">
        <v>365</v>
      </c>
      <c r="Z243" s="27" t="s">
        <v>365</v>
      </c>
      <c r="AA243" s="27" t="s">
        <v>365</v>
      </c>
      <c r="AB243" s="27" t="s">
        <v>365</v>
      </c>
      <c r="AC243" s="27" t="s">
        <v>365</v>
      </c>
      <c r="AD243" s="27" t="s">
        <v>365</v>
      </c>
      <c r="AE243" s="27" t="s">
        <v>365</v>
      </c>
      <c r="AF243" s="27" t="s">
        <v>365</v>
      </c>
      <c r="AG243" s="52">
        <f t="shared" si="34"/>
        <v>-5.73215505620312</v>
      </c>
      <c r="AH243" s="80"/>
    </row>
    <row r="244" spans="1:34" ht="15" customHeight="1">
      <c r="A244" s="33" t="s">
        <v>228</v>
      </c>
      <c r="B244" s="50">
        <f>'Расчет субсидий'!AT244</f>
        <v>8.7272727272727195</v>
      </c>
      <c r="C244" s="52">
        <f>'Расчет субсидий'!D244-1</f>
        <v>-1</v>
      </c>
      <c r="D244" s="52">
        <f>C244*'Расчет субсидий'!E244</f>
        <v>0</v>
      </c>
      <c r="E244" s="53">
        <f t="shared" si="30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2">
        <f>'Расчет субсидий'!P244-1</f>
        <v>0.30000000000000004</v>
      </c>
      <c r="M244" s="52">
        <f>L244*'Расчет субсидий'!Q244</f>
        <v>6.0000000000000009</v>
      </c>
      <c r="N244" s="53">
        <f t="shared" si="31"/>
        <v>34.065161236563583</v>
      </c>
      <c r="O244" s="27" t="s">
        <v>365</v>
      </c>
      <c r="P244" s="27" t="s">
        <v>365</v>
      </c>
      <c r="Q244" s="27" t="s">
        <v>365</v>
      </c>
      <c r="R244" s="58">
        <f>'Расчет субсидий'!X244-1</f>
        <v>-0.89256780556533988</v>
      </c>
      <c r="S244" s="58">
        <f>R244*'Расчет субсидий'!Y244</f>
        <v>-4.4628390278266998</v>
      </c>
      <c r="T244" s="53">
        <f t="shared" si="32"/>
        <v>-25.337888509290863</v>
      </c>
      <c r="U244" s="52">
        <f>'Расчет субсидий'!AB244-1</f>
        <v>0</v>
      </c>
      <c r="V244" s="52">
        <f>U244*'Расчет субсидий'!AC244</f>
        <v>0</v>
      </c>
      <c r="W244" s="53">
        <f t="shared" si="33"/>
        <v>0</v>
      </c>
      <c r="X244" s="27" t="s">
        <v>365</v>
      </c>
      <c r="Y244" s="27" t="s">
        <v>365</v>
      </c>
      <c r="Z244" s="27" t="s">
        <v>365</v>
      </c>
      <c r="AA244" s="27" t="s">
        <v>365</v>
      </c>
      <c r="AB244" s="27" t="s">
        <v>365</v>
      </c>
      <c r="AC244" s="27" t="s">
        <v>365</v>
      </c>
      <c r="AD244" s="27" t="s">
        <v>365</v>
      </c>
      <c r="AE244" s="27" t="s">
        <v>365</v>
      </c>
      <c r="AF244" s="27" t="s">
        <v>365</v>
      </c>
      <c r="AG244" s="52">
        <f t="shared" si="34"/>
        <v>1.5371609721733011</v>
      </c>
      <c r="AH244" s="80"/>
    </row>
    <row r="245" spans="1:34" ht="15" customHeight="1">
      <c r="A245" s="33" t="s">
        <v>229</v>
      </c>
      <c r="B245" s="50">
        <f>'Расчет субсидий'!AT245</f>
        <v>16.190909090909145</v>
      </c>
      <c r="C245" s="52">
        <f>'Расчет субсидий'!D245-1</f>
        <v>-1</v>
      </c>
      <c r="D245" s="52">
        <f>C245*'Расчет субсидий'!E245</f>
        <v>0</v>
      </c>
      <c r="E245" s="53">
        <f t="shared" si="30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2">
        <f>'Расчет субсидий'!P245-1</f>
        <v>0.30000000000000004</v>
      </c>
      <c r="M245" s="52">
        <f>L245*'Расчет субсидий'!Q245</f>
        <v>6.0000000000000009</v>
      </c>
      <c r="N245" s="53">
        <f t="shared" si="31"/>
        <v>81.482752399607364</v>
      </c>
      <c r="O245" s="27" t="s">
        <v>365</v>
      </c>
      <c r="P245" s="27" t="s">
        <v>365</v>
      </c>
      <c r="Q245" s="27" t="s">
        <v>365</v>
      </c>
      <c r="R245" s="58">
        <f>'Расчет субсидий'!X245-1</f>
        <v>-0.84448261454899964</v>
      </c>
      <c r="S245" s="58">
        <f>R245*'Расчет субсидий'!Y245</f>
        <v>-4.222413072744998</v>
      </c>
      <c r="T245" s="53">
        <f t="shared" si="32"/>
        <v>-57.34230648922432</v>
      </c>
      <c r="U245" s="52">
        <f>'Расчет субсидий'!AB245-1</f>
        <v>-2.9268292682926855E-2</v>
      </c>
      <c r="V245" s="52">
        <f>U245*'Расчет субсидий'!AC245</f>
        <v>-0.58536585365853711</v>
      </c>
      <c r="W245" s="53">
        <f t="shared" si="33"/>
        <v>-7.9495368194738942</v>
      </c>
      <c r="X245" s="27" t="s">
        <v>365</v>
      </c>
      <c r="Y245" s="27" t="s">
        <v>365</v>
      </c>
      <c r="Z245" s="27" t="s">
        <v>365</v>
      </c>
      <c r="AA245" s="27" t="s">
        <v>365</v>
      </c>
      <c r="AB245" s="27" t="s">
        <v>365</v>
      </c>
      <c r="AC245" s="27" t="s">
        <v>365</v>
      </c>
      <c r="AD245" s="27" t="s">
        <v>365</v>
      </c>
      <c r="AE245" s="27" t="s">
        <v>365</v>
      </c>
      <c r="AF245" s="27" t="s">
        <v>365</v>
      </c>
      <c r="AG245" s="52">
        <f t="shared" si="34"/>
        <v>1.1922210735964658</v>
      </c>
      <c r="AH245" s="80"/>
    </row>
    <row r="246" spans="1:34" ht="15" customHeight="1">
      <c r="A246" s="33" t="s">
        <v>230</v>
      </c>
      <c r="B246" s="50">
        <f>'Расчет субсидий'!AT246</f>
        <v>-137.77272727272725</v>
      </c>
      <c r="C246" s="52">
        <f>'Расчет субсидий'!D246-1</f>
        <v>-0.20436356707317072</v>
      </c>
      <c r="D246" s="52">
        <f>C246*'Расчет субсидий'!E246</f>
        <v>-1.0218178353658536</v>
      </c>
      <c r="E246" s="53">
        <f t="shared" si="30"/>
        <v>-27.909696547549114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2">
        <f>'Расчет субсидий'!P246-1</f>
        <v>-2.4671493698042335E-2</v>
      </c>
      <c r="M246" s="52">
        <f>L246*'Расчет субсидий'!Q246</f>
        <v>-0.4934298739608467</v>
      </c>
      <c r="N246" s="53">
        <f t="shared" si="31"/>
        <v>-13.477429707235313</v>
      </c>
      <c r="O246" s="27" t="s">
        <v>365</v>
      </c>
      <c r="P246" s="27" t="s">
        <v>365</v>
      </c>
      <c r="Q246" s="27" t="s">
        <v>365</v>
      </c>
      <c r="R246" s="58">
        <f>'Расчет субсидий'!X246-1</f>
        <v>-0.70576565406075642</v>
      </c>
      <c r="S246" s="58">
        <f>R246*'Расчет субсидий'!Y246</f>
        <v>-3.5288282703037819</v>
      </c>
      <c r="T246" s="53">
        <f t="shared" si="32"/>
        <v>-96.385601017942847</v>
      </c>
      <c r="U246" s="52">
        <f>'Расчет субсидий'!AB246-1</f>
        <v>0</v>
      </c>
      <c r="V246" s="52">
        <f>U246*'Расчет субсидий'!AC246</f>
        <v>0</v>
      </c>
      <c r="W246" s="53">
        <f t="shared" si="33"/>
        <v>0</v>
      </c>
      <c r="X246" s="27" t="s">
        <v>365</v>
      </c>
      <c r="Y246" s="27" t="s">
        <v>365</v>
      </c>
      <c r="Z246" s="27" t="s">
        <v>365</v>
      </c>
      <c r="AA246" s="27" t="s">
        <v>365</v>
      </c>
      <c r="AB246" s="27" t="s">
        <v>365</v>
      </c>
      <c r="AC246" s="27" t="s">
        <v>365</v>
      </c>
      <c r="AD246" s="27" t="s">
        <v>365</v>
      </c>
      <c r="AE246" s="27" t="s">
        <v>365</v>
      </c>
      <c r="AF246" s="27" t="s">
        <v>365</v>
      </c>
      <c r="AG246" s="52">
        <f t="shared" si="34"/>
        <v>-5.0440759796304819</v>
      </c>
      <c r="AH246" s="80"/>
    </row>
    <row r="247" spans="1:34" ht="15" customHeight="1">
      <c r="A247" s="33" t="s">
        <v>231</v>
      </c>
      <c r="B247" s="50">
        <f>'Расчет субсидий'!AT247</f>
        <v>39.436363636363581</v>
      </c>
      <c r="C247" s="52">
        <f>'Расчет субсидий'!D247-1</f>
        <v>-0.41071296006458902</v>
      </c>
      <c r="D247" s="52">
        <f>C247*'Расчет субсидий'!E247</f>
        <v>-2.053564800322945</v>
      </c>
      <c r="E247" s="53">
        <f t="shared" si="30"/>
        <v>-24.089263165792833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2">
        <f>'Расчет субсидий'!P247-1</f>
        <v>0.20561872189157882</v>
      </c>
      <c r="M247" s="52">
        <f>L247*'Расчет субсидий'!Q247</f>
        <v>4.1123744378315763</v>
      </c>
      <c r="N247" s="53">
        <f t="shared" si="31"/>
        <v>48.240050693129007</v>
      </c>
      <c r="O247" s="27" t="s">
        <v>365</v>
      </c>
      <c r="P247" s="27" t="s">
        <v>365</v>
      </c>
      <c r="Q247" s="27" t="s">
        <v>365</v>
      </c>
      <c r="R247" s="58">
        <f>'Расчет субсидий'!X247-1</f>
        <v>0.26061337645835736</v>
      </c>
      <c r="S247" s="58">
        <f>R247*'Расчет субсидий'!Y247</f>
        <v>1.3030668822917868</v>
      </c>
      <c r="T247" s="53">
        <f t="shared" si="32"/>
        <v>15.285576109027408</v>
      </c>
      <c r="U247" s="52">
        <f>'Расчет субсидий'!AB247-1</f>
        <v>0</v>
      </c>
      <c r="V247" s="52">
        <f>U247*'Расчет субсидий'!AC247</f>
        <v>0</v>
      </c>
      <c r="W247" s="53">
        <f t="shared" si="33"/>
        <v>0</v>
      </c>
      <c r="X247" s="27" t="s">
        <v>365</v>
      </c>
      <c r="Y247" s="27" t="s">
        <v>365</v>
      </c>
      <c r="Z247" s="27" t="s">
        <v>365</v>
      </c>
      <c r="AA247" s="27" t="s">
        <v>365</v>
      </c>
      <c r="AB247" s="27" t="s">
        <v>365</v>
      </c>
      <c r="AC247" s="27" t="s">
        <v>365</v>
      </c>
      <c r="AD247" s="27" t="s">
        <v>365</v>
      </c>
      <c r="AE247" s="27" t="s">
        <v>365</v>
      </c>
      <c r="AF247" s="27" t="s">
        <v>365</v>
      </c>
      <c r="AG247" s="52">
        <f t="shared" si="34"/>
        <v>3.3618765198004184</v>
      </c>
      <c r="AH247" s="80"/>
    </row>
    <row r="248" spans="1:34" ht="15" customHeight="1">
      <c r="A248" s="32" t="s">
        <v>232</v>
      </c>
      <c r="B248" s="54"/>
      <c r="C248" s="55"/>
      <c r="D248" s="55"/>
      <c r="E248" s="56"/>
      <c r="F248" s="55"/>
      <c r="G248" s="55"/>
      <c r="H248" s="56"/>
      <c r="I248" s="56"/>
      <c r="J248" s="56"/>
      <c r="K248" s="56"/>
      <c r="L248" s="55"/>
      <c r="M248" s="55"/>
      <c r="N248" s="56"/>
      <c r="O248" s="55"/>
      <c r="P248" s="55"/>
      <c r="Q248" s="56"/>
      <c r="R248" s="56"/>
      <c r="S248" s="56"/>
      <c r="T248" s="56"/>
      <c r="U248" s="56"/>
      <c r="V248" s="56"/>
      <c r="W248" s="56"/>
      <c r="X248" s="27"/>
      <c r="Y248" s="27"/>
      <c r="Z248" s="27"/>
      <c r="AA248" s="27"/>
      <c r="AB248" s="27"/>
      <c r="AC248" s="27"/>
      <c r="AD248" s="27"/>
      <c r="AE248" s="27"/>
      <c r="AF248" s="27"/>
      <c r="AG248" s="56"/>
      <c r="AH248" s="80"/>
    </row>
    <row r="249" spans="1:34" ht="15" customHeight="1">
      <c r="A249" s="33" t="s">
        <v>233</v>
      </c>
      <c r="B249" s="50">
        <f>'Расчет субсидий'!AT249</f>
        <v>55.927272727272737</v>
      </c>
      <c r="C249" s="52">
        <f>'Расчет субсидий'!D249-1</f>
        <v>5.2584350323043871E-2</v>
      </c>
      <c r="D249" s="52">
        <f>C249*'Расчет субсидий'!E249</f>
        <v>0.26292175161521936</v>
      </c>
      <c r="E249" s="53">
        <f t="shared" ref="E249:E312" si="35">$B249*D249/$AG249</f>
        <v>1.7669854226386736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2">
        <f>'Расчет субсидий'!P249-1</f>
        <v>0.28864500306560381</v>
      </c>
      <c r="M249" s="52">
        <f>L249*'Расчет субсидий'!Q249</f>
        <v>5.7729000613120762</v>
      </c>
      <c r="N249" s="53">
        <f t="shared" ref="N249:N312" si="36">$B249*M249/$AG249</f>
        <v>38.797209405544962</v>
      </c>
      <c r="O249" s="27" t="s">
        <v>365</v>
      </c>
      <c r="P249" s="27" t="s">
        <v>365</v>
      </c>
      <c r="Q249" s="27" t="s">
        <v>365</v>
      </c>
      <c r="R249" s="58">
        <f>'Расчет субсидий'!X249-1</f>
        <v>0.20141300964830378</v>
      </c>
      <c r="S249" s="58">
        <f>R249*'Расчет субсидий'!Y249</f>
        <v>1.0070650482415189</v>
      </c>
      <c r="T249" s="53">
        <f t="shared" ref="T249:T312" si="37">$B249*S249/$AG249</f>
        <v>6.7680564615129049</v>
      </c>
      <c r="U249" s="52">
        <f>'Расчет субсидий'!AB249-1</f>
        <v>6.3945578231292544E-2</v>
      </c>
      <c r="V249" s="52">
        <f>U249*'Расчет субсидий'!AC249</f>
        <v>1.2789115646258509</v>
      </c>
      <c r="W249" s="53">
        <f t="shared" ref="W249:W312" si="38">$B249*V249/$AG249</f>
        <v>8.5950214375762037</v>
      </c>
      <c r="X249" s="27" t="s">
        <v>365</v>
      </c>
      <c r="Y249" s="27" t="s">
        <v>365</v>
      </c>
      <c r="Z249" s="27" t="s">
        <v>365</v>
      </c>
      <c r="AA249" s="27" t="s">
        <v>365</v>
      </c>
      <c r="AB249" s="27" t="s">
        <v>365</v>
      </c>
      <c r="AC249" s="27" t="s">
        <v>365</v>
      </c>
      <c r="AD249" s="27" t="s">
        <v>365</v>
      </c>
      <c r="AE249" s="27" t="s">
        <v>365</v>
      </c>
      <c r="AF249" s="27" t="s">
        <v>365</v>
      </c>
      <c r="AG249" s="52">
        <f t="shared" si="34"/>
        <v>8.3217984257946647</v>
      </c>
      <c r="AH249" s="80"/>
    </row>
    <row r="250" spans="1:34" ht="15" customHeight="1">
      <c r="A250" s="33" t="s">
        <v>234</v>
      </c>
      <c r="B250" s="50">
        <f>'Расчет субсидий'!AT250</f>
        <v>-55.018181818181858</v>
      </c>
      <c r="C250" s="52">
        <f>'Расчет субсидий'!D250-1</f>
        <v>-1</v>
      </c>
      <c r="D250" s="52">
        <f>C250*'Расчет субсидий'!E250</f>
        <v>0</v>
      </c>
      <c r="E250" s="53">
        <f t="shared" si="35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2">
        <f>'Расчет субсидий'!P250-1</f>
        <v>-0.21076958631846543</v>
      </c>
      <c r="M250" s="52">
        <f>L250*'Расчет субсидий'!Q250</f>
        <v>-4.2153917263693081</v>
      </c>
      <c r="N250" s="53">
        <f t="shared" si="36"/>
        <v>-41.654666714785705</v>
      </c>
      <c r="O250" s="27" t="s">
        <v>365</v>
      </c>
      <c r="P250" s="27" t="s">
        <v>365</v>
      </c>
      <c r="Q250" s="27" t="s">
        <v>365</v>
      </c>
      <c r="R250" s="58">
        <f>'Расчет субсидий'!X250-1</f>
        <v>-0.27047366091190794</v>
      </c>
      <c r="S250" s="58">
        <f>R250*'Расчет субсидий'!Y250</f>
        <v>-1.3523683045595396</v>
      </c>
      <c r="T250" s="53">
        <f t="shared" si="37"/>
        <v>-13.363515103396152</v>
      </c>
      <c r="U250" s="52">
        <f>'Расчет субсидий'!AB250-1</f>
        <v>0</v>
      </c>
      <c r="V250" s="52">
        <f>U250*'Расчет субсидий'!AC250</f>
        <v>0</v>
      </c>
      <c r="W250" s="53">
        <f t="shared" si="38"/>
        <v>0</v>
      </c>
      <c r="X250" s="27" t="s">
        <v>365</v>
      </c>
      <c r="Y250" s="27" t="s">
        <v>365</v>
      </c>
      <c r="Z250" s="27" t="s">
        <v>365</v>
      </c>
      <c r="AA250" s="27" t="s">
        <v>365</v>
      </c>
      <c r="AB250" s="27" t="s">
        <v>365</v>
      </c>
      <c r="AC250" s="27" t="s">
        <v>365</v>
      </c>
      <c r="AD250" s="27" t="s">
        <v>365</v>
      </c>
      <c r="AE250" s="27" t="s">
        <v>365</v>
      </c>
      <c r="AF250" s="27" t="s">
        <v>365</v>
      </c>
      <c r="AG250" s="52">
        <f t="shared" ref="AG250:AG313" si="39">D250+M250+S250+V250</f>
        <v>-5.5677600309288477</v>
      </c>
      <c r="AH250" s="80"/>
    </row>
    <row r="251" spans="1:34" ht="15" customHeight="1">
      <c r="A251" s="33" t="s">
        <v>235</v>
      </c>
      <c r="B251" s="50">
        <f>'Расчет субсидий'!AT251</f>
        <v>-23.100000000000023</v>
      </c>
      <c r="C251" s="52">
        <f>'Расчет субсидий'!D251-1</f>
        <v>0.22512008733624445</v>
      </c>
      <c r="D251" s="52">
        <f>C251*'Расчет субсидий'!E251</f>
        <v>1.1256004366812222</v>
      </c>
      <c r="E251" s="53">
        <f t="shared" si="35"/>
        <v>7.6414966675881839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2">
        <f>'Расчет субсидий'!P251-1</f>
        <v>-0.18879381727849853</v>
      </c>
      <c r="M251" s="52">
        <f>L251*'Расчет субсидий'!Q251</f>
        <v>-3.7758763455699706</v>
      </c>
      <c r="N251" s="53">
        <f t="shared" si="36"/>
        <v>-25.633737844816995</v>
      </c>
      <c r="O251" s="27" t="s">
        <v>365</v>
      </c>
      <c r="P251" s="27" t="s">
        <v>365</v>
      </c>
      <c r="Q251" s="27" t="s">
        <v>365</v>
      </c>
      <c r="R251" s="58">
        <f>'Расчет субсидий'!X251-1</f>
        <v>-0.15047564139521474</v>
      </c>
      <c r="S251" s="58">
        <f>R251*'Расчет субсидий'!Y251</f>
        <v>-0.75237820697607372</v>
      </c>
      <c r="T251" s="53">
        <f t="shared" si="37"/>
        <v>-5.1077588227712107</v>
      </c>
      <c r="U251" s="52">
        <f>'Расчет субсидий'!AB251-1</f>
        <v>0</v>
      </c>
      <c r="V251" s="52">
        <f>U251*'Расчет субсидий'!AC251</f>
        <v>0</v>
      </c>
      <c r="W251" s="53">
        <f t="shared" si="38"/>
        <v>0</v>
      </c>
      <c r="X251" s="27" t="s">
        <v>365</v>
      </c>
      <c r="Y251" s="27" t="s">
        <v>365</v>
      </c>
      <c r="Z251" s="27" t="s">
        <v>365</v>
      </c>
      <c r="AA251" s="27" t="s">
        <v>365</v>
      </c>
      <c r="AB251" s="27" t="s">
        <v>365</v>
      </c>
      <c r="AC251" s="27" t="s">
        <v>365</v>
      </c>
      <c r="AD251" s="27" t="s">
        <v>365</v>
      </c>
      <c r="AE251" s="27" t="s">
        <v>365</v>
      </c>
      <c r="AF251" s="27" t="s">
        <v>365</v>
      </c>
      <c r="AG251" s="52">
        <f t="shared" si="39"/>
        <v>-3.4026541158648222</v>
      </c>
      <c r="AH251" s="80"/>
    </row>
    <row r="252" spans="1:34" ht="15" customHeight="1">
      <c r="A252" s="33" t="s">
        <v>236</v>
      </c>
      <c r="B252" s="50">
        <f>'Расчет субсидий'!AT252</f>
        <v>35.027272727272759</v>
      </c>
      <c r="C252" s="52">
        <f>'Расчет субсидий'!D252-1</f>
        <v>-1</v>
      </c>
      <c r="D252" s="52">
        <f>C252*'Расчет субсидий'!E252</f>
        <v>0</v>
      </c>
      <c r="E252" s="53">
        <f t="shared" si="35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2">
        <f>'Расчет субсидий'!P252-1</f>
        <v>0.19285714285714284</v>
      </c>
      <c r="M252" s="52">
        <f>L252*'Расчет субсидий'!Q252</f>
        <v>3.8571428571428568</v>
      </c>
      <c r="N252" s="53">
        <f t="shared" si="36"/>
        <v>34.217510374843108</v>
      </c>
      <c r="O252" s="27" t="s">
        <v>365</v>
      </c>
      <c r="P252" s="27" t="s">
        <v>365</v>
      </c>
      <c r="Q252" s="27" t="s">
        <v>365</v>
      </c>
      <c r="R252" s="58">
        <f>'Расчет субсидий'!X252-1</f>
        <v>-7.8420767982693373E-2</v>
      </c>
      <c r="S252" s="58">
        <f>R252*'Расчет субсидий'!Y252</f>
        <v>-0.39210383991346687</v>
      </c>
      <c r="T252" s="53">
        <f t="shared" si="37"/>
        <v>-3.4784340915475607</v>
      </c>
      <c r="U252" s="52">
        <f>'Расчет субсидий'!AB252-1</f>
        <v>2.4169184290030232E-2</v>
      </c>
      <c r="V252" s="52">
        <f>U252*'Расчет субсидий'!AC252</f>
        <v>0.48338368580060465</v>
      </c>
      <c r="W252" s="53">
        <f t="shared" si="38"/>
        <v>4.2881964439772098</v>
      </c>
      <c r="X252" s="27" t="s">
        <v>365</v>
      </c>
      <c r="Y252" s="27" t="s">
        <v>365</v>
      </c>
      <c r="Z252" s="27" t="s">
        <v>365</v>
      </c>
      <c r="AA252" s="27" t="s">
        <v>365</v>
      </c>
      <c r="AB252" s="27" t="s">
        <v>365</v>
      </c>
      <c r="AC252" s="27" t="s">
        <v>365</v>
      </c>
      <c r="AD252" s="27" t="s">
        <v>365</v>
      </c>
      <c r="AE252" s="27" t="s">
        <v>365</v>
      </c>
      <c r="AF252" s="27" t="s">
        <v>365</v>
      </c>
      <c r="AG252" s="52">
        <f t="shared" si="39"/>
        <v>3.9484227030299945</v>
      </c>
      <c r="AH252" s="80"/>
    </row>
    <row r="253" spans="1:34" ht="15" customHeight="1">
      <c r="A253" s="33" t="s">
        <v>237</v>
      </c>
      <c r="B253" s="50">
        <f>'Расчет субсидий'!AT253</f>
        <v>13.28181818181821</v>
      </c>
      <c r="C253" s="52">
        <f>'Расчет субсидий'!D253-1</f>
        <v>-1</v>
      </c>
      <c r="D253" s="52">
        <f>C253*'Расчет субсидий'!E253</f>
        <v>0</v>
      </c>
      <c r="E253" s="53">
        <f t="shared" si="35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2">
        <f>'Расчет субсидий'!P253-1</f>
        <v>0.12509803921568619</v>
      </c>
      <c r="M253" s="52">
        <f>L253*'Расчет субсидий'!Q253</f>
        <v>2.5019607843137237</v>
      </c>
      <c r="N253" s="53">
        <f t="shared" si="36"/>
        <v>19.929823622507499</v>
      </c>
      <c r="O253" s="27" t="s">
        <v>365</v>
      </c>
      <c r="P253" s="27" t="s">
        <v>365</v>
      </c>
      <c r="Q253" s="27" t="s">
        <v>365</v>
      </c>
      <c r="R253" s="58">
        <f>'Расчет субсидий'!X253-1</f>
        <v>-0.16691616766467066</v>
      </c>
      <c r="S253" s="58">
        <f>R253*'Расчет субсидий'!Y253</f>
        <v>-0.83458083832335328</v>
      </c>
      <c r="T253" s="53">
        <f t="shared" si="37"/>
        <v>-6.6480054406892899</v>
      </c>
      <c r="U253" s="52">
        <f>'Расчет субсидий'!AB253-1</f>
        <v>0</v>
      </c>
      <c r="V253" s="52">
        <f>U253*'Расчет субсидий'!AC253</f>
        <v>0</v>
      </c>
      <c r="W253" s="53">
        <f t="shared" si="38"/>
        <v>0</v>
      </c>
      <c r="X253" s="27" t="s">
        <v>365</v>
      </c>
      <c r="Y253" s="27" t="s">
        <v>365</v>
      </c>
      <c r="Z253" s="27" t="s">
        <v>365</v>
      </c>
      <c r="AA253" s="27" t="s">
        <v>365</v>
      </c>
      <c r="AB253" s="27" t="s">
        <v>365</v>
      </c>
      <c r="AC253" s="27" t="s">
        <v>365</v>
      </c>
      <c r="AD253" s="27" t="s">
        <v>365</v>
      </c>
      <c r="AE253" s="27" t="s">
        <v>365</v>
      </c>
      <c r="AF253" s="27" t="s">
        <v>365</v>
      </c>
      <c r="AG253" s="52">
        <f t="shared" si="39"/>
        <v>1.6673799459903704</v>
      </c>
      <c r="AH253" s="80"/>
    </row>
    <row r="254" spans="1:34" ht="15" customHeight="1">
      <c r="A254" s="33" t="s">
        <v>238</v>
      </c>
      <c r="B254" s="50">
        <f>'Расчет субсидий'!AT254</f>
        <v>-34.463636363636397</v>
      </c>
      <c r="C254" s="52">
        <f>'Расчет субсидий'!D254-1</f>
        <v>-1</v>
      </c>
      <c r="D254" s="52">
        <f>C254*'Расчет субсидий'!E254</f>
        <v>0</v>
      </c>
      <c r="E254" s="53">
        <f t="shared" si="35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2">
        <f>'Расчет субсидий'!P254-1</f>
        <v>-0.13022323983972528</v>
      </c>
      <c r="M254" s="52">
        <f>L254*'Расчет субсидий'!Q254</f>
        <v>-2.6044647967945056</v>
      </c>
      <c r="N254" s="53">
        <f t="shared" si="36"/>
        <v>-19.000557059219297</v>
      </c>
      <c r="O254" s="27" t="s">
        <v>365</v>
      </c>
      <c r="P254" s="27" t="s">
        <v>365</v>
      </c>
      <c r="Q254" s="27" t="s">
        <v>365</v>
      </c>
      <c r="R254" s="58">
        <f>'Расчет субсидий'!X254-1</f>
        <v>-3.556485355648531E-2</v>
      </c>
      <c r="S254" s="58">
        <f>R254*'Расчет субсидий'!Y254</f>
        <v>-0.17782426778242655</v>
      </c>
      <c r="T254" s="53">
        <f t="shared" si="37"/>
        <v>-1.2972953793318152</v>
      </c>
      <c r="U254" s="52">
        <f>'Расчет субсидий'!AB254-1</f>
        <v>-9.7087378640776656E-2</v>
      </c>
      <c r="V254" s="52">
        <f>U254*'Расчет субсидий'!AC254</f>
        <v>-1.9417475728155331</v>
      </c>
      <c r="W254" s="53">
        <f t="shared" si="38"/>
        <v>-14.165783925085281</v>
      </c>
      <c r="X254" s="27" t="s">
        <v>365</v>
      </c>
      <c r="Y254" s="27" t="s">
        <v>365</v>
      </c>
      <c r="Z254" s="27" t="s">
        <v>365</v>
      </c>
      <c r="AA254" s="27" t="s">
        <v>365</v>
      </c>
      <c r="AB254" s="27" t="s">
        <v>365</v>
      </c>
      <c r="AC254" s="27" t="s">
        <v>365</v>
      </c>
      <c r="AD254" s="27" t="s">
        <v>365</v>
      </c>
      <c r="AE254" s="27" t="s">
        <v>365</v>
      </c>
      <c r="AF254" s="27" t="s">
        <v>365</v>
      </c>
      <c r="AG254" s="52">
        <f t="shared" si="39"/>
        <v>-4.7240366373924658</v>
      </c>
      <c r="AH254" s="80"/>
    </row>
    <row r="255" spans="1:34" ht="15" customHeight="1">
      <c r="A255" s="33" t="s">
        <v>239</v>
      </c>
      <c r="B255" s="50">
        <f>'Расчет субсидий'!AT255</f>
        <v>70.172727272727229</v>
      </c>
      <c r="C255" s="52">
        <f>'Расчет субсидий'!D255-1</f>
        <v>-1</v>
      </c>
      <c r="D255" s="52">
        <f>C255*'Расчет субсидий'!E255</f>
        <v>0</v>
      </c>
      <c r="E255" s="53">
        <f t="shared" si="35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2">
        <f>'Расчет субсидий'!P255-1</f>
        <v>0.21263246425567695</v>
      </c>
      <c r="M255" s="52">
        <f>L255*'Расчет субсидий'!Q255</f>
        <v>4.2526492851135389</v>
      </c>
      <c r="N255" s="53">
        <f t="shared" si="36"/>
        <v>36.271770030455357</v>
      </c>
      <c r="O255" s="27" t="s">
        <v>365</v>
      </c>
      <c r="P255" s="27" t="s">
        <v>365</v>
      </c>
      <c r="Q255" s="27" t="s">
        <v>365</v>
      </c>
      <c r="R255" s="58">
        <f>'Расчет субсидий'!X255-1</f>
        <v>0.23083455344070281</v>
      </c>
      <c r="S255" s="58">
        <f>R255*'Расчет субсидий'!Y255</f>
        <v>1.154172767203514</v>
      </c>
      <c r="T255" s="53">
        <f t="shared" si="37"/>
        <v>9.8441903812678149</v>
      </c>
      <c r="U255" s="52">
        <f>'Расчет субсидий'!AB255-1</f>
        <v>0.14102564102564097</v>
      </c>
      <c r="V255" s="52">
        <f>U255*'Расчет субсидий'!AC255</f>
        <v>2.8205128205128194</v>
      </c>
      <c r="W255" s="53">
        <f t="shared" si="38"/>
        <v>24.056766861004061</v>
      </c>
      <c r="X255" s="27" t="s">
        <v>365</v>
      </c>
      <c r="Y255" s="27" t="s">
        <v>365</v>
      </c>
      <c r="Z255" s="27" t="s">
        <v>365</v>
      </c>
      <c r="AA255" s="27" t="s">
        <v>365</v>
      </c>
      <c r="AB255" s="27" t="s">
        <v>365</v>
      </c>
      <c r="AC255" s="27" t="s">
        <v>365</v>
      </c>
      <c r="AD255" s="27" t="s">
        <v>365</v>
      </c>
      <c r="AE255" s="27" t="s">
        <v>365</v>
      </c>
      <c r="AF255" s="27" t="s">
        <v>365</v>
      </c>
      <c r="AG255" s="52">
        <f t="shared" si="39"/>
        <v>8.2273348728298714</v>
      </c>
      <c r="AH255" s="80"/>
    </row>
    <row r="256" spans="1:34" ht="15" customHeight="1">
      <c r="A256" s="33" t="s">
        <v>240</v>
      </c>
      <c r="B256" s="50">
        <f>'Расчет субсидий'!AT256</f>
        <v>-2.0909090909090651</v>
      </c>
      <c r="C256" s="52">
        <f>'Расчет субсидий'!D256-1</f>
        <v>-1</v>
      </c>
      <c r="D256" s="52">
        <f>C256*'Расчет субсидий'!E256</f>
        <v>0</v>
      </c>
      <c r="E256" s="53">
        <f t="shared" si="35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2">
        <f>'Расчет субсидий'!P256-1</f>
        <v>-5.7195233730522488E-2</v>
      </c>
      <c r="M256" s="52">
        <f>L256*'Расчет субсидий'!Q256</f>
        <v>-1.1439046746104498</v>
      </c>
      <c r="N256" s="53">
        <f t="shared" si="36"/>
        <v>-8.6555855929959886</v>
      </c>
      <c r="O256" s="27" t="s">
        <v>365</v>
      </c>
      <c r="P256" s="27" t="s">
        <v>365</v>
      </c>
      <c r="Q256" s="27" t="s">
        <v>365</v>
      </c>
      <c r="R256" s="58">
        <f>'Расчет субсидий'!X256-1</f>
        <v>-4.4860627177700341E-2</v>
      </c>
      <c r="S256" s="58">
        <f>R256*'Расчет субсидий'!Y256</f>
        <v>-0.2243031358885017</v>
      </c>
      <c r="T256" s="53">
        <f t="shared" si="37"/>
        <v>-1.6972349484641238</v>
      </c>
      <c r="U256" s="52">
        <f>'Расчет субсидий'!AB256-1</f>
        <v>5.4593874833555267E-2</v>
      </c>
      <c r="V256" s="52">
        <f>U256*'Расчет субсидий'!AC256</f>
        <v>1.0918774966711053</v>
      </c>
      <c r="W256" s="53">
        <f t="shared" si="38"/>
        <v>8.2619114505510485</v>
      </c>
      <c r="X256" s="27" t="s">
        <v>365</v>
      </c>
      <c r="Y256" s="27" t="s">
        <v>365</v>
      </c>
      <c r="Z256" s="27" t="s">
        <v>365</v>
      </c>
      <c r="AA256" s="27" t="s">
        <v>365</v>
      </c>
      <c r="AB256" s="27" t="s">
        <v>365</v>
      </c>
      <c r="AC256" s="27" t="s">
        <v>365</v>
      </c>
      <c r="AD256" s="27" t="s">
        <v>365</v>
      </c>
      <c r="AE256" s="27" t="s">
        <v>365</v>
      </c>
      <c r="AF256" s="27" t="s">
        <v>365</v>
      </c>
      <c r="AG256" s="52">
        <f t="shared" si="39"/>
        <v>-0.27633031382784612</v>
      </c>
      <c r="AH256" s="80"/>
    </row>
    <row r="257" spans="1:34" ht="15" customHeight="1">
      <c r="A257" s="33" t="s">
        <v>241</v>
      </c>
      <c r="B257" s="50">
        <f>'Расчет субсидий'!AT257</f>
        <v>39.100000000000023</v>
      </c>
      <c r="C257" s="52">
        <f>'Расчет субсидий'!D257-1</f>
        <v>0.13401555911007712</v>
      </c>
      <c r="D257" s="52">
        <f>C257*'Расчет субсидий'!E257</f>
        <v>0.6700777955503856</v>
      </c>
      <c r="E257" s="53">
        <f t="shared" si="35"/>
        <v>5.2678114065262465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2">
        <f>'Расчет субсидий'!P257-1</f>
        <v>0.12150632538982054</v>
      </c>
      <c r="M257" s="52">
        <f>L257*'Расчет субсидий'!Q257</f>
        <v>2.4301265077964107</v>
      </c>
      <c r="N257" s="53">
        <f t="shared" si="36"/>
        <v>19.104420743500281</v>
      </c>
      <c r="O257" s="27" t="s">
        <v>365</v>
      </c>
      <c r="P257" s="27" t="s">
        <v>365</v>
      </c>
      <c r="Q257" s="27" t="s">
        <v>365</v>
      </c>
      <c r="R257" s="58">
        <f>'Расчет субсидий'!X257-1</f>
        <v>3.5698176428893724E-2</v>
      </c>
      <c r="S257" s="58">
        <f>R257*'Расчет субсидий'!Y257</f>
        <v>0.17849088214446862</v>
      </c>
      <c r="T257" s="53">
        <f t="shared" si="37"/>
        <v>1.4032046893141117</v>
      </c>
      <c r="U257" s="52">
        <f>'Расчет субсидий'!AB257-1</f>
        <v>8.4745762711864403E-2</v>
      </c>
      <c r="V257" s="52">
        <f>U257*'Расчет субсидий'!AC257</f>
        <v>1.6949152542372881</v>
      </c>
      <c r="W257" s="53">
        <f t="shared" si="38"/>
        <v>13.324563160659386</v>
      </c>
      <c r="X257" s="27" t="s">
        <v>365</v>
      </c>
      <c r="Y257" s="27" t="s">
        <v>365</v>
      </c>
      <c r="Z257" s="27" t="s">
        <v>365</v>
      </c>
      <c r="AA257" s="27" t="s">
        <v>365</v>
      </c>
      <c r="AB257" s="27" t="s">
        <v>365</v>
      </c>
      <c r="AC257" s="27" t="s">
        <v>365</v>
      </c>
      <c r="AD257" s="27" t="s">
        <v>365</v>
      </c>
      <c r="AE257" s="27" t="s">
        <v>365</v>
      </c>
      <c r="AF257" s="27" t="s">
        <v>365</v>
      </c>
      <c r="AG257" s="52">
        <f t="shared" si="39"/>
        <v>4.973610439728553</v>
      </c>
      <c r="AH257" s="80"/>
    </row>
    <row r="258" spans="1:34" ht="15" customHeight="1">
      <c r="A258" s="33" t="s">
        <v>242</v>
      </c>
      <c r="B258" s="50">
        <f>'Расчет субсидий'!AT258</f>
        <v>-9.681818181818187</v>
      </c>
      <c r="C258" s="52">
        <f>'Расчет субсидий'!D258-1</f>
        <v>-1</v>
      </c>
      <c r="D258" s="52">
        <f>C258*'Расчет субсидий'!E258</f>
        <v>0</v>
      </c>
      <c r="E258" s="53">
        <f t="shared" si="35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2">
        <f>'Расчет субсидий'!P258-1</f>
        <v>0.21300733496332525</v>
      </c>
      <c r="M258" s="52">
        <f>L258*'Расчет субсидий'!Q258</f>
        <v>4.2601466992665049</v>
      </c>
      <c r="N258" s="53">
        <f t="shared" si="36"/>
        <v>29.280324379937721</v>
      </c>
      <c r="O258" s="27" t="s">
        <v>365</v>
      </c>
      <c r="P258" s="27" t="s">
        <v>365</v>
      </c>
      <c r="Q258" s="27" t="s">
        <v>365</v>
      </c>
      <c r="R258" s="58">
        <f>'Расчет субсидий'!X258-1</f>
        <v>-5.1054190625544504E-2</v>
      </c>
      <c r="S258" s="58">
        <f>R258*'Расчет субсидий'!Y258</f>
        <v>-0.25527095312772252</v>
      </c>
      <c r="T258" s="53">
        <f t="shared" si="37"/>
        <v>-1.754497401144075</v>
      </c>
      <c r="U258" s="52">
        <f>'Расчет субсидий'!AB258-1</f>
        <v>-0.27067669172932329</v>
      </c>
      <c r="V258" s="52">
        <f>U258*'Расчет субсидий'!AC258</f>
        <v>-5.4135338345864659</v>
      </c>
      <c r="W258" s="53">
        <f t="shared" si="38"/>
        <v>-37.207645160611833</v>
      </c>
      <c r="X258" s="27" t="s">
        <v>365</v>
      </c>
      <c r="Y258" s="27" t="s">
        <v>365</v>
      </c>
      <c r="Z258" s="27" t="s">
        <v>365</v>
      </c>
      <c r="AA258" s="27" t="s">
        <v>365</v>
      </c>
      <c r="AB258" s="27" t="s">
        <v>365</v>
      </c>
      <c r="AC258" s="27" t="s">
        <v>365</v>
      </c>
      <c r="AD258" s="27" t="s">
        <v>365</v>
      </c>
      <c r="AE258" s="27" t="s">
        <v>365</v>
      </c>
      <c r="AF258" s="27" t="s">
        <v>365</v>
      </c>
      <c r="AG258" s="52">
        <f t="shared" si="39"/>
        <v>-1.4086580884476838</v>
      </c>
      <c r="AH258" s="80"/>
    </row>
    <row r="259" spans="1:34" ht="15" customHeight="1">
      <c r="A259" s="33" t="s">
        <v>243</v>
      </c>
      <c r="B259" s="50">
        <f>'Расчет субсидий'!AT259</f>
        <v>-4.1181818181818812</v>
      </c>
      <c r="C259" s="52">
        <f>'Расчет субсидий'!D259-1</f>
        <v>-0.26271929824561402</v>
      </c>
      <c r="D259" s="52">
        <f>C259*'Расчет субсидий'!E259</f>
        <v>-1.3135964912280702</v>
      </c>
      <c r="E259" s="53">
        <f t="shared" si="35"/>
        <v>-11.502627066067124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2">
        <f>'Расчет субсидий'!P259-1</f>
        <v>-1.358819322540783E-2</v>
      </c>
      <c r="M259" s="52">
        <f>L259*'Расчет субсидий'!Q259</f>
        <v>-0.27176386450815659</v>
      </c>
      <c r="N259" s="53">
        <f t="shared" si="36"/>
        <v>-2.3797249797371576</v>
      </c>
      <c r="O259" s="27" t="s">
        <v>365</v>
      </c>
      <c r="P259" s="27" t="s">
        <v>365</v>
      </c>
      <c r="Q259" s="27" t="s">
        <v>365</v>
      </c>
      <c r="R259" s="58">
        <f>'Расчет субсидий'!X259-1</f>
        <v>0.22301305044646269</v>
      </c>
      <c r="S259" s="58">
        <f>R259*'Расчет субсидий'!Y259</f>
        <v>1.1150652522323135</v>
      </c>
      <c r="T259" s="53">
        <f t="shared" si="37"/>
        <v>9.7641702276224027</v>
      </c>
      <c r="U259" s="52">
        <f>'Расчет субсидий'!AB259-1</f>
        <v>0</v>
      </c>
      <c r="V259" s="52">
        <f>U259*'Расчет субсидий'!AC259</f>
        <v>0</v>
      </c>
      <c r="W259" s="53">
        <f t="shared" si="38"/>
        <v>0</v>
      </c>
      <c r="X259" s="27" t="s">
        <v>365</v>
      </c>
      <c r="Y259" s="27" t="s">
        <v>365</v>
      </c>
      <c r="Z259" s="27" t="s">
        <v>365</v>
      </c>
      <c r="AA259" s="27" t="s">
        <v>365</v>
      </c>
      <c r="AB259" s="27" t="s">
        <v>365</v>
      </c>
      <c r="AC259" s="27" t="s">
        <v>365</v>
      </c>
      <c r="AD259" s="27" t="s">
        <v>365</v>
      </c>
      <c r="AE259" s="27" t="s">
        <v>365</v>
      </c>
      <c r="AF259" s="27" t="s">
        <v>365</v>
      </c>
      <c r="AG259" s="52">
        <f t="shared" si="39"/>
        <v>-0.47029510350391335</v>
      </c>
      <c r="AH259" s="80"/>
    </row>
    <row r="260" spans="1:34" ht="15" customHeight="1">
      <c r="A260" s="33" t="s">
        <v>244</v>
      </c>
      <c r="B260" s="50">
        <f>'Расчет субсидий'!AT260</f>
        <v>9.0909090909091219</v>
      </c>
      <c r="C260" s="52">
        <f>'Расчет субсидий'!D260-1</f>
        <v>-1</v>
      </c>
      <c r="D260" s="52">
        <f>C260*'Расчет субсидий'!E260</f>
        <v>0</v>
      </c>
      <c r="E260" s="53">
        <f t="shared" si="35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2">
        <f>'Расчет субсидий'!P260-1</f>
        <v>0.2265086754126111</v>
      </c>
      <c r="M260" s="52">
        <f>L260*'Расчет субсидий'!Q260</f>
        <v>4.5301735082522221</v>
      </c>
      <c r="N260" s="53">
        <f t="shared" si="36"/>
        <v>49.191471353502536</v>
      </c>
      <c r="O260" s="27" t="s">
        <v>365</v>
      </c>
      <c r="P260" s="27" t="s">
        <v>365</v>
      </c>
      <c r="Q260" s="27" t="s">
        <v>365</v>
      </c>
      <c r="R260" s="58">
        <f>'Расчет субсидий'!X260-1</f>
        <v>-0.12483688560243589</v>
      </c>
      <c r="S260" s="58">
        <f>R260*'Расчет субсидий'!Y260</f>
        <v>-0.62418442801217944</v>
      </c>
      <c r="T260" s="53">
        <f t="shared" si="37"/>
        <v>-6.7777868450141447</v>
      </c>
      <c r="U260" s="52">
        <f>'Расчет субсидий'!AB260-1</f>
        <v>-0.15343915343915349</v>
      </c>
      <c r="V260" s="52">
        <f>U260*'Расчет субсидий'!AC260</f>
        <v>-3.0687830687830697</v>
      </c>
      <c r="W260" s="53">
        <f t="shared" si="38"/>
        <v>-33.322775417579265</v>
      </c>
      <c r="X260" s="27" t="s">
        <v>365</v>
      </c>
      <c r="Y260" s="27" t="s">
        <v>365</v>
      </c>
      <c r="Z260" s="27" t="s">
        <v>365</v>
      </c>
      <c r="AA260" s="27" t="s">
        <v>365</v>
      </c>
      <c r="AB260" s="27" t="s">
        <v>365</v>
      </c>
      <c r="AC260" s="27" t="s">
        <v>365</v>
      </c>
      <c r="AD260" s="27" t="s">
        <v>365</v>
      </c>
      <c r="AE260" s="27" t="s">
        <v>365</v>
      </c>
      <c r="AF260" s="27" t="s">
        <v>365</v>
      </c>
      <c r="AG260" s="52">
        <f t="shared" si="39"/>
        <v>0.83720601145697282</v>
      </c>
      <c r="AH260" s="80"/>
    </row>
    <row r="261" spans="1:34" ht="15" customHeight="1">
      <c r="A261" s="33" t="s">
        <v>245</v>
      </c>
      <c r="B261" s="50">
        <f>'Расчет субсидий'!AT261</f>
        <v>52.890909090909076</v>
      </c>
      <c r="C261" s="52">
        <f>'Расчет субсидий'!D261-1</f>
        <v>-1</v>
      </c>
      <c r="D261" s="52">
        <f>C261*'Расчет субсидий'!E261</f>
        <v>0</v>
      </c>
      <c r="E261" s="53">
        <f t="shared" si="35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2">
        <f>'Расчет субсидий'!P261-1</f>
        <v>0.20262392843831534</v>
      </c>
      <c r="M261" s="52">
        <f>L261*'Расчет субсидий'!Q261</f>
        <v>4.0524785687663067</v>
      </c>
      <c r="N261" s="53">
        <f t="shared" si="36"/>
        <v>24.777837317583593</v>
      </c>
      <c r="O261" s="27" t="s">
        <v>365</v>
      </c>
      <c r="P261" s="27" t="s">
        <v>365</v>
      </c>
      <c r="Q261" s="27" t="s">
        <v>365</v>
      </c>
      <c r="R261" s="58">
        <f>'Расчет субсидий'!X261-1</f>
        <v>0.10153846153846158</v>
      </c>
      <c r="S261" s="58">
        <f>R261*'Расчет субсидий'!Y261</f>
        <v>0.50769230769230789</v>
      </c>
      <c r="T261" s="53">
        <f t="shared" si="37"/>
        <v>3.1041539625509169</v>
      </c>
      <c r="U261" s="52">
        <f>'Расчет субсидий'!AB261-1</f>
        <v>0.20451361867704287</v>
      </c>
      <c r="V261" s="52">
        <f>U261*'Расчет субсидий'!AC261</f>
        <v>4.0902723735408575</v>
      </c>
      <c r="W261" s="53">
        <f t="shared" si="38"/>
        <v>25.008917810774562</v>
      </c>
      <c r="X261" s="27" t="s">
        <v>365</v>
      </c>
      <c r="Y261" s="27" t="s">
        <v>365</v>
      </c>
      <c r="Z261" s="27" t="s">
        <v>365</v>
      </c>
      <c r="AA261" s="27" t="s">
        <v>365</v>
      </c>
      <c r="AB261" s="27" t="s">
        <v>365</v>
      </c>
      <c r="AC261" s="27" t="s">
        <v>365</v>
      </c>
      <c r="AD261" s="27" t="s">
        <v>365</v>
      </c>
      <c r="AE261" s="27" t="s">
        <v>365</v>
      </c>
      <c r="AF261" s="27" t="s">
        <v>365</v>
      </c>
      <c r="AG261" s="52">
        <f t="shared" si="39"/>
        <v>8.6504432499994728</v>
      </c>
      <c r="AH261" s="80"/>
    </row>
    <row r="262" spans="1:34" ht="15" customHeight="1">
      <c r="A262" s="33" t="s">
        <v>246</v>
      </c>
      <c r="B262" s="50">
        <f>'Расчет субсидий'!AT262</f>
        <v>-26.26363636363638</v>
      </c>
      <c r="C262" s="52">
        <f>'Расчет субсидий'!D262-1</f>
        <v>-1</v>
      </c>
      <c r="D262" s="52">
        <f>C262*'Расчет субсидий'!E262</f>
        <v>0</v>
      </c>
      <c r="E262" s="53">
        <f t="shared" si="35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2">
        <f>'Расчет субсидий'!P262-1</f>
        <v>-0.17043879907621251</v>
      </c>
      <c r="M262" s="52">
        <f>L262*'Расчет субсидий'!Q262</f>
        <v>-3.4087759815242502</v>
      </c>
      <c r="N262" s="53">
        <f t="shared" si="36"/>
        <v>-18.741118553556252</v>
      </c>
      <c r="O262" s="27" t="s">
        <v>365</v>
      </c>
      <c r="P262" s="27" t="s">
        <v>365</v>
      </c>
      <c r="Q262" s="27" t="s">
        <v>365</v>
      </c>
      <c r="R262" s="58">
        <f>'Расчет субсидий'!X262-1</f>
        <v>-0.273650454302512</v>
      </c>
      <c r="S262" s="58">
        <f>R262*'Расчет субсидий'!Y262</f>
        <v>-1.36825227151256</v>
      </c>
      <c r="T262" s="53">
        <f t="shared" si="37"/>
        <v>-7.5225178100801244</v>
      </c>
      <c r="U262" s="52">
        <f>'Расчет субсидий'!AB262-1</f>
        <v>0</v>
      </c>
      <c r="V262" s="52">
        <f>U262*'Расчет субсидий'!AC262</f>
        <v>0</v>
      </c>
      <c r="W262" s="53">
        <f t="shared" si="38"/>
        <v>0</v>
      </c>
      <c r="X262" s="27" t="s">
        <v>365</v>
      </c>
      <c r="Y262" s="27" t="s">
        <v>365</v>
      </c>
      <c r="Z262" s="27" t="s">
        <v>365</v>
      </c>
      <c r="AA262" s="27" t="s">
        <v>365</v>
      </c>
      <c r="AB262" s="27" t="s">
        <v>365</v>
      </c>
      <c r="AC262" s="27" t="s">
        <v>365</v>
      </c>
      <c r="AD262" s="27" t="s">
        <v>365</v>
      </c>
      <c r="AE262" s="27" t="s">
        <v>365</v>
      </c>
      <c r="AF262" s="27" t="s">
        <v>365</v>
      </c>
      <c r="AG262" s="52">
        <f t="shared" si="39"/>
        <v>-4.7770282530368107</v>
      </c>
      <c r="AH262" s="80"/>
    </row>
    <row r="263" spans="1:34" ht="15" customHeight="1">
      <c r="A263" s="33" t="s">
        <v>247</v>
      </c>
      <c r="B263" s="50">
        <f>'Расчет субсидий'!AT263</f>
        <v>5.1272727272727252</v>
      </c>
      <c r="C263" s="52">
        <f>'Расчет субсидий'!D263-1</f>
        <v>4.5542102366538328E-2</v>
      </c>
      <c r="D263" s="52">
        <f>C263*'Расчет субсидий'!E263</f>
        <v>0.22771051183269164</v>
      </c>
      <c r="E263" s="53">
        <f t="shared" si="35"/>
        <v>1.4848301913816979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2">
        <f>'Расчет субсидий'!P263-1</f>
        <v>-5.0518895633444361E-2</v>
      </c>
      <c r="M263" s="52">
        <f>L263*'Расчет субсидий'!Q263</f>
        <v>-1.0103779126688872</v>
      </c>
      <c r="N263" s="53">
        <f t="shared" si="36"/>
        <v>-6.5883635206892537</v>
      </c>
      <c r="O263" s="27" t="s">
        <v>365</v>
      </c>
      <c r="P263" s="27" t="s">
        <v>365</v>
      </c>
      <c r="Q263" s="27" t="s">
        <v>365</v>
      </c>
      <c r="R263" s="58">
        <f>'Расчет субсидий'!X263-1</f>
        <v>0.20568697729988039</v>
      </c>
      <c r="S263" s="58">
        <f>R263*'Расчет субсидий'!Y263</f>
        <v>1.028434886499402</v>
      </c>
      <c r="T263" s="53">
        <f t="shared" si="37"/>
        <v>6.7061074917196164</v>
      </c>
      <c r="U263" s="52">
        <f>'Расчет субсидий'!AB263-1</f>
        <v>2.7027027027026973E-2</v>
      </c>
      <c r="V263" s="52">
        <f>U263*'Расчет субсидий'!AC263</f>
        <v>0.54054054054053946</v>
      </c>
      <c r="W263" s="53">
        <f t="shared" si="38"/>
        <v>3.5246985648606644</v>
      </c>
      <c r="X263" s="27" t="s">
        <v>365</v>
      </c>
      <c r="Y263" s="27" t="s">
        <v>365</v>
      </c>
      <c r="Z263" s="27" t="s">
        <v>365</v>
      </c>
      <c r="AA263" s="27" t="s">
        <v>365</v>
      </c>
      <c r="AB263" s="27" t="s">
        <v>365</v>
      </c>
      <c r="AC263" s="27" t="s">
        <v>365</v>
      </c>
      <c r="AD263" s="27" t="s">
        <v>365</v>
      </c>
      <c r="AE263" s="27" t="s">
        <v>365</v>
      </c>
      <c r="AF263" s="27" t="s">
        <v>365</v>
      </c>
      <c r="AG263" s="52">
        <f t="shared" si="39"/>
        <v>0.78630802620374585</v>
      </c>
      <c r="AH263" s="80"/>
    </row>
    <row r="264" spans="1:34" ht="15" customHeight="1">
      <c r="A264" s="32" t="s">
        <v>248</v>
      </c>
      <c r="B264" s="54"/>
      <c r="C264" s="55"/>
      <c r="D264" s="55"/>
      <c r="E264" s="56"/>
      <c r="F264" s="55"/>
      <c r="G264" s="55"/>
      <c r="H264" s="56"/>
      <c r="I264" s="56"/>
      <c r="J264" s="56"/>
      <c r="K264" s="56"/>
      <c r="L264" s="55"/>
      <c r="M264" s="55"/>
      <c r="N264" s="56"/>
      <c r="O264" s="55"/>
      <c r="P264" s="55"/>
      <c r="Q264" s="56"/>
      <c r="R264" s="56"/>
      <c r="S264" s="56"/>
      <c r="T264" s="56"/>
      <c r="U264" s="56"/>
      <c r="V264" s="56"/>
      <c r="W264" s="56"/>
      <c r="X264" s="27"/>
      <c r="Y264" s="27"/>
      <c r="Z264" s="27"/>
      <c r="AA264" s="27"/>
      <c r="AB264" s="27"/>
      <c r="AC264" s="27"/>
      <c r="AD264" s="27"/>
      <c r="AE264" s="27"/>
      <c r="AF264" s="27"/>
      <c r="AG264" s="56"/>
      <c r="AH264" s="80"/>
    </row>
    <row r="265" spans="1:34" ht="15" customHeight="1">
      <c r="A265" s="33" t="s">
        <v>249</v>
      </c>
      <c r="B265" s="50">
        <f>'Расчет субсидий'!AT265</f>
        <v>16.690909090909145</v>
      </c>
      <c r="C265" s="52">
        <f>'Расчет субсидий'!D265-1</f>
        <v>-1</v>
      </c>
      <c r="D265" s="52">
        <f>C265*'Расчет субсидий'!E265</f>
        <v>0</v>
      </c>
      <c r="E265" s="53">
        <f t="shared" si="35"/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2">
        <f>'Расчет субсидий'!P265-1</f>
        <v>6.9772434521253812E-2</v>
      </c>
      <c r="M265" s="52">
        <f>L265*'Расчет субсидий'!Q265</f>
        <v>1.3954486904250762</v>
      </c>
      <c r="N265" s="53">
        <f t="shared" si="36"/>
        <v>12.790662696777424</v>
      </c>
      <c r="O265" s="27" t="s">
        <v>365</v>
      </c>
      <c r="P265" s="27" t="s">
        <v>365</v>
      </c>
      <c r="Q265" s="27" t="s">
        <v>365</v>
      </c>
      <c r="R265" s="58">
        <f>'Расчет субсидий'!X265-1</f>
        <v>3.8843331894691246E-3</v>
      </c>
      <c r="S265" s="58">
        <f>R265*'Расчет субсидий'!Y265</f>
        <v>1.9421665947345623E-2</v>
      </c>
      <c r="T265" s="53">
        <f t="shared" si="37"/>
        <v>0.17801871172082617</v>
      </c>
      <c r="U265" s="52">
        <f>'Расчет субсидий'!AB265-1</f>
        <v>2.0304568527918843E-2</v>
      </c>
      <c r="V265" s="52">
        <f>U265*'Расчет субсидий'!AC265</f>
        <v>0.40609137055837685</v>
      </c>
      <c r="W265" s="53">
        <f t="shared" si="38"/>
        <v>3.7222276824108942</v>
      </c>
      <c r="X265" s="27" t="s">
        <v>365</v>
      </c>
      <c r="Y265" s="27" t="s">
        <v>365</v>
      </c>
      <c r="Z265" s="27" t="s">
        <v>365</v>
      </c>
      <c r="AA265" s="27" t="s">
        <v>365</v>
      </c>
      <c r="AB265" s="27" t="s">
        <v>365</v>
      </c>
      <c r="AC265" s="27" t="s">
        <v>365</v>
      </c>
      <c r="AD265" s="27" t="s">
        <v>365</v>
      </c>
      <c r="AE265" s="27" t="s">
        <v>365</v>
      </c>
      <c r="AF265" s="27" t="s">
        <v>365</v>
      </c>
      <c r="AG265" s="52">
        <f t="shared" si="39"/>
        <v>1.8209617269307987</v>
      </c>
      <c r="AH265" s="80"/>
    </row>
    <row r="266" spans="1:34" ht="15" customHeight="1">
      <c r="A266" s="33" t="s">
        <v>250</v>
      </c>
      <c r="B266" s="50">
        <f>'Расчет субсидий'!AT266</f>
        <v>21.509090909090929</v>
      </c>
      <c r="C266" s="52">
        <f>'Расчет субсидий'!D266-1</f>
        <v>-1</v>
      </c>
      <c r="D266" s="52">
        <f>C266*'Расчет субсидий'!E266</f>
        <v>0</v>
      </c>
      <c r="E266" s="53">
        <f t="shared" si="35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2">
        <f>'Расчет субсидий'!P266-1</f>
        <v>0.22201030927835053</v>
      </c>
      <c r="M266" s="52">
        <f>L266*'Расчет субсидий'!Q266</f>
        <v>4.4402061855670105</v>
      </c>
      <c r="N266" s="53">
        <f t="shared" si="36"/>
        <v>20.201996534978719</v>
      </c>
      <c r="O266" s="27" t="s">
        <v>365</v>
      </c>
      <c r="P266" s="27" t="s">
        <v>365</v>
      </c>
      <c r="Q266" s="27" t="s">
        <v>365</v>
      </c>
      <c r="R266" s="58">
        <f>'Расчет субсидий'!X266-1</f>
        <v>-8.0473658772353795E-2</v>
      </c>
      <c r="S266" s="58">
        <f>R266*'Расчет субсидий'!Y266</f>
        <v>-0.40236829386176898</v>
      </c>
      <c r="T266" s="53">
        <f t="shared" si="37"/>
        <v>-1.8306904091082734</v>
      </c>
      <c r="U266" s="52">
        <f>'Расчет субсидий'!AB266-1</f>
        <v>3.4482758620689724E-2</v>
      </c>
      <c r="V266" s="52">
        <f>U266*'Расчет субсидий'!AC266</f>
        <v>0.68965517241379448</v>
      </c>
      <c r="W266" s="53">
        <f t="shared" si="38"/>
        <v>3.1377847832204826</v>
      </c>
      <c r="X266" s="27" t="s">
        <v>365</v>
      </c>
      <c r="Y266" s="27" t="s">
        <v>365</v>
      </c>
      <c r="Z266" s="27" t="s">
        <v>365</v>
      </c>
      <c r="AA266" s="27" t="s">
        <v>365</v>
      </c>
      <c r="AB266" s="27" t="s">
        <v>365</v>
      </c>
      <c r="AC266" s="27" t="s">
        <v>365</v>
      </c>
      <c r="AD266" s="27" t="s">
        <v>365</v>
      </c>
      <c r="AE266" s="27" t="s">
        <v>365</v>
      </c>
      <c r="AF266" s="27" t="s">
        <v>365</v>
      </c>
      <c r="AG266" s="52">
        <f t="shared" si="39"/>
        <v>4.7274930641190362</v>
      </c>
      <c r="AH266" s="80"/>
    </row>
    <row r="267" spans="1:34" ht="15" customHeight="1">
      <c r="A267" s="33" t="s">
        <v>251</v>
      </c>
      <c r="B267" s="50">
        <f>'Расчет субсидий'!AT267</f>
        <v>32.354545454545416</v>
      </c>
      <c r="C267" s="52">
        <f>'Расчет субсидий'!D267-1</f>
        <v>-1</v>
      </c>
      <c r="D267" s="52">
        <f>C267*'Расчет субсидий'!E267</f>
        <v>0</v>
      </c>
      <c r="E267" s="53">
        <f t="shared" si="35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2">
        <f>'Расчет субсидий'!P267-1</f>
        <v>0.20337311736288721</v>
      </c>
      <c r="M267" s="52">
        <f>L267*'Расчет субсидий'!Q267</f>
        <v>4.0674623472577442</v>
      </c>
      <c r="N267" s="53">
        <f t="shared" si="36"/>
        <v>33.996136458182605</v>
      </c>
      <c r="O267" s="27" t="s">
        <v>365</v>
      </c>
      <c r="P267" s="27" t="s">
        <v>365</v>
      </c>
      <c r="Q267" s="27" t="s">
        <v>365</v>
      </c>
      <c r="R267" s="58">
        <f>'Расчет субсидий'!X267-1</f>
        <v>-9.2145015105740136E-2</v>
      </c>
      <c r="S267" s="58">
        <f>R267*'Расчет субсидий'!Y267</f>
        <v>-0.46072507552870068</v>
      </c>
      <c r="T267" s="53">
        <f t="shared" si="37"/>
        <v>-3.8507725948440554</v>
      </c>
      <c r="U267" s="52">
        <f>'Расчет субсидий'!AB267-1</f>
        <v>1.3215859030837107E-2</v>
      </c>
      <c r="V267" s="52">
        <f>U267*'Расчет субсидий'!AC267</f>
        <v>0.26431718061674214</v>
      </c>
      <c r="W267" s="53">
        <f t="shared" si="38"/>
        <v>2.2091815912068631</v>
      </c>
      <c r="X267" s="27" t="s">
        <v>365</v>
      </c>
      <c r="Y267" s="27" t="s">
        <v>365</v>
      </c>
      <c r="Z267" s="27" t="s">
        <v>365</v>
      </c>
      <c r="AA267" s="27" t="s">
        <v>365</v>
      </c>
      <c r="AB267" s="27" t="s">
        <v>365</v>
      </c>
      <c r="AC267" s="27" t="s">
        <v>365</v>
      </c>
      <c r="AD267" s="27" t="s">
        <v>365</v>
      </c>
      <c r="AE267" s="27" t="s">
        <v>365</v>
      </c>
      <c r="AF267" s="27" t="s">
        <v>365</v>
      </c>
      <c r="AG267" s="52">
        <f t="shared" si="39"/>
        <v>3.8710544523457857</v>
      </c>
      <c r="AH267" s="80"/>
    </row>
    <row r="268" spans="1:34" ht="15" customHeight="1">
      <c r="A268" s="33" t="s">
        <v>252</v>
      </c>
      <c r="B268" s="50">
        <f>'Расчет субсидий'!AT268</f>
        <v>51.863636363636374</v>
      </c>
      <c r="C268" s="52">
        <f>'Расчет субсидий'!D268-1</f>
        <v>0</v>
      </c>
      <c r="D268" s="52">
        <f>C268*'Расчет субсидий'!E268</f>
        <v>0</v>
      </c>
      <c r="E268" s="53">
        <f t="shared" si="35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2">
        <f>'Расчет субсидий'!P268-1</f>
        <v>0.30000000000000004</v>
      </c>
      <c r="M268" s="52">
        <f>L268*'Расчет субсидий'!Q268</f>
        <v>6.0000000000000009</v>
      </c>
      <c r="N268" s="53">
        <f t="shared" si="36"/>
        <v>32.212339637343469</v>
      </c>
      <c r="O268" s="27" t="s">
        <v>365</v>
      </c>
      <c r="P268" s="27" t="s">
        <v>365</v>
      </c>
      <c r="Q268" s="27" t="s">
        <v>365</v>
      </c>
      <c r="R268" s="58">
        <f>'Расчет субсидий'!X268-1</f>
        <v>-9.5594534878477688E-2</v>
      </c>
      <c r="S268" s="58">
        <f>R268*'Расчет субсидий'!Y268</f>
        <v>-0.47797267439238844</v>
      </c>
      <c r="T268" s="53">
        <f t="shared" si="37"/>
        <v>-2.5661030208161657</v>
      </c>
      <c r="U268" s="52">
        <f>'Расчет субсидий'!AB268-1</f>
        <v>0.20691511387163564</v>
      </c>
      <c r="V268" s="52">
        <f>U268*'Расчет субсидий'!AC268</f>
        <v>4.1383022774327127</v>
      </c>
      <c r="W268" s="53">
        <f t="shared" si="38"/>
        <v>22.217399747109081</v>
      </c>
      <c r="X268" s="27" t="s">
        <v>365</v>
      </c>
      <c r="Y268" s="27" t="s">
        <v>365</v>
      </c>
      <c r="Z268" s="27" t="s">
        <v>365</v>
      </c>
      <c r="AA268" s="27" t="s">
        <v>365</v>
      </c>
      <c r="AB268" s="27" t="s">
        <v>365</v>
      </c>
      <c r="AC268" s="27" t="s">
        <v>365</v>
      </c>
      <c r="AD268" s="27" t="s">
        <v>365</v>
      </c>
      <c r="AE268" s="27" t="s">
        <v>365</v>
      </c>
      <c r="AF268" s="27" t="s">
        <v>365</v>
      </c>
      <c r="AG268" s="52">
        <f t="shared" si="39"/>
        <v>9.6603296030403243</v>
      </c>
      <c r="AH268" s="80"/>
    </row>
    <row r="269" spans="1:34" ht="15" customHeight="1">
      <c r="A269" s="33" t="s">
        <v>253</v>
      </c>
      <c r="B269" s="50">
        <f>'Расчет субсидий'!AT269</f>
        <v>90.636363636363626</v>
      </c>
      <c r="C269" s="52">
        <f>'Расчет субсидий'!D269-1</f>
        <v>0.20047505938242272</v>
      </c>
      <c r="D269" s="52">
        <f>C269*'Расчет субсидий'!E269</f>
        <v>1.0023752969121136</v>
      </c>
      <c r="E269" s="53">
        <f t="shared" si="35"/>
        <v>11.875385875064028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2">
        <f>'Расчет субсидий'!P269-1</f>
        <v>0.22594276094276089</v>
      </c>
      <c r="M269" s="52">
        <f>L269*'Расчет субсидий'!Q269</f>
        <v>4.5188552188552178</v>
      </c>
      <c r="N269" s="53">
        <f t="shared" si="36"/>
        <v>53.535985576226459</v>
      </c>
      <c r="O269" s="27" t="s">
        <v>365</v>
      </c>
      <c r="P269" s="27" t="s">
        <v>365</v>
      </c>
      <c r="Q269" s="27" t="s">
        <v>365</v>
      </c>
      <c r="R269" s="58">
        <f>'Расчет субсидий'!X269-1</f>
        <v>0.13577459413906601</v>
      </c>
      <c r="S269" s="58">
        <f>R269*'Расчет субсидий'!Y269</f>
        <v>0.67887297069533004</v>
      </c>
      <c r="T269" s="53">
        <f t="shared" si="37"/>
        <v>8.0427745097003616</v>
      </c>
      <c r="U269" s="52">
        <f>'Расчет субсидий'!AB269-1</f>
        <v>7.2515666965085046E-2</v>
      </c>
      <c r="V269" s="52">
        <f>U269*'Расчет субсидий'!AC269</f>
        <v>1.4503133393017009</v>
      </c>
      <c r="W269" s="53">
        <f t="shared" si="38"/>
        <v>17.182217675372787</v>
      </c>
      <c r="X269" s="27" t="s">
        <v>365</v>
      </c>
      <c r="Y269" s="27" t="s">
        <v>365</v>
      </c>
      <c r="Z269" s="27" t="s">
        <v>365</v>
      </c>
      <c r="AA269" s="27" t="s">
        <v>365</v>
      </c>
      <c r="AB269" s="27" t="s">
        <v>365</v>
      </c>
      <c r="AC269" s="27" t="s">
        <v>365</v>
      </c>
      <c r="AD269" s="27" t="s">
        <v>365</v>
      </c>
      <c r="AE269" s="27" t="s">
        <v>365</v>
      </c>
      <c r="AF269" s="27" t="s">
        <v>365</v>
      </c>
      <c r="AG269" s="52">
        <f t="shared" si="39"/>
        <v>7.6504168257643617</v>
      </c>
      <c r="AH269" s="80"/>
    </row>
    <row r="270" spans="1:34" ht="15" customHeight="1">
      <c r="A270" s="33" t="s">
        <v>254</v>
      </c>
      <c r="B270" s="50">
        <f>'Расчет субсидий'!AT270</f>
        <v>-84.563636363636419</v>
      </c>
      <c r="C270" s="52">
        <f>'Расчет субсидий'!D270-1</f>
        <v>5.8548337395314398E-4</v>
      </c>
      <c r="D270" s="52">
        <f>C270*'Расчет субсидий'!E270</f>
        <v>2.9274168697657199E-3</v>
      </c>
      <c r="E270" s="53">
        <f t="shared" si="35"/>
        <v>3.5738395432782545E-2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2">
        <f>'Расчет субсидий'!P270-1</f>
        <v>-0.38112592064017936</v>
      </c>
      <c r="M270" s="52">
        <f>L270*'Расчет субсидий'!Q270</f>
        <v>-7.6225184128035872</v>
      </c>
      <c r="N270" s="53">
        <f t="shared" si="36"/>
        <v>-93.056981410454881</v>
      </c>
      <c r="O270" s="27" t="s">
        <v>365</v>
      </c>
      <c r="P270" s="27" t="s">
        <v>365</v>
      </c>
      <c r="Q270" s="27" t="s">
        <v>365</v>
      </c>
      <c r="R270" s="58">
        <f>'Расчет субсидий'!X270-1</f>
        <v>0.11797334013398597</v>
      </c>
      <c r="S270" s="58">
        <f>R270*'Расчет субсидий'!Y270</f>
        <v>0.58986670066992986</v>
      </c>
      <c r="T270" s="53">
        <f t="shared" si="37"/>
        <v>7.2011914732389402</v>
      </c>
      <c r="U270" s="52">
        <f>'Расчет субсидий'!AB270-1</f>
        <v>5.145797598627766E-3</v>
      </c>
      <c r="V270" s="52">
        <f>U270*'Расчет субсидий'!AC270</f>
        <v>0.10291595197255532</v>
      </c>
      <c r="W270" s="53">
        <f t="shared" si="38"/>
        <v>1.2564151781467299</v>
      </c>
      <c r="X270" s="27" t="s">
        <v>365</v>
      </c>
      <c r="Y270" s="27" t="s">
        <v>365</v>
      </c>
      <c r="Z270" s="27" t="s">
        <v>365</v>
      </c>
      <c r="AA270" s="27" t="s">
        <v>365</v>
      </c>
      <c r="AB270" s="27" t="s">
        <v>365</v>
      </c>
      <c r="AC270" s="27" t="s">
        <v>365</v>
      </c>
      <c r="AD270" s="27" t="s">
        <v>365</v>
      </c>
      <c r="AE270" s="27" t="s">
        <v>365</v>
      </c>
      <c r="AF270" s="27" t="s">
        <v>365</v>
      </c>
      <c r="AG270" s="52">
        <f t="shared" si="39"/>
        <v>-6.9268083432913361</v>
      </c>
      <c r="AH270" s="80"/>
    </row>
    <row r="271" spans="1:34" ht="15" customHeight="1">
      <c r="A271" s="33" t="s">
        <v>255</v>
      </c>
      <c r="B271" s="50">
        <f>'Расчет субсидий'!AT271</f>
        <v>3.827272727272728</v>
      </c>
      <c r="C271" s="52">
        <f>'Расчет субсидий'!D271-1</f>
        <v>-0.20761815189278154</v>
      </c>
      <c r="D271" s="52">
        <f>C271*'Расчет субсидий'!E271</f>
        <v>-1.0380907594639077</v>
      </c>
      <c r="E271" s="53">
        <f t="shared" si="35"/>
        <v>-1.5755779433687445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2">
        <f>'Расчет субсидий'!P271-1</f>
        <v>0.1690441616127103</v>
      </c>
      <c r="M271" s="52">
        <f>L271*'Расчет субсидий'!Q271</f>
        <v>3.380883232254206</v>
      </c>
      <c r="N271" s="53">
        <f t="shared" si="36"/>
        <v>5.1313866357849589</v>
      </c>
      <c r="O271" s="27" t="s">
        <v>365</v>
      </c>
      <c r="P271" s="27" t="s">
        <v>365</v>
      </c>
      <c r="Q271" s="27" t="s">
        <v>365</v>
      </c>
      <c r="R271" s="58">
        <f>'Расчет субсидий'!X271-1</f>
        <v>-1.9400866305099518E-2</v>
      </c>
      <c r="S271" s="58">
        <f>R271*'Расчет субсидий'!Y271</f>
        <v>-9.7004331525497589E-2</v>
      </c>
      <c r="T271" s="53">
        <f t="shared" si="37"/>
        <v>-0.14722979062228828</v>
      </c>
      <c r="U271" s="52">
        <f>'Расчет субсидий'!AB271-1</f>
        <v>1.379310344827589E-2</v>
      </c>
      <c r="V271" s="52">
        <f>U271*'Расчет субсидий'!AC271</f>
        <v>0.27586206896551779</v>
      </c>
      <c r="W271" s="53">
        <f t="shared" si="38"/>
        <v>0.41869382547880091</v>
      </c>
      <c r="X271" s="27" t="s">
        <v>365</v>
      </c>
      <c r="Y271" s="27" t="s">
        <v>365</v>
      </c>
      <c r="Z271" s="27" t="s">
        <v>365</v>
      </c>
      <c r="AA271" s="27" t="s">
        <v>365</v>
      </c>
      <c r="AB271" s="27" t="s">
        <v>365</v>
      </c>
      <c r="AC271" s="27" t="s">
        <v>365</v>
      </c>
      <c r="AD271" s="27" t="s">
        <v>365</v>
      </c>
      <c r="AE271" s="27" t="s">
        <v>365</v>
      </c>
      <c r="AF271" s="27" t="s">
        <v>365</v>
      </c>
      <c r="AG271" s="52">
        <f t="shared" si="39"/>
        <v>2.5216502102303187</v>
      </c>
      <c r="AH271" s="80"/>
    </row>
    <row r="272" spans="1:34" ht="15" customHeight="1">
      <c r="A272" s="32" t="s">
        <v>256</v>
      </c>
      <c r="B272" s="54"/>
      <c r="C272" s="55"/>
      <c r="D272" s="55"/>
      <c r="E272" s="56"/>
      <c r="F272" s="55"/>
      <c r="G272" s="55"/>
      <c r="H272" s="56"/>
      <c r="I272" s="56"/>
      <c r="J272" s="56"/>
      <c r="K272" s="56"/>
      <c r="L272" s="55"/>
      <c r="M272" s="55"/>
      <c r="N272" s="56"/>
      <c r="O272" s="55"/>
      <c r="P272" s="55"/>
      <c r="Q272" s="56"/>
      <c r="R272" s="56"/>
      <c r="S272" s="56"/>
      <c r="T272" s="56"/>
      <c r="U272" s="56"/>
      <c r="V272" s="56"/>
      <c r="W272" s="56"/>
      <c r="X272" s="27"/>
      <c r="Y272" s="27"/>
      <c r="Z272" s="27"/>
      <c r="AA272" s="27"/>
      <c r="AB272" s="27"/>
      <c r="AC272" s="27"/>
      <c r="AD272" s="27"/>
      <c r="AE272" s="27"/>
      <c r="AF272" s="27"/>
      <c r="AG272" s="56"/>
      <c r="AH272" s="80"/>
    </row>
    <row r="273" spans="1:34" ht="15" customHeight="1">
      <c r="A273" s="33" t="s">
        <v>257</v>
      </c>
      <c r="B273" s="50">
        <f>'Расчет субсидий'!AT273</f>
        <v>5.8636363636363669</v>
      </c>
      <c r="C273" s="52">
        <f>'Расчет субсидий'!D273-1</f>
        <v>0.30000000000000004</v>
      </c>
      <c r="D273" s="52">
        <f>C273*'Расчет субсидий'!E273</f>
        <v>1.5000000000000002</v>
      </c>
      <c r="E273" s="53">
        <f t="shared" si="35"/>
        <v>0.76914074178034642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2">
        <f>'Расчет субсидий'!P273-1</f>
        <v>0.30000000000000004</v>
      </c>
      <c r="M273" s="52">
        <f>L273*'Расчет субсидий'!Q273</f>
        <v>6.0000000000000009</v>
      </c>
      <c r="N273" s="53">
        <f t="shared" si="36"/>
        <v>3.0765629671213857</v>
      </c>
      <c r="O273" s="27" t="s">
        <v>365</v>
      </c>
      <c r="P273" s="27" t="s">
        <v>365</v>
      </c>
      <c r="Q273" s="27" t="s">
        <v>365</v>
      </c>
      <c r="R273" s="58">
        <f>'Расчет субсидий'!X273-1</f>
        <v>-0.17291414752116085</v>
      </c>
      <c r="S273" s="58">
        <f>R273*'Расчет субсидий'!Y273</f>
        <v>-0.86457073760580427</v>
      </c>
      <c r="T273" s="53">
        <f t="shared" si="37"/>
        <v>-0.44331771896247296</v>
      </c>
      <c r="U273" s="52">
        <f>'Расчет субсидий'!AB273-1</f>
        <v>0.24</v>
      </c>
      <c r="V273" s="52">
        <f>U273*'Расчет субсидий'!AC273</f>
        <v>4.8</v>
      </c>
      <c r="W273" s="53">
        <f t="shared" si="38"/>
        <v>2.4612503736971081</v>
      </c>
      <c r="X273" s="27" t="s">
        <v>365</v>
      </c>
      <c r="Y273" s="27" t="s">
        <v>365</v>
      </c>
      <c r="Z273" s="27" t="s">
        <v>365</v>
      </c>
      <c r="AA273" s="27" t="s">
        <v>365</v>
      </c>
      <c r="AB273" s="27" t="s">
        <v>365</v>
      </c>
      <c r="AC273" s="27" t="s">
        <v>365</v>
      </c>
      <c r="AD273" s="27" t="s">
        <v>365</v>
      </c>
      <c r="AE273" s="27" t="s">
        <v>365</v>
      </c>
      <c r="AF273" s="27" t="s">
        <v>365</v>
      </c>
      <c r="AG273" s="52">
        <f t="shared" si="39"/>
        <v>11.435429262394196</v>
      </c>
      <c r="AH273" s="80"/>
    </row>
    <row r="274" spans="1:34" ht="15" customHeight="1">
      <c r="A274" s="33" t="s">
        <v>258</v>
      </c>
      <c r="B274" s="50">
        <f>'Расчет субсидий'!AT274</f>
        <v>3.0818181818181927</v>
      </c>
      <c r="C274" s="52">
        <f>'Расчет субсидий'!D274-1</f>
        <v>-1</v>
      </c>
      <c r="D274" s="52">
        <f>C274*'Расчет субсидий'!E274</f>
        <v>0</v>
      </c>
      <c r="E274" s="53">
        <f t="shared" si="35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2">
        <f>'Расчет субсидий'!P274-1</f>
        <v>-6.1150070126227196E-2</v>
      </c>
      <c r="M274" s="52">
        <f>L274*'Расчет субсидий'!Q274</f>
        <v>-1.2230014025245439</v>
      </c>
      <c r="N274" s="53">
        <f t="shared" si="36"/>
        <v>-3.905585815190411</v>
      </c>
      <c r="O274" s="27" t="s">
        <v>365</v>
      </c>
      <c r="P274" s="27" t="s">
        <v>365</v>
      </c>
      <c r="Q274" s="27" t="s">
        <v>365</v>
      </c>
      <c r="R274" s="58">
        <f>'Расчет субсидий'!X274-1</f>
        <v>-6.8350668647845225E-3</v>
      </c>
      <c r="S274" s="58">
        <f>R274*'Расчет субсидий'!Y274</f>
        <v>-3.4175334323922613E-2</v>
      </c>
      <c r="T274" s="53">
        <f t="shared" si="37"/>
        <v>-0.10913699746327436</v>
      </c>
      <c r="U274" s="52">
        <f>'Расчет субсидий'!AB274-1</f>
        <v>0.11111111111111116</v>
      </c>
      <c r="V274" s="52">
        <f>U274*'Расчет субсидий'!AC274</f>
        <v>2.2222222222222232</v>
      </c>
      <c r="W274" s="53">
        <f t="shared" si="38"/>
        <v>7.0965409944718782</v>
      </c>
      <c r="X274" s="27" t="s">
        <v>365</v>
      </c>
      <c r="Y274" s="27" t="s">
        <v>365</v>
      </c>
      <c r="Z274" s="27" t="s">
        <v>365</v>
      </c>
      <c r="AA274" s="27" t="s">
        <v>365</v>
      </c>
      <c r="AB274" s="27" t="s">
        <v>365</v>
      </c>
      <c r="AC274" s="27" t="s">
        <v>365</v>
      </c>
      <c r="AD274" s="27" t="s">
        <v>365</v>
      </c>
      <c r="AE274" s="27" t="s">
        <v>365</v>
      </c>
      <c r="AF274" s="27" t="s">
        <v>365</v>
      </c>
      <c r="AG274" s="52">
        <f t="shared" si="39"/>
        <v>0.96504548537375667</v>
      </c>
      <c r="AH274" s="80"/>
    </row>
    <row r="275" spans="1:34" ht="15" customHeight="1">
      <c r="A275" s="33" t="s">
        <v>259</v>
      </c>
      <c r="B275" s="50">
        <f>'Расчет субсидий'!AT275</f>
        <v>6.0454545454545325</v>
      </c>
      <c r="C275" s="52">
        <f>'Расчет субсидий'!D275-1</f>
        <v>-1</v>
      </c>
      <c r="D275" s="52">
        <f>C275*'Расчет субсидий'!E275</f>
        <v>0</v>
      </c>
      <c r="E275" s="53">
        <f t="shared" si="35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2">
        <f>'Расчет субсидий'!P275-1</f>
        <v>-5.3526062198861024E-2</v>
      </c>
      <c r="M275" s="52">
        <f>L275*'Расчет субсидий'!Q275</f>
        <v>-1.0705212439772205</v>
      </c>
      <c r="N275" s="53">
        <f t="shared" si="36"/>
        <v>-3.3400464857244594</v>
      </c>
      <c r="O275" s="27" t="s">
        <v>365</v>
      </c>
      <c r="P275" s="27" t="s">
        <v>365</v>
      </c>
      <c r="Q275" s="27" t="s">
        <v>365</v>
      </c>
      <c r="R275" s="58">
        <f>'Расчет субсидий'!X275-1</f>
        <v>0.21328152753108354</v>
      </c>
      <c r="S275" s="58">
        <f>R275*'Расчет субсидий'!Y275</f>
        <v>1.0664076376554177</v>
      </c>
      <c r="T275" s="53">
        <f t="shared" si="37"/>
        <v>3.3272119563621594</v>
      </c>
      <c r="U275" s="52">
        <f>'Расчет субсидий'!AB275-1</f>
        <v>9.7087378640776656E-2</v>
      </c>
      <c r="V275" s="52">
        <f>U275*'Расчет субсидий'!AC275</f>
        <v>1.9417475728155331</v>
      </c>
      <c r="W275" s="53">
        <f t="shared" si="38"/>
        <v>6.058289074816833</v>
      </c>
      <c r="X275" s="27" t="s">
        <v>365</v>
      </c>
      <c r="Y275" s="27" t="s">
        <v>365</v>
      </c>
      <c r="Z275" s="27" t="s">
        <v>365</v>
      </c>
      <c r="AA275" s="27" t="s">
        <v>365</v>
      </c>
      <c r="AB275" s="27" t="s">
        <v>365</v>
      </c>
      <c r="AC275" s="27" t="s">
        <v>365</v>
      </c>
      <c r="AD275" s="27" t="s">
        <v>365</v>
      </c>
      <c r="AE275" s="27" t="s">
        <v>365</v>
      </c>
      <c r="AF275" s="27" t="s">
        <v>365</v>
      </c>
      <c r="AG275" s="52">
        <f t="shared" si="39"/>
        <v>1.9376339664937303</v>
      </c>
      <c r="AH275" s="80"/>
    </row>
    <row r="276" spans="1:34" ht="15" customHeight="1">
      <c r="A276" s="33" t="s">
        <v>260</v>
      </c>
      <c r="B276" s="50">
        <f>'Расчет субсидий'!AT276</f>
        <v>-41.399999999999977</v>
      </c>
      <c r="C276" s="52">
        <f>'Расчет субсидий'!D276-1</f>
        <v>-1</v>
      </c>
      <c r="D276" s="52">
        <f>C276*'Расчет субсидий'!E276</f>
        <v>0</v>
      </c>
      <c r="E276" s="53">
        <f t="shared" si="35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2">
        <f>'Расчет субсидий'!P276-1</f>
        <v>-0.37451843698403953</v>
      </c>
      <c r="M276" s="52">
        <f>L276*'Расчет субсидий'!Q276</f>
        <v>-7.4903687396807905</v>
      </c>
      <c r="N276" s="53">
        <f t="shared" si="36"/>
        <v>-55.441716494497079</v>
      </c>
      <c r="O276" s="27" t="s">
        <v>365</v>
      </c>
      <c r="P276" s="27" t="s">
        <v>365</v>
      </c>
      <c r="Q276" s="27" t="s">
        <v>365</v>
      </c>
      <c r="R276" s="58">
        <f>'Расчет субсидий'!X276-1</f>
        <v>5.790574231944623E-3</v>
      </c>
      <c r="S276" s="58">
        <f>R276*'Расчет субсидий'!Y276</f>
        <v>2.8952871159723115E-2</v>
      </c>
      <c r="T276" s="53">
        <f t="shared" si="37"/>
        <v>0.21430144901083689</v>
      </c>
      <c r="U276" s="52">
        <f>'Расчет субсидий'!AB276-1</f>
        <v>9.3406593406593297E-2</v>
      </c>
      <c r="V276" s="52">
        <f>U276*'Расчет субсидий'!AC276</f>
        <v>1.8681318681318659</v>
      </c>
      <c r="W276" s="53">
        <f t="shared" si="38"/>
        <v>13.827415045486257</v>
      </c>
      <c r="X276" s="27" t="s">
        <v>365</v>
      </c>
      <c r="Y276" s="27" t="s">
        <v>365</v>
      </c>
      <c r="Z276" s="27" t="s">
        <v>365</v>
      </c>
      <c r="AA276" s="27" t="s">
        <v>365</v>
      </c>
      <c r="AB276" s="27" t="s">
        <v>365</v>
      </c>
      <c r="AC276" s="27" t="s">
        <v>365</v>
      </c>
      <c r="AD276" s="27" t="s">
        <v>365</v>
      </c>
      <c r="AE276" s="27" t="s">
        <v>365</v>
      </c>
      <c r="AF276" s="27" t="s">
        <v>365</v>
      </c>
      <c r="AG276" s="52">
        <f t="shared" si="39"/>
        <v>-5.5932840003892013</v>
      </c>
      <c r="AH276" s="80"/>
    </row>
    <row r="277" spans="1:34" ht="15" customHeight="1">
      <c r="A277" s="33" t="s">
        <v>261</v>
      </c>
      <c r="B277" s="50">
        <f>'Расчет субсидий'!AT277</f>
        <v>9.0545454545454618</v>
      </c>
      <c r="C277" s="52">
        <f>'Расчет субсидий'!D277-1</f>
        <v>-0.2429906542056075</v>
      </c>
      <c r="D277" s="52">
        <f>C277*'Расчет субсидий'!E277</f>
        <v>-1.2149532710280375</v>
      </c>
      <c r="E277" s="53">
        <f t="shared" si="35"/>
        <v>-4.5444121637328756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2">
        <f>'Расчет субсидий'!P277-1</f>
        <v>0.22538890035073234</v>
      </c>
      <c r="M277" s="52">
        <f>L277*'Расчет субсидий'!Q277</f>
        <v>4.5077780070146467</v>
      </c>
      <c r="N277" s="53">
        <f t="shared" si="36"/>
        <v>16.860896377645261</v>
      </c>
      <c r="O277" s="27" t="s">
        <v>365</v>
      </c>
      <c r="P277" s="27" t="s">
        <v>365</v>
      </c>
      <c r="Q277" s="27" t="s">
        <v>365</v>
      </c>
      <c r="R277" s="58">
        <f>'Расчет субсидий'!X277-1</f>
        <v>-0.37194740137758298</v>
      </c>
      <c r="S277" s="58">
        <f>R277*'Расчет субсидий'!Y277</f>
        <v>-1.8597370068879149</v>
      </c>
      <c r="T277" s="53">
        <f t="shared" si="37"/>
        <v>-6.9561617528667714</v>
      </c>
      <c r="U277" s="52">
        <f>'Расчет субсидий'!AB277-1</f>
        <v>4.9382716049382713E-2</v>
      </c>
      <c r="V277" s="52">
        <f>U277*'Расчет субсидий'!AC277</f>
        <v>0.98765432098765427</v>
      </c>
      <c r="W277" s="53">
        <f t="shared" si="38"/>
        <v>3.694222993499849</v>
      </c>
      <c r="X277" s="27" t="s">
        <v>365</v>
      </c>
      <c r="Y277" s="27" t="s">
        <v>365</v>
      </c>
      <c r="Z277" s="27" t="s">
        <v>365</v>
      </c>
      <c r="AA277" s="27" t="s">
        <v>365</v>
      </c>
      <c r="AB277" s="27" t="s">
        <v>365</v>
      </c>
      <c r="AC277" s="27" t="s">
        <v>365</v>
      </c>
      <c r="AD277" s="27" t="s">
        <v>365</v>
      </c>
      <c r="AE277" s="27" t="s">
        <v>365</v>
      </c>
      <c r="AF277" s="27" t="s">
        <v>365</v>
      </c>
      <c r="AG277" s="52">
        <f t="shared" si="39"/>
        <v>2.4207420500863481</v>
      </c>
      <c r="AH277" s="80"/>
    </row>
    <row r="278" spans="1:34" ht="15" customHeight="1">
      <c r="A278" s="33" t="s">
        <v>262</v>
      </c>
      <c r="B278" s="50">
        <f>'Расчет субсидий'!AT278</f>
        <v>-37.509090909090929</v>
      </c>
      <c r="C278" s="52">
        <f>'Расчет субсидий'!D278-1</f>
        <v>-1</v>
      </c>
      <c r="D278" s="52">
        <f>C278*'Расчет субсидий'!E278</f>
        <v>0</v>
      </c>
      <c r="E278" s="53">
        <f t="shared" si="35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2">
        <f>'Расчет субсидий'!P278-1</f>
        <v>-0.46168747309513569</v>
      </c>
      <c r="M278" s="52">
        <f>L278*'Расчет субсидий'!Q278</f>
        <v>-9.2337494619027147</v>
      </c>
      <c r="N278" s="53">
        <f t="shared" si="36"/>
        <v>-42.911286439850649</v>
      </c>
      <c r="O278" s="27" t="s">
        <v>365</v>
      </c>
      <c r="P278" s="27" t="s">
        <v>365</v>
      </c>
      <c r="Q278" s="27" t="s">
        <v>365</v>
      </c>
      <c r="R278" s="58">
        <f>'Расчет субсидий'!X278-1</f>
        <v>5.3919947072444518E-2</v>
      </c>
      <c r="S278" s="58">
        <f>R278*'Расчет субсидий'!Y278</f>
        <v>0.26959973536222259</v>
      </c>
      <c r="T278" s="53">
        <f t="shared" si="37"/>
        <v>1.2528899030635354</v>
      </c>
      <c r="U278" s="52">
        <f>'Расчет субсидий'!AB278-1</f>
        <v>4.4642857142857206E-2</v>
      </c>
      <c r="V278" s="52">
        <f>U278*'Расчет субсидий'!AC278</f>
        <v>0.89285714285714413</v>
      </c>
      <c r="W278" s="53">
        <f t="shared" si="38"/>
        <v>4.1493056276961866</v>
      </c>
      <c r="X278" s="27" t="s">
        <v>365</v>
      </c>
      <c r="Y278" s="27" t="s">
        <v>365</v>
      </c>
      <c r="Z278" s="27" t="s">
        <v>365</v>
      </c>
      <c r="AA278" s="27" t="s">
        <v>365</v>
      </c>
      <c r="AB278" s="27" t="s">
        <v>365</v>
      </c>
      <c r="AC278" s="27" t="s">
        <v>365</v>
      </c>
      <c r="AD278" s="27" t="s">
        <v>365</v>
      </c>
      <c r="AE278" s="27" t="s">
        <v>365</v>
      </c>
      <c r="AF278" s="27" t="s">
        <v>365</v>
      </c>
      <c r="AG278" s="52">
        <f t="shared" si="39"/>
        <v>-8.0712925836833485</v>
      </c>
      <c r="AH278" s="80"/>
    </row>
    <row r="279" spans="1:34" ht="15" customHeight="1">
      <c r="A279" s="33" t="s">
        <v>263</v>
      </c>
      <c r="B279" s="50">
        <f>'Расчет субсидий'!AT279</f>
        <v>-34.845454545454572</v>
      </c>
      <c r="C279" s="52">
        <f>'Расчет субсидий'!D279-1</f>
        <v>-1</v>
      </c>
      <c r="D279" s="52">
        <f>C279*'Расчет субсидий'!E279</f>
        <v>0</v>
      </c>
      <c r="E279" s="53">
        <f t="shared" si="35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2">
        <f>'Расчет субсидий'!P279-1</f>
        <v>-0.39892446834514794</v>
      </c>
      <c r="M279" s="52">
        <f>L279*'Расчет субсидий'!Q279</f>
        <v>-7.9784893669029593</v>
      </c>
      <c r="N279" s="53">
        <f t="shared" si="36"/>
        <v>-44.758969563499484</v>
      </c>
      <c r="O279" s="27" t="s">
        <v>365</v>
      </c>
      <c r="P279" s="27" t="s">
        <v>365</v>
      </c>
      <c r="Q279" s="27" t="s">
        <v>365</v>
      </c>
      <c r="R279" s="58">
        <f>'Расчет субсидий'!X279-1</f>
        <v>5.1539012168933418E-2</v>
      </c>
      <c r="S279" s="58">
        <f>R279*'Расчет субсидий'!Y279</f>
        <v>0.25769506084466709</v>
      </c>
      <c r="T279" s="53">
        <f t="shared" si="37"/>
        <v>1.4456577999411264</v>
      </c>
      <c r="U279" s="52">
        <f>'Расчет субсидий'!AB279-1</f>
        <v>7.547169811320753E-2</v>
      </c>
      <c r="V279" s="52">
        <f>U279*'Расчет субсидий'!AC279</f>
        <v>1.5094339622641506</v>
      </c>
      <c r="W279" s="53">
        <f t="shared" si="38"/>
        <v>8.4678572181037879</v>
      </c>
      <c r="X279" s="27" t="s">
        <v>365</v>
      </c>
      <c r="Y279" s="27" t="s">
        <v>365</v>
      </c>
      <c r="Z279" s="27" t="s">
        <v>365</v>
      </c>
      <c r="AA279" s="27" t="s">
        <v>365</v>
      </c>
      <c r="AB279" s="27" t="s">
        <v>365</v>
      </c>
      <c r="AC279" s="27" t="s">
        <v>365</v>
      </c>
      <c r="AD279" s="27" t="s">
        <v>365</v>
      </c>
      <c r="AE279" s="27" t="s">
        <v>365</v>
      </c>
      <c r="AF279" s="27" t="s">
        <v>365</v>
      </c>
      <c r="AG279" s="52">
        <f t="shared" si="39"/>
        <v>-6.2113603437941416</v>
      </c>
      <c r="AH279" s="80"/>
    </row>
    <row r="280" spans="1:34" ht="15" customHeight="1">
      <c r="A280" s="33" t="s">
        <v>264</v>
      </c>
      <c r="B280" s="50">
        <f>'Расчет субсидий'!AT280</f>
        <v>6.1999999999999886</v>
      </c>
      <c r="C280" s="52">
        <f>'Расчет субсидий'!D280-1</f>
        <v>-1</v>
      </c>
      <c r="D280" s="52">
        <f>C280*'Расчет субсидий'!E280</f>
        <v>0</v>
      </c>
      <c r="E280" s="53">
        <f t="shared" si="35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2">
        <f>'Расчет субсидий'!P280-1</f>
        <v>2.3161551823973614E-3</v>
      </c>
      <c r="M280" s="52">
        <f>L280*'Расчет субсидий'!Q280</f>
        <v>4.6323103647947228E-2</v>
      </c>
      <c r="N280" s="53">
        <f t="shared" si="36"/>
        <v>0.27379697382875723</v>
      </c>
      <c r="O280" s="27" t="s">
        <v>365</v>
      </c>
      <c r="P280" s="27" t="s">
        <v>365</v>
      </c>
      <c r="Q280" s="27" t="s">
        <v>365</v>
      </c>
      <c r="R280" s="58">
        <f>'Расчет субсидий'!X280-1</f>
        <v>4.0528233151184034E-2</v>
      </c>
      <c r="S280" s="58">
        <f>R280*'Расчет субсидий'!Y280</f>
        <v>0.20264116575592017</v>
      </c>
      <c r="T280" s="53">
        <f t="shared" si="37"/>
        <v>1.1977292881488779</v>
      </c>
      <c r="U280" s="52">
        <f>'Расчет субсидий'!AB280-1</f>
        <v>4.0000000000000036E-2</v>
      </c>
      <c r="V280" s="52">
        <f>U280*'Расчет субсидий'!AC280</f>
        <v>0.80000000000000071</v>
      </c>
      <c r="W280" s="53">
        <f t="shared" si="38"/>
        <v>4.7284737380223536</v>
      </c>
      <c r="X280" s="27" t="s">
        <v>365</v>
      </c>
      <c r="Y280" s="27" t="s">
        <v>365</v>
      </c>
      <c r="Z280" s="27" t="s">
        <v>365</v>
      </c>
      <c r="AA280" s="27" t="s">
        <v>365</v>
      </c>
      <c r="AB280" s="27" t="s">
        <v>365</v>
      </c>
      <c r="AC280" s="27" t="s">
        <v>365</v>
      </c>
      <c r="AD280" s="27" t="s">
        <v>365</v>
      </c>
      <c r="AE280" s="27" t="s">
        <v>365</v>
      </c>
      <c r="AF280" s="27" t="s">
        <v>365</v>
      </c>
      <c r="AG280" s="52">
        <f t="shared" si="39"/>
        <v>1.0489642694038681</v>
      </c>
      <c r="AH280" s="80"/>
    </row>
    <row r="281" spans="1:34" ht="15" customHeight="1">
      <c r="A281" s="33" t="s">
        <v>265</v>
      </c>
      <c r="B281" s="50">
        <f>'Расчет субсидий'!AT281</f>
        <v>19.509090909090901</v>
      </c>
      <c r="C281" s="52">
        <f>'Расчет субсидий'!D281-1</f>
        <v>-1</v>
      </c>
      <c r="D281" s="52">
        <f>C281*'Расчет субсидий'!E281</f>
        <v>0</v>
      </c>
      <c r="E281" s="53">
        <f t="shared" si="35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2">
        <f>'Расчет субсидий'!P281-1</f>
        <v>0.20370336669699718</v>
      </c>
      <c r="M281" s="52">
        <f>L281*'Расчет субсидий'!Q281</f>
        <v>4.0740673339399436</v>
      </c>
      <c r="N281" s="53">
        <f t="shared" si="36"/>
        <v>16.642472198285787</v>
      </c>
      <c r="O281" s="27" t="s">
        <v>365</v>
      </c>
      <c r="P281" s="27" t="s">
        <v>365</v>
      </c>
      <c r="Q281" s="27" t="s">
        <v>365</v>
      </c>
      <c r="R281" s="58">
        <f>'Расчет субсидий'!X281-1</f>
        <v>-0.20007621951219512</v>
      </c>
      <c r="S281" s="58">
        <f>R281*'Расчет субсидий'!Y281</f>
        <v>-1.0003810975609757</v>
      </c>
      <c r="T281" s="53">
        <f t="shared" si="37"/>
        <v>-4.0865339816925523</v>
      </c>
      <c r="U281" s="52">
        <f>'Расчет субсидий'!AB281-1</f>
        <v>8.5106382978723305E-2</v>
      </c>
      <c r="V281" s="52">
        <f>U281*'Расчет субсидий'!AC281</f>
        <v>1.7021276595744661</v>
      </c>
      <c r="W281" s="53">
        <f t="shared" si="38"/>
        <v>6.9531526924976674</v>
      </c>
      <c r="X281" s="27" t="s">
        <v>365</v>
      </c>
      <c r="Y281" s="27" t="s">
        <v>365</v>
      </c>
      <c r="Z281" s="27" t="s">
        <v>365</v>
      </c>
      <c r="AA281" s="27" t="s">
        <v>365</v>
      </c>
      <c r="AB281" s="27" t="s">
        <v>365</v>
      </c>
      <c r="AC281" s="27" t="s">
        <v>365</v>
      </c>
      <c r="AD281" s="27" t="s">
        <v>365</v>
      </c>
      <c r="AE281" s="27" t="s">
        <v>365</v>
      </c>
      <c r="AF281" s="27" t="s">
        <v>365</v>
      </c>
      <c r="AG281" s="52">
        <f t="shared" si="39"/>
        <v>4.7758138959534335</v>
      </c>
      <c r="AH281" s="80"/>
    </row>
    <row r="282" spans="1:34" ht="15" customHeight="1">
      <c r="A282" s="33" t="s">
        <v>266</v>
      </c>
      <c r="B282" s="50">
        <f>'Расчет субсидий'!AT282</f>
        <v>11.363636363636374</v>
      </c>
      <c r="C282" s="52">
        <f>'Расчет субсидий'!D282-1</f>
        <v>-1</v>
      </c>
      <c r="D282" s="52">
        <f>C282*'Расчет субсидий'!E282</f>
        <v>0</v>
      </c>
      <c r="E282" s="53">
        <f t="shared" si="35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2">
        <f>'Расчет субсидий'!P282-1</f>
        <v>2.1505376344086002E-2</v>
      </c>
      <c r="M282" s="52">
        <f>L282*'Расчет субсидий'!Q282</f>
        <v>0.43010752688172005</v>
      </c>
      <c r="N282" s="53">
        <f t="shared" si="36"/>
        <v>2.0226284018918621</v>
      </c>
      <c r="O282" s="27" t="s">
        <v>365</v>
      </c>
      <c r="P282" s="27" t="s">
        <v>365</v>
      </c>
      <c r="Q282" s="27" t="s">
        <v>365</v>
      </c>
      <c r="R282" s="58">
        <f>'Расчет субсидий'!X282-1</f>
        <v>0.20903370786516851</v>
      </c>
      <c r="S282" s="58">
        <f>R282*'Расчет субсидий'!Y282</f>
        <v>1.0451685393258425</v>
      </c>
      <c r="T282" s="53">
        <f t="shared" si="37"/>
        <v>4.9150211058399575</v>
      </c>
      <c r="U282" s="52">
        <f>'Расчет субсидий'!AB282-1</f>
        <v>4.705882352941182E-2</v>
      </c>
      <c r="V282" s="52">
        <f>U282*'Расчет субсидий'!AC282</f>
        <v>0.94117647058823639</v>
      </c>
      <c r="W282" s="53">
        <f t="shared" si="38"/>
        <v>4.4259868559045543</v>
      </c>
      <c r="X282" s="27" t="s">
        <v>365</v>
      </c>
      <c r="Y282" s="27" t="s">
        <v>365</v>
      </c>
      <c r="Z282" s="27" t="s">
        <v>365</v>
      </c>
      <c r="AA282" s="27" t="s">
        <v>365</v>
      </c>
      <c r="AB282" s="27" t="s">
        <v>365</v>
      </c>
      <c r="AC282" s="27" t="s">
        <v>365</v>
      </c>
      <c r="AD282" s="27" t="s">
        <v>365</v>
      </c>
      <c r="AE282" s="27" t="s">
        <v>365</v>
      </c>
      <c r="AF282" s="27" t="s">
        <v>365</v>
      </c>
      <c r="AG282" s="52">
        <f t="shared" si="39"/>
        <v>2.416452536795799</v>
      </c>
      <c r="AH282" s="80"/>
    </row>
    <row r="283" spans="1:34" ht="15" customHeight="1">
      <c r="A283" s="33" t="s">
        <v>267</v>
      </c>
      <c r="B283" s="50">
        <f>'Расчет субсидий'!AT283</f>
        <v>-27.490909090909071</v>
      </c>
      <c r="C283" s="52">
        <f>'Расчет субсидий'!D283-1</f>
        <v>-1</v>
      </c>
      <c r="D283" s="52">
        <f>C283*'Расчет субсидий'!E283</f>
        <v>0</v>
      </c>
      <c r="E283" s="53">
        <f t="shared" si="35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2">
        <f>'Расчет субсидий'!P283-1</f>
        <v>-0.42405498281786946</v>
      </c>
      <c r="M283" s="52">
        <f>L283*'Расчет субсидий'!Q283</f>
        <v>-8.4810996563573902</v>
      </c>
      <c r="N283" s="53">
        <f t="shared" si="36"/>
        <v>-39.209221566162668</v>
      </c>
      <c r="O283" s="27" t="s">
        <v>365</v>
      </c>
      <c r="P283" s="27" t="s">
        <v>365</v>
      </c>
      <c r="Q283" s="27" t="s">
        <v>365</v>
      </c>
      <c r="R283" s="58">
        <f>'Расчет субсидий'!X283-1</f>
        <v>0.16547945205479442</v>
      </c>
      <c r="S283" s="58">
        <f>R283*'Расчет субсидий'!Y283</f>
        <v>0.82739726027397209</v>
      </c>
      <c r="T283" s="53">
        <f t="shared" si="37"/>
        <v>3.8251646385265698</v>
      </c>
      <c r="U283" s="52">
        <f>'Расчет субсидий'!AB283-1</f>
        <v>8.5365853658536661E-2</v>
      </c>
      <c r="V283" s="52">
        <f>U283*'Расчет субсидий'!AC283</f>
        <v>1.7073170731707332</v>
      </c>
      <c r="W283" s="53">
        <f t="shared" si="38"/>
        <v>7.8931478367270236</v>
      </c>
      <c r="X283" s="27" t="s">
        <v>365</v>
      </c>
      <c r="Y283" s="27" t="s">
        <v>365</v>
      </c>
      <c r="Z283" s="27" t="s">
        <v>365</v>
      </c>
      <c r="AA283" s="27" t="s">
        <v>365</v>
      </c>
      <c r="AB283" s="27" t="s">
        <v>365</v>
      </c>
      <c r="AC283" s="27" t="s">
        <v>365</v>
      </c>
      <c r="AD283" s="27" t="s">
        <v>365</v>
      </c>
      <c r="AE283" s="27" t="s">
        <v>365</v>
      </c>
      <c r="AF283" s="27" t="s">
        <v>365</v>
      </c>
      <c r="AG283" s="52">
        <f t="shared" si="39"/>
        <v>-5.9463853229126844</v>
      </c>
      <c r="AH283" s="80"/>
    </row>
    <row r="284" spans="1:34" ht="15" customHeight="1">
      <c r="A284" s="33" t="s">
        <v>268</v>
      </c>
      <c r="B284" s="50">
        <f>'Расчет субсидий'!AT284</f>
        <v>14.054545454545462</v>
      </c>
      <c r="C284" s="52">
        <f>'Расчет субсидий'!D284-1</f>
        <v>-1</v>
      </c>
      <c r="D284" s="52">
        <f>C284*'Расчет субсидий'!E284</f>
        <v>0</v>
      </c>
      <c r="E284" s="53">
        <f t="shared" si="35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2">
        <f>'Расчет субсидий'!P284-1</f>
        <v>6.7890929326655636E-2</v>
      </c>
      <c r="M284" s="52">
        <f>L284*'Расчет субсидий'!Q284</f>
        <v>1.3578185865331127</v>
      </c>
      <c r="N284" s="53">
        <f t="shared" si="36"/>
        <v>7.4268347650471052</v>
      </c>
      <c r="O284" s="27" t="s">
        <v>365</v>
      </c>
      <c r="P284" s="27" t="s">
        <v>365</v>
      </c>
      <c r="Q284" s="27" t="s">
        <v>365</v>
      </c>
      <c r="R284" s="58">
        <f>'Расчет субсидий'!X284-1</f>
        <v>2.8057869355545773E-2</v>
      </c>
      <c r="S284" s="58">
        <f>R284*'Расчет субсидий'!Y284</f>
        <v>0.14028934677772886</v>
      </c>
      <c r="T284" s="53">
        <f t="shared" si="37"/>
        <v>0.76733799945606884</v>
      </c>
      <c r="U284" s="52">
        <f>'Расчет субсидий'!AB284-1</f>
        <v>5.3571428571428603E-2</v>
      </c>
      <c r="V284" s="52">
        <f>U284*'Расчет субсидий'!AC284</f>
        <v>1.0714285714285721</v>
      </c>
      <c r="W284" s="53">
        <f t="shared" si="38"/>
        <v>5.8603726900422881</v>
      </c>
      <c r="X284" s="27" t="s">
        <v>365</v>
      </c>
      <c r="Y284" s="27" t="s">
        <v>365</v>
      </c>
      <c r="Z284" s="27" t="s">
        <v>365</v>
      </c>
      <c r="AA284" s="27" t="s">
        <v>365</v>
      </c>
      <c r="AB284" s="27" t="s">
        <v>365</v>
      </c>
      <c r="AC284" s="27" t="s">
        <v>365</v>
      </c>
      <c r="AD284" s="27" t="s">
        <v>365</v>
      </c>
      <c r="AE284" s="27" t="s">
        <v>365</v>
      </c>
      <c r="AF284" s="27" t="s">
        <v>365</v>
      </c>
      <c r="AG284" s="52">
        <f t="shared" si="39"/>
        <v>2.5695365047394136</v>
      </c>
      <c r="AH284" s="80"/>
    </row>
    <row r="285" spans="1:34" ht="15" customHeight="1">
      <c r="A285" s="33" t="s">
        <v>269</v>
      </c>
      <c r="B285" s="50">
        <f>'Расчет субсидий'!AT285</f>
        <v>2.9272727272727295</v>
      </c>
      <c r="C285" s="52">
        <f>'Расчет субсидий'!D285-1</f>
        <v>-0.1577000143122943</v>
      </c>
      <c r="D285" s="52">
        <f>C285*'Расчет субсидий'!E285</f>
        <v>-0.7885000715614715</v>
      </c>
      <c r="E285" s="53">
        <f t="shared" si="35"/>
        <v>-0.57892051031238811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2">
        <f>'Расчет субсидий'!P285-1</f>
        <v>0.20053356241200748</v>
      </c>
      <c r="M285" s="52">
        <f>L285*'Расчет субсидий'!Q285</f>
        <v>4.0106712482401496</v>
      </c>
      <c r="N285" s="53">
        <f t="shared" si="36"/>
        <v>2.9446539442011934</v>
      </c>
      <c r="O285" s="27" t="s">
        <v>365</v>
      </c>
      <c r="P285" s="27" t="s">
        <v>365</v>
      </c>
      <c r="Q285" s="27" t="s">
        <v>365</v>
      </c>
      <c r="R285" s="58">
        <f>'Расчет субсидий'!X285-1</f>
        <v>0.18281605502197062</v>
      </c>
      <c r="S285" s="58">
        <f>R285*'Расчет субсидий'!Y285</f>
        <v>0.91408027510985312</v>
      </c>
      <c r="T285" s="53">
        <f t="shared" si="37"/>
        <v>0.6711220942379198</v>
      </c>
      <c r="U285" s="52">
        <f>'Расчет субсидий'!AB285-1</f>
        <v>-7.4626865671642006E-3</v>
      </c>
      <c r="V285" s="52">
        <f>U285*'Расчет субсидий'!AC285</f>
        <v>-0.14925373134328401</v>
      </c>
      <c r="W285" s="53">
        <f t="shared" si="38"/>
        <v>-0.10958280085399566</v>
      </c>
      <c r="X285" s="27" t="s">
        <v>365</v>
      </c>
      <c r="Y285" s="27" t="s">
        <v>365</v>
      </c>
      <c r="Z285" s="27" t="s">
        <v>365</v>
      </c>
      <c r="AA285" s="27" t="s">
        <v>365</v>
      </c>
      <c r="AB285" s="27" t="s">
        <v>365</v>
      </c>
      <c r="AC285" s="27" t="s">
        <v>365</v>
      </c>
      <c r="AD285" s="27" t="s">
        <v>365</v>
      </c>
      <c r="AE285" s="27" t="s">
        <v>365</v>
      </c>
      <c r="AF285" s="27" t="s">
        <v>365</v>
      </c>
      <c r="AG285" s="52">
        <f t="shared" si="39"/>
        <v>3.9869977204452476</v>
      </c>
      <c r="AH285" s="80"/>
    </row>
    <row r="286" spans="1:34" ht="15" customHeight="1">
      <c r="A286" s="33" t="s">
        <v>270</v>
      </c>
      <c r="B286" s="50">
        <f>'Расчет субсидий'!AT286</f>
        <v>-0.10000000000002274</v>
      </c>
      <c r="C286" s="52">
        <f>'Расчет субсидий'!D286-1</f>
        <v>-4.1167124079156459E-2</v>
      </c>
      <c r="D286" s="52">
        <f>C286*'Расчет субсидий'!E286</f>
        <v>-0.20583562039578229</v>
      </c>
      <c r="E286" s="53">
        <f t="shared" si="35"/>
        <v>-0.75478732806409443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2">
        <f>'Расчет субсидий'!P286-1</f>
        <v>-9.5196397297973467E-2</v>
      </c>
      <c r="M286" s="52">
        <f>L286*'Расчет субсидий'!Q286</f>
        <v>-1.9039279459594693</v>
      </c>
      <c r="N286" s="53">
        <f t="shared" si="36"/>
        <v>-6.9815937804842347</v>
      </c>
      <c r="O286" s="27" t="s">
        <v>365</v>
      </c>
      <c r="P286" s="27" t="s">
        <v>365</v>
      </c>
      <c r="Q286" s="27" t="s">
        <v>365</v>
      </c>
      <c r="R286" s="58">
        <f>'Расчет субсидий'!X286-1</f>
        <v>0.14983191104215154</v>
      </c>
      <c r="S286" s="58">
        <f>R286*'Расчет субсидий'!Y286</f>
        <v>0.74915955521075772</v>
      </c>
      <c r="T286" s="53">
        <f t="shared" si="37"/>
        <v>2.7471248070861103</v>
      </c>
      <c r="U286" s="52">
        <f>'Расчет субсидий'!AB286-1</f>
        <v>6.6666666666666652E-2</v>
      </c>
      <c r="V286" s="52">
        <f>U286*'Расчет субсидий'!AC286</f>
        <v>1.333333333333333</v>
      </c>
      <c r="W286" s="53">
        <f t="shared" si="38"/>
        <v>4.8892563014621953</v>
      </c>
      <c r="X286" s="27" t="s">
        <v>365</v>
      </c>
      <c r="Y286" s="27" t="s">
        <v>365</v>
      </c>
      <c r="Z286" s="27" t="s">
        <v>365</v>
      </c>
      <c r="AA286" s="27" t="s">
        <v>365</v>
      </c>
      <c r="AB286" s="27" t="s">
        <v>365</v>
      </c>
      <c r="AC286" s="27" t="s">
        <v>365</v>
      </c>
      <c r="AD286" s="27" t="s">
        <v>365</v>
      </c>
      <c r="AE286" s="27" t="s">
        <v>365</v>
      </c>
      <c r="AF286" s="27" t="s">
        <v>365</v>
      </c>
      <c r="AG286" s="52">
        <f t="shared" si="39"/>
        <v>-2.7270677811160882E-2</v>
      </c>
      <c r="AH286" s="80"/>
    </row>
    <row r="287" spans="1:34" ht="15" customHeight="1">
      <c r="A287" s="33" t="s">
        <v>271</v>
      </c>
      <c r="B287" s="50">
        <f>'Расчет субсидий'!AT287</f>
        <v>0.55454545454546178</v>
      </c>
      <c r="C287" s="52">
        <f>'Расчет субсидий'!D287-1</f>
        <v>-0.25667886321487643</v>
      </c>
      <c r="D287" s="52">
        <f>C287*'Расчет субсидий'!E287</f>
        <v>-1.2833943160743821</v>
      </c>
      <c r="E287" s="53">
        <f t="shared" si="35"/>
        <v>-6.8223987203473566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2">
        <f>'Расчет субсидий'!P287-1</f>
        <v>7.2465405252753357E-2</v>
      </c>
      <c r="M287" s="52">
        <f>L287*'Расчет субсидий'!Q287</f>
        <v>1.4493081050550671</v>
      </c>
      <c r="N287" s="53">
        <f t="shared" si="36"/>
        <v>7.7043802029303006</v>
      </c>
      <c r="O287" s="27" t="s">
        <v>365</v>
      </c>
      <c r="P287" s="27" t="s">
        <v>365</v>
      </c>
      <c r="Q287" s="27" t="s">
        <v>365</v>
      </c>
      <c r="R287" s="58">
        <f>'Расчет субсидий'!X287-1</f>
        <v>0.20846010679932503</v>
      </c>
      <c r="S287" s="58">
        <f>R287*'Расчет субсидий'!Y287</f>
        <v>1.0423005339966251</v>
      </c>
      <c r="T287" s="53">
        <f t="shared" si="37"/>
        <v>5.5407677440140759</v>
      </c>
      <c r="U287" s="52">
        <f>'Расчет субсидий'!AB287-1</f>
        <v>-5.5194805194805241E-2</v>
      </c>
      <c r="V287" s="52">
        <f>U287*'Расчет субсидий'!AC287</f>
        <v>-1.1038961038961048</v>
      </c>
      <c r="W287" s="53">
        <f t="shared" si="38"/>
        <v>-5.8682037720515572</v>
      </c>
      <c r="X287" s="27" t="s">
        <v>365</v>
      </c>
      <c r="Y287" s="27" t="s">
        <v>365</v>
      </c>
      <c r="Z287" s="27" t="s">
        <v>365</v>
      </c>
      <c r="AA287" s="27" t="s">
        <v>365</v>
      </c>
      <c r="AB287" s="27" t="s">
        <v>365</v>
      </c>
      <c r="AC287" s="27" t="s">
        <v>365</v>
      </c>
      <c r="AD287" s="27" t="s">
        <v>365</v>
      </c>
      <c r="AE287" s="27" t="s">
        <v>365</v>
      </c>
      <c r="AF287" s="27" t="s">
        <v>365</v>
      </c>
      <c r="AG287" s="52">
        <f t="shared" si="39"/>
        <v>0.10431821908120531</v>
      </c>
      <c r="AH287" s="80"/>
    </row>
    <row r="288" spans="1:34" ht="15" customHeight="1">
      <c r="A288" s="33" t="s">
        <v>272</v>
      </c>
      <c r="B288" s="50">
        <f>'Расчет субсидий'!AT288</f>
        <v>0</v>
      </c>
      <c r="C288" s="52">
        <f>'Расчет субсидий'!D288-1</f>
        <v>-7.2255662492891726E-2</v>
      </c>
      <c r="D288" s="52">
        <f>C288*'Расчет субсидий'!E288</f>
        <v>-0.36127831246445863</v>
      </c>
      <c r="E288" s="53">
        <f t="shared" si="35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2">
        <f>'Расчет субсидий'!P288-1</f>
        <v>0.13084550141054763</v>
      </c>
      <c r="M288" s="52">
        <f>L288*'Расчет субсидий'!Q288</f>
        <v>2.6169100282109525</v>
      </c>
      <c r="N288" s="53">
        <f t="shared" si="36"/>
        <v>0</v>
      </c>
      <c r="O288" s="27" t="s">
        <v>365</v>
      </c>
      <c r="P288" s="27" t="s">
        <v>365</v>
      </c>
      <c r="Q288" s="27" t="s">
        <v>365</v>
      </c>
      <c r="R288" s="58">
        <f>'Расчет субсидий'!X288-1</f>
        <v>8.7802495930548119E-2</v>
      </c>
      <c r="S288" s="58">
        <f>R288*'Расчет субсидий'!Y288</f>
        <v>0.43901247965274059</v>
      </c>
      <c r="T288" s="53">
        <f t="shared" si="37"/>
        <v>0</v>
      </c>
      <c r="U288" s="52">
        <f>'Расчет субсидий'!AB288-1</f>
        <v>0</v>
      </c>
      <c r="V288" s="52">
        <f>U288*'Расчет субсидий'!AC288</f>
        <v>0</v>
      </c>
      <c r="W288" s="53">
        <f t="shared" si="38"/>
        <v>0</v>
      </c>
      <c r="X288" s="27" t="s">
        <v>365</v>
      </c>
      <c r="Y288" s="27" t="s">
        <v>365</v>
      </c>
      <c r="Z288" s="27" t="s">
        <v>365</v>
      </c>
      <c r="AA288" s="27" t="s">
        <v>365</v>
      </c>
      <c r="AB288" s="27" t="s">
        <v>365</v>
      </c>
      <c r="AC288" s="27" t="s">
        <v>365</v>
      </c>
      <c r="AD288" s="27" t="s">
        <v>365</v>
      </c>
      <c r="AE288" s="27" t="s">
        <v>365</v>
      </c>
      <c r="AF288" s="27" t="s">
        <v>365</v>
      </c>
      <c r="AG288" s="52">
        <f t="shared" si="39"/>
        <v>2.6946441953992344</v>
      </c>
      <c r="AH288" s="80"/>
    </row>
    <row r="289" spans="1:34" ht="15" customHeight="1">
      <c r="A289" s="33" t="s">
        <v>165</v>
      </c>
      <c r="B289" s="50">
        <f>'Расчет субсидий'!AT289</f>
        <v>-23.72727272727272</v>
      </c>
      <c r="C289" s="52">
        <f>'Расчет субсидий'!D289-1</f>
        <v>-1</v>
      </c>
      <c r="D289" s="52">
        <f>C289*'Расчет субсидий'!E289</f>
        <v>0</v>
      </c>
      <c r="E289" s="53">
        <f t="shared" si="35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2">
        <f>'Расчет субсидий'!P289-1</f>
        <v>-0.26013264554163595</v>
      </c>
      <c r="M289" s="52">
        <f>L289*'Расчет субсидий'!Q289</f>
        <v>-5.2026529108327191</v>
      </c>
      <c r="N289" s="53">
        <f t="shared" si="36"/>
        <v>-25.312872315090491</v>
      </c>
      <c r="O289" s="27" t="s">
        <v>365</v>
      </c>
      <c r="P289" s="27" t="s">
        <v>365</v>
      </c>
      <c r="Q289" s="27" t="s">
        <v>365</v>
      </c>
      <c r="R289" s="58">
        <f>'Расчет субсидий'!X289-1</f>
        <v>6.5178887708111866E-2</v>
      </c>
      <c r="S289" s="58">
        <f>R289*'Расчет субсидий'!Y289</f>
        <v>0.32589443854055933</v>
      </c>
      <c r="T289" s="53">
        <f t="shared" si="37"/>
        <v>1.5855995878177704</v>
      </c>
      <c r="U289" s="52">
        <f>'Расчет субсидий'!AB289-1</f>
        <v>0</v>
      </c>
      <c r="V289" s="52">
        <f>U289*'Расчет субсидий'!AC289</f>
        <v>0</v>
      </c>
      <c r="W289" s="53">
        <f t="shared" si="38"/>
        <v>0</v>
      </c>
      <c r="X289" s="27" t="s">
        <v>365</v>
      </c>
      <c r="Y289" s="27" t="s">
        <v>365</v>
      </c>
      <c r="Z289" s="27" t="s">
        <v>365</v>
      </c>
      <c r="AA289" s="27" t="s">
        <v>365</v>
      </c>
      <c r="AB289" s="27" t="s">
        <v>365</v>
      </c>
      <c r="AC289" s="27" t="s">
        <v>365</v>
      </c>
      <c r="AD289" s="27" t="s">
        <v>365</v>
      </c>
      <c r="AE289" s="27" t="s">
        <v>365</v>
      </c>
      <c r="AF289" s="27" t="s">
        <v>365</v>
      </c>
      <c r="AG289" s="52">
        <f t="shared" si="39"/>
        <v>-4.8767584722921598</v>
      </c>
      <c r="AH289" s="80"/>
    </row>
    <row r="290" spans="1:34" ht="15" customHeight="1">
      <c r="A290" s="32" t="s">
        <v>273</v>
      </c>
      <c r="B290" s="54"/>
      <c r="C290" s="55"/>
      <c r="D290" s="55"/>
      <c r="E290" s="56"/>
      <c r="F290" s="55"/>
      <c r="G290" s="55"/>
      <c r="H290" s="56"/>
      <c r="I290" s="56"/>
      <c r="J290" s="56"/>
      <c r="K290" s="56"/>
      <c r="L290" s="55"/>
      <c r="M290" s="55"/>
      <c r="N290" s="56"/>
      <c r="O290" s="55"/>
      <c r="P290" s="55"/>
      <c r="Q290" s="56"/>
      <c r="R290" s="56"/>
      <c r="S290" s="56"/>
      <c r="T290" s="56"/>
      <c r="U290" s="56"/>
      <c r="V290" s="56"/>
      <c r="W290" s="56"/>
      <c r="X290" s="27"/>
      <c r="Y290" s="27"/>
      <c r="Z290" s="27"/>
      <c r="AA290" s="27"/>
      <c r="AB290" s="27"/>
      <c r="AC290" s="27"/>
      <c r="AD290" s="27"/>
      <c r="AE290" s="27"/>
      <c r="AF290" s="27"/>
      <c r="AG290" s="56"/>
      <c r="AH290" s="80"/>
    </row>
    <row r="291" spans="1:34" ht="15" customHeight="1">
      <c r="A291" s="33" t="s">
        <v>69</v>
      </c>
      <c r="B291" s="50">
        <f>'Расчет субсидий'!AT291</f>
        <v>3.8000000000000114</v>
      </c>
      <c r="C291" s="52">
        <f>'Расчет субсидий'!D291-1</f>
        <v>0.22253671232876715</v>
      </c>
      <c r="D291" s="52">
        <f>C291*'Расчет субсидий'!E291</f>
        <v>1.1126835616438358</v>
      </c>
      <c r="E291" s="53">
        <f t="shared" si="35"/>
        <v>3.5964159486821243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2">
        <f>'Расчет субсидий'!P291-1</f>
        <v>0.13275084554678673</v>
      </c>
      <c r="M291" s="52">
        <f>L291*'Расчет субсидий'!Q291</f>
        <v>2.6550169109357347</v>
      </c>
      <c r="N291" s="53">
        <f t="shared" si="36"/>
        <v>8.5815459953442392</v>
      </c>
      <c r="O291" s="27" t="s">
        <v>365</v>
      </c>
      <c r="P291" s="27" t="s">
        <v>365</v>
      </c>
      <c r="Q291" s="27" t="s">
        <v>365</v>
      </c>
      <c r="R291" s="58">
        <f>'Расчет субсидий'!X291-1</f>
        <v>-0.25920306961745432</v>
      </c>
      <c r="S291" s="58">
        <f>R291*'Расчет субсидий'!Y291</f>
        <v>-2.5920306961745432</v>
      </c>
      <c r="T291" s="53">
        <f t="shared" si="37"/>
        <v>-8.3779619440263549</v>
      </c>
      <c r="U291" s="52">
        <f>'Расчет субсидий'!AB291-1</f>
        <v>0</v>
      </c>
      <c r="V291" s="52">
        <f>U291*'Расчет субсидий'!AC291</f>
        <v>0</v>
      </c>
      <c r="W291" s="53">
        <f t="shared" si="38"/>
        <v>0</v>
      </c>
      <c r="X291" s="27" t="s">
        <v>365</v>
      </c>
      <c r="Y291" s="27" t="s">
        <v>365</v>
      </c>
      <c r="Z291" s="27" t="s">
        <v>365</v>
      </c>
      <c r="AA291" s="27" t="s">
        <v>365</v>
      </c>
      <c r="AB291" s="27" t="s">
        <v>365</v>
      </c>
      <c r="AC291" s="27" t="s">
        <v>365</v>
      </c>
      <c r="AD291" s="27" t="s">
        <v>365</v>
      </c>
      <c r="AE291" s="27" t="s">
        <v>365</v>
      </c>
      <c r="AF291" s="27" t="s">
        <v>365</v>
      </c>
      <c r="AG291" s="52">
        <f t="shared" si="39"/>
        <v>1.1756697764050275</v>
      </c>
      <c r="AH291" s="80"/>
    </row>
    <row r="292" spans="1:34" ht="15" customHeight="1">
      <c r="A292" s="33" t="s">
        <v>274</v>
      </c>
      <c r="B292" s="50">
        <f>'Расчет субсидий'!AT292</f>
        <v>11.109090909090895</v>
      </c>
      <c r="C292" s="52">
        <f>'Расчет субсидий'!D292-1</f>
        <v>-4.743083003952564E-2</v>
      </c>
      <c r="D292" s="52">
        <f>C292*'Расчет субсидий'!E292</f>
        <v>-0.2371541501976282</v>
      </c>
      <c r="E292" s="53">
        <f t="shared" si="35"/>
        <v>-0.72694161877803387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2">
        <f>'Расчет субсидий'!P292-1</f>
        <v>0.12383177570093462</v>
      </c>
      <c r="M292" s="52">
        <f>L292*'Расчет субсидий'!Q292</f>
        <v>2.4766355140186924</v>
      </c>
      <c r="N292" s="53">
        <f t="shared" si="36"/>
        <v>7.5915577618338546</v>
      </c>
      <c r="O292" s="27" t="s">
        <v>365</v>
      </c>
      <c r="P292" s="27" t="s">
        <v>365</v>
      </c>
      <c r="Q292" s="27" t="s">
        <v>365</v>
      </c>
      <c r="R292" s="58">
        <f>'Расчет субсидий'!X292-1</f>
        <v>0.13846982758620685</v>
      </c>
      <c r="S292" s="58">
        <f>R292*'Расчет субсидий'!Y292</f>
        <v>1.3846982758620685</v>
      </c>
      <c r="T292" s="53">
        <f t="shared" si="37"/>
        <v>4.244474766035073</v>
      </c>
      <c r="U292" s="52">
        <f>'Расчет субсидий'!AB292-1</f>
        <v>0</v>
      </c>
      <c r="V292" s="52">
        <f>U292*'Расчет субсидий'!AC292</f>
        <v>0</v>
      </c>
      <c r="W292" s="53">
        <f t="shared" si="38"/>
        <v>0</v>
      </c>
      <c r="X292" s="27" t="s">
        <v>365</v>
      </c>
      <c r="Y292" s="27" t="s">
        <v>365</v>
      </c>
      <c r="Z292" s="27" t="s">
        <v>365</v>
      </c>
      <c r="AA292" s="27" t="s">
        <v>365</v>
      </c>
      <c r="AB292" s="27" t="s">
        <v>365</v>
      </c>
      <c r="AC292" s="27" t="s">
        <v>365</v>
      </c>
      <c r="AD292" s="27" t="s">
        <v>365</v>
      </c>
      <c r="AE292" s="27" t="s">
        <v>365</v>
      </c>
      <c r="AF292" s="27" t="s">
        <v>365</v>
      </c>
      <c r="AG292" s="52">
        <f t="shared" si="39"/>
        <v>3.6241796396831329</v>
      </c>
      <c r="AH292" s="80"/>
    </row>
    <row r="293" spans="1:34" ht="15" customHeight="1">
      <c r="A293" s="33" t="s">
        <v>275</v>
      </c>
      <c r="B293" s="50">
        <f>'Расчет субсидий'!AT293</f>
        <v>3.9272727272727295</v>
      </c>
      <c r="C293" s="52">
        <f>'Расчет субсидий'!D293-1</f>
        <v>-1</v>
      </c>
      <c r="D293" s="52">
        <f>C293*'Расчет субсидий'!E293</f>
        <v>0</v>
      </c>
      <c r="E293" s="53">
        <f t="shared" si="35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2">
        <f>'Расчет субсидий'!P293-1</f>
        <v>0.30000000000000004</v>
      </c>
      <c r="M293" s="52">
        <f>L293*'Расчет субсидий'!Q293</f>
        <v>6.0000000000000009</v>
      </c>
      <c r="N293" s="53">
        <f t="shared" si="36"/>
        <v>4.0307307801358876</v>
      </c>
      <c r="O293" s="27" t="s">
        <v>365</v>
      </c>
      <c r="P293" s="27" t="s">
        <v>365</v>
      </c>
      <c r="Q293" s="27" t="s">
        <v>365</v>
      </c>
      <c r="R293" s="58">
        <f>'Расчет субсидий'!X293-1</f>
        <v>-1.5400391418799342E-2</v>
      </c>
      <c r="S293" s="58">
        <f>R293*'Расчет субсидий'!Y293</f>
        <v>-0.15400391418799342</v>
      </c>
      <c r="T293" s="53">
        <f t="shared" si="37"/>
        <v>-0.1034580528631585</v>
      </c>
      <c r="U293" s="52">
        <f>'Расчет субсидий'!AB293-1</f>
        <v>0</v>
      </c>
      <c r="V293" s="52">
        <f>U293*'Расчет субсидий'!AC293</f>
        <v>0</v>
      </c>
      <c r="W293" s="53">
        <f t="shared" si="38"/>
        <v>0</v>
      </c>
      <c r="X293" s="27" t="s">
        <v>365</v>
      </c>
      <c r="Y293" s="27" t="s">
        <v>365</v>
      </c>
      <c r="Z293" s="27" t="s">
        <v>365</v>
      </c>
      <c r="AA293" s="27" t="s">
        <v>365</v>
      </c>
      <c r="AB293" s="27" t="s">
        <v>365</v>
      </c>
      <c r="AC293" s="27" t="s">
        <v>365</v>
      </c>
      <c r="AD293" s="27" t="s">
        <v>365</v>
      </c>
      <c r="AE293" s="27" t="s">
        <v>365</v>
      </c>
      <c r="AF293" s="27" t="s">
        <v>365</v>
      </c>
      <c r="AG293" s="52">
        <f t="shared" si="39"/>
        <v>5.8459960858120077</v>
      </c>
      <c r="AH293" s="80"/>
    </row>
    <row r="294" spans="1:34" ht="15" customHeight="1">
      <c r="A294" s="33" t="s">
        <v>51</v>
      </c>
      <c r="B294" s="50">
        <f>'Расчет субсидий'!AT294</f>
        <v>-0.38181818181818272</v>
      </c>
      <c r="C294" s="52">
        <f>'Расчет субсидий'!D294-1</f>
        <v>0.1796151844040228</v>
      </c>
      <c r="D294" s="52">
        <f>C294*'Расчет субсидий'!E294</f>
        <v>0.89807592202011399</v>
      </c>
      <c r="E294" s="53">
        <f t="shared" si="35"/>
        <v>0.28967811741135546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2">
        <f>'Расчет субсидий'!P294-1</f>
        <v>-1.5546739399950327E-2</v>
      </c>
      <c r="M294" s="52">
        <f>L294*'Расчет субсидий'!Q294</f>
        <v>-0.31093478799900653</v>
      </c>
      <c r="N294" s="53">
        <f t="shared" si="36"/>
        <v>-0.1002933068538874</v>
      </c>
      <c r="O294" s="27" t="s">
        <v>365</v>
      </c>
      <c r="P294" s="27" t="s">
        <v>365</v>
      </c>
      <c r="Q294" s="27" t="s">
        <v>365</v>
      </c>
      <c r="R294" s="58">
        <f>'Расчет субсидий'!X294-1</f>
        <v>-3.2779478374806992E-3</v>
      </c>
      <c r="S294" s="58">
        <f>R294*'Расчет субсидий'!Y294</f>
        <v>-3.2779478374806992E-2</v>
      </c>
      <c r="T294" s="53">
        <f t="shared" si="37"/>
        <v>-1.0573156848455915E-2</v>
      </c>
      <c r="U294" s="52">
        <f>'Расчет субсидий'!AB294-1</f>
        <v>-8.6904761904761929E-2</v>
      </c>
      <c r="V294" s="52">
        <f>U294*'Расчет субсидий'!AC294</f>
        <v>-1.7380952380952386</v>
      </c>
      <c r="W294" s="53">
        <f t="shared" si="38"/>
        <v>-0.56062983552719492</v>
      </c>
      <c r="X294" s="27" t="s">
        <v>365</v>
      </c>
      <c r="Y294" s="27" t="s">
        <v>365</v>
      </c>
      <c r="Z294" s="27" t="s">
        <v>365</v>
      </c>
      <c r="AA294" s="27" t="s">
        <v>365</v>
      </c>
      <c r="AB294" s="27" t="s">
        <v>365</v>
      </c>
      <c r="AC294" s="27" t="s">
        <v>365</v>
      </c>
      <c r="AD294" s="27" t="s">
        <v>365</v>
      </c>
      <c r="AE294" s="27" t="s">
        <v>365</v>
      </c>
      <c r="AF294" s="27" t="s">
        <v>365</v>
      </c>
      <c r="AG294" s="52">
        <f t="shared" si="39"/>
        <v>-1.1837335824489381</v>
      </c>
      <c r="AH294" s="80"/>
    </row>
    <row r="295" spans="1:34" ht="15" customHeight="1">
      <c r="A295" s="33" t="s">
        <v>276</v>
      </c>
      <c r="B295" s="50">
        <f>'Расчет субсидий'!AT295</f>
        <v>-23.272727272727252</v>
      </c>
      <c r="C295" s="52">
        <f>'Расчет субсидий'!D295-1</f>
        <v>-0.31085665818490249</v>
      </c>
      <c r="D295" s="52">
        <f>C295*'Расчет субсидий'!E295</f>
        <v>-1.5542832909245123</v>
      </c>
      <c r="E295" s="53">
        <f t="shared" si="35"/>
        <v>-8.6425984354705463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2">
        <f>'Расчет субсидий'!P295-1</f>
        <v>0.22736052039029264</v>
      </c>
      <c r="M295" s="52">
        <f>L295*'Расчет субсидий'!Q295</f>
        <v>4.5472104078058528</v>
      </c>
      <c r="N295" s="53">
        <f t="shared" si="36"/>
        <v>25.284781600452103</v>
      </c>
      <c r="O295" s="27" t="s">
        <v>365</v>
      </c>
      <c r="P295" s="27" t="s">
        <v>365</v>
      </c>
      <c r="Q295" s="27" t="s">
        <v>365</v>
      </c>
      <c r="R295" s="58">
        <f>'Расчет субсидий'!X295-1</f>
        <v>-0.71782900496060686</v>
      </c>
      <c r="S295" s="58">
        <f>R295*'Расчет субсидий'!Y295</f>
        <v>-7.1782900496060691</v>
      </c>
      <c r="T295" s="53">
        <f t="shared" si="37"/>
        <v>-39.914910437708805</v>
      </c>
      <c r="U295" s="52">
        <f>'Расчет субсидий'!AB295-1</f>
        <v>0</v>
      </c>
      <c r="V295" s="52">
        <f>U295*'Расчет субсидий'!AC295</f>
        <v>0</v>
      </c>
      <c r="W295" s="53">
        <f t="shared" si="38"/>
        <v>0</v>
      </c>
      <c r="X295" s="27" t="s">
        <v>365</v>
      </c>
      <c r="Y295" s="27" t="s">
        <v>365</v>
      </c>
      <c r="Z295" s="27" t="s">
        <v>365</v>
      </c>
      <c r="AA295" s="27" t="s">
        <v>365</v>
      </c>
      <c r="AB295" s="27" t="s">
        <v>365</v>
      </c>
      <c r="AC295" s="27" t="s">
        <v>365</v>
      </c>
      <c r="AD295" s="27" t="s">
        <v>365</v>
      </c>
      <c r="AE295" s="27" t="s">
        <v>365</v>
      </c>
      <c r="AF295" s="27" t="s">
        <v>365</v>
      </c>
      <c r="AG295" s="52">
        <f t="shared" si="39"/>
        <v>-4.185362932724729</v>
      </c>
      <c r="AH295" s="80"/>
    </row>
    <row r="296" spans="1:34" ht="15" customHeight="1">
      <c r="A296" s="33" t="s">
        <v>277</v>
      </c>
      <c r="B296" s="50">
        <f>'Расчет субсидий'!AT296</f>
        <v>-17.672727272727229</v>
      </c>
      <c r="C296" s="52">
        <f>'Расчет субсидий'!D296-1</f>
        <v>0.30000000000000004</v>
      </c>
      <c r="D296" s="52">
        <f>C296*'Расчет субсидий'!E296</f>
        <v>1.5000000000000002</v>
      </c>
      <c r="E296" s="53">
        <f t="shared" si="35"/>
        <v>8.1164930657732128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2">
        <f>'Расчет субсидий'!P296-1</f>
        <v>-0.27161530159491543</v>
      </c>
      <c r="M296" s="52">
        <f>L296*'Расчет субсидий'!Q296</f>
        <v>-5.4323060318983085</v>
      </c>
      <c r="N296" s="53">
        <f t="shared" si="36"/>
        <v>-29.394182826040407</v>
      </c>
      <c r="O296" s="27" t="s">
        <v>365</v>
      </c>
      <c r="P296" s="27" t="s">
        <v>365</v>
      </c>
      <c r="Q296" s="27" t="s">
        <v>365</v>
      </c>
      <c r="R296" s="58">
        <f>'Расчет субсидий'!X296-1</f>
        <v>0.23367627255588475</v>
      </c>
      <c r="S296" s="58">
        <f>R296*'Расчет субсидий'!Y296</f>
        <v>2.3367627255588475</v>
      </c>
      <c r="T296" s="53">
        <f t="shared" si="37"/>
        <v>12.644212305570463</v>
      </c>
      <c r="U296" s="52">
        <f>'Расчет субсидий'!AB296-1</f>
        <v>-8.3526682134570818E-2</v>
      </c>
      <c r="V296" s="52">
        <f>U296*'Расчет субсидий'!AC296</f>
        <v>-1.6705336426914164</v>
      </c>
      <c r="W296" s="53">
        <f t="shared" si="38"/>
        <v>-9.0392498180304965</v>
      </c>
      <c r="X296" s="27" t="s">
        <v>365</v>
      </c>
      <c r="Y296" s="27" t="s">
        <v>365</v>
      </c>
      <c r="Z296" s="27" t="s">
        <v>365</v>
      </c>
      <c r="AA296" s="27" t="s">
        <v>365</v>
      </c>
      <c r="AB296" s="27" t="s">
        <v>365</v>
      </c>
      <c r="AC296" s="27" t="s">
        <v>365</v>
      </c>
      <c r="AD296" s="27" t="s">
        <v>365</v>
      </c>
      <c r="AE296" s="27" t="s">
        <v>365</v>
      </c>
      <c r="AF296" s="27" t="s">
        <v>365</v>
      </c>
      <c r="AG296" s="52">
        <f t="shared" si="39"/>
        <v>-3.2660769490308774</v>
      </c>
      <c r="AH296" s="80"/>
    </row>
    <row r="297" spans="1:34" ht="15" customHeight="1">
      <c r="A297" s="33" t="s">
        <v>278</v>
      </c>
      <c r="B297" s="50">
        <f>'Расчет субсидий'!AT297</f>
        <v>3.8090909090909406</v>
      </c>
      <c r="C297" s="52">
        <f>'Расчет субсидий'!D297-1</f>
        <v>-1</v>
      </c>
      <c r="D297" s="52">
        <f>C297*'Расчет субсидий'!E297</f>
        <v>0</v>
      </c>
      <c r="E297" s="53">
        <f t="shared" si="35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2">
        <f>'Расчет субсидий'!P297-1</f>
        <v>0.23178420071198502</v>
      </c>
      <c r="M297" s="52">
        <f>L297*'Расчет субсидий'!Q297</f>
        <v>4.6356840142397004</v>
      </c>
      <c r="N297" s="53">
        <f t="shared" si="36"/>
        <v>22.781841589427689</v>
      </c>
      <c r="O297" s="27" t="s">
        <v>365</v>
      </c>
      <c r="P297" s="27" t="s">
        <v>365</v>
      </c>
      <c r="Q297" s="27" t="s">
        <v>365</v>
      </c>
      <c r="R297" s="58">
        <f>'Расчет субсидий'!X297-1</f>
        <v>-0.38606043628978604</v>
      </c>
      <c r="S297" s="58">
        <f>R297*'Расчет субсидий'!Y297</f>
        <v>-3.8606043628978606</v>
      </c>
      <c r="T297" s="53">
        <f t="shared" si="37"/>
        <v>-18.972750680336748</v>
      </c>
      <c r="U297" s="52">
        <f>'Расчет субсидий'!AB297-1</f>
        <v>0</v>
      </c>
      <c r="V297" s="52">
        <f>U297*'Расчет субсидий'!AC297</f>
        <v>0</v>
      </c>
      <c r="W297" s="53">
        <f t="shared" si="38"/>
        <v>0</v>
      </c>
      <c r="X297" s="27" t="s">
        <v>365</v>
      </c>
      <c r="Y297" s="27" t="s">
        <v>365</v>
      </c>
      <c r="Z297" s="27" t="s">
        <v>365</v>
      </c>
      <c r="AA297" s="27" t="s">
        <v>365</v>
      </c>
      <c r="AB297" s="27" t="s">
        <v>365</v>
      </c>
      <c r="AC297" s="27" t="s">
        <v>365</v>
      </c>
      <c r="AD297" s="27" t="s">
        <v>365</v>
      </c>
      <c r="AE297" s="27" t="s">
        <v>365</v>
      </c>
      <c r="AF297" s="27" t="s">
        <v>365</v>
      </c>
      <c r="AG297" s="52">
        <f t="shared" si="39"/>
        <v>0.77507965134183987</v>
      </c>
      <c r="AH297" s="80"/>
    </row>
    <row r="298" spans="1:34" ht="15" customHeight="1">
      <c r="A298" s="33" t="s">
        <v>279</v>
      </c>
      <c r="B298" s="50">
        <f>'Расчет субсидий'!AT298</f>
        <v>-3.1727272727272293</v>
      </c>
      <c r="C298" s="52">
        <f>'Расчет субсидий'!D298-1</f>
        <v>-6.0606666666666698E-2</v>
      </c>
      <c r="D298" s="52">
        <f>C298*'Расчет субсидий'!E298</f>
        <v>-0.30303333333333349</v>
      </c>
      <c r="E298" s="53">
        <f t="shared" si="35"/>
        <v>-1.7964629564057604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2">
        <f>'Расчет субсидий'!P298-1</f>
        <v>-5.5797864340502379E-2</v>
      </c>
      <c r="M298" s="52">
        <f>L298*'Расчет субсидий'!Q298</f>
        <v>-1.1159572868100476</v>
      </c>
      <c r="N298" s="53">
        <f t="shared" si="36"/>
        <v>-6.6156944011175716</v>
      </c>
      <c r="O298" s="27" t="s">
        <v>365</v>
      </c>
      <c r="P298" s="27" t="s">
        <v>365</v>
      </c>
      <c r="Q298" s="27" t="s">
        <v>365</v>
      </c>
      <c r="R298" s="58">
        <f>'Расчет субсидий'!X298-1</f>
        <v>7.7165492187158069E-2</v>
      </c>
      <c r="S298" s="58">
        <f>R298*'Расчет субсидий'!Y298</f>
        <v>0.77165492187158069</v>
      </c>
      <c r="T298" s="53">
        <f t="shared" si="37"/>
        <v>4.5745775457171103</v>
      </c>
      <c r="U298" s="52">
        <f>'Расчет субсидий'!AB298-1</f>
        <v>5.6074766355140859E-3</v>
      </c>
      <c r="V298" s="52">
        <f>U298*'Расчет субсидий'!AC298</f>
        <v>0.11214953271028172</v>
      </c>
      <c r="W298" s="53">
        <f t="shared" si="38"/>
        <v>0.66485253907899167</v>
      </c>
      <c r="X298" s="27" t="s">
        <v>365</v>
      </c>
      <c r="Y298" s="27" t="s">
        <v>365</v>
      </c>
      <c r="Z298" s="27" t="s">
        <v>365</v>
      </c>
      <c r="AA298" s="27" t="s">
        <v>365</v>
      </c>
      <c r="AB298" s="27" t="s">
        <v>365</v>
      </c>
      <c r="AC298" s="27" t="s">
        <v>365</v>
      </c>
      <c r="AD298" s="27" t="s">
        <v>365</v>
      </c>
      <c r="AE298" s="27" t="s">
        <v>365</v>
      </c>
      <c r="AF298" s="27" t="s">
        <v>365</v>
      </c>
      <c r="AG298" s="52">
        <f t="shared" si="39"/>
        <v>-0.53518616556151866</v>
      </c>
      <c r="AH298" s="80"/>
    </row>
    <row r="299" spans="1:34" ht="15" customHeight="1">
      <c r="A299" s="33" t="s">
        <v>280</v>
      </c>
      <c r="B299" s="50">
        <f>'Расчет субсидий'!AT299</f>
        <v>-24.763636363636358</v>
      </c>
      <c r="C299" s="52">
        <f>'Расчет субсидий'!D299-1</f>
        <v>-1</v>
      </c>
      <c r="D299" s="52">
        <f>C299*'Расчет субсидий'!E299</f>
        <v>0</v>
      </c>
      <c r="E299" s="53">
        <f t="shared" si="35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2">
        <f>'Расчет субсидий'!P299-1</f>
        <v>-0.78415417558886513</v>
      </c>
      <c r="M299" s="52">
        <f>L299*'Расчет субсидий'!Q299</f>
        <v>-15.683083511777303</v>
      </c>
      <c r="N299" s="53">
        <f t="shared" si="36"/>
        <v>-17.388784871291065</v>
      </c>
      <c r="O299" s="27" t="s">
        <v>365</v>
      </c>
      <c r="P299" s="27" t="s">
        <v>365</v>
      </c>
      <c r="Q299" s="27" t="s">
        <v>365</v>
      </c>
      <c r="R299" s="58">
        <f>'Расчет субсидий'!X299-1</f>
        <v>-0.50980392156862742</v>
      </c>
      <c r="S299" s="58">
        <f>R299*'Расчет субсидий'!Y299</f>
        <v>-5.0980392156862742</v>
      </c>
      <c r="T299" s="53">
        <f t="shared" si="37"/>
        <v>-5.6525049503436477</v>
      </c>
      <c r="U299" s="52">
        <f>'Расчет субсидий'!AB299-1</f>
        <v>-7.7669902912621325E-2</v>
      </c>
      <c r="V299" s="52">
        <f>U299*'Расчет субсидий'!AC299</f>
        <v>-1.5533980582524265</v>
      </c>
      <c r="W299" s="53">
        <f t="shared" si="38"/>
        <v>-1.7223465420016486</v>
      </c>
      <c r="X299" s="27" t="s">
        <v>365</v>
      </c>
      <c r="Y299" s="27" t="s">
        <v>365</v>
      </c>
      <c r="Z299" s="27" t="s">
        <v>365</v>
      </c>
      <c r="AA299" s="27" t="s">
        <v>365</v>
      </c>
      <c r="AB299" s="27" t="s">
        <v>365</v>
      </c>
      <c r="AC299" s="27" t="s">
        <v>365</v>
      </c>
      <c r="AD299" s="27" t="s">
        <v>365</v>
      </c>
      <c r="AE299" s="27" t="s">
        <v>365</v>
      </c>
      <c r="AF299" s="27" t="s">
        <v>365</v>
      </c>
      <c r="AG299" s="52">
        <f t="shared" si="39"/>
        <v>-22.334520785716002</v>
      </c>
      <c r="AH299" s="80"/>
    </row>
    <row r="300" spans="1:34" ht="15" customHeight="1">
      <c r="A300" s="33" t="s">
        <v>281</v>
      </c>
      <c r="B300" s="50">
        <f>'Расчет субсидий'!AT300</f>
        <v>-37.599999999999994</v>
      </c>
      <c r="C300" s="52">
        <f>'Расчет субсидий'!D300-1</f>
        <v>0.27488117001828138</v>
      </c>
      <c r="D300" s="52">
        <f>C300*'Расчет субсидий'!E300</f>
        <v>1.3744058500914069</v>
      </c>
      <c r="E300" s="53">
        <f t="shared" si="35"/>
        <v>5.4026239761872095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2">
        <f>'Расчет субсидий'!P300-1</f>
        <v>-0.47984538928768627</v>
      </c>
      <c r="M300" s="52">
        <f>L300*'Расчет субсидий'!Q300</f>
        <v>-9.5969077857537251</v>
      </c>
      <c r="N300" s="53">
        <f t="shared" si="36"/>
        <v>-37.724289442687187</v>
      </c>
      <c r="O300" s="27" t="s">
        <v>365</v>
      </c>
      <c r="P300" s="27" t="s">
        <v>365</v>
      </c>
      <c r="Q300" s="27" t="s">
        <v>365</v>
      </c>
      <c r="R300" s="58">
        <f>'Расчет субсидий'!X300-1</f>
        <v>-0.1342787114845938</v>
      </c>
      <c r="S300" s="58">
        <f>R300*'Расчет субсидий'!Y300</f>
        <v>-1.342787114845938</v>
      </c>
      <c r="T300" s="53">
        <f t="shared" si="37"/>
        <v>-5.2783345335000105</v>
      </c>
      <c r="U300" s="52">
        <f>'Расчет субсидий'!AB300-1</f>
        <v>0</v>
      </c>
      <c r="V300" s="52">
        <f>U300*'Расчет субсидий'!AC300</f>
        <v>0</v>
      </c>
      <c r="W300" s="53">
        <f t="shared" si="38"/>
        <v>0</v>
      </c>
      <c r="X300" s="27" t="s">
        <v>365</v>
      </c>
      <c r="Y300" s="27" t="s">
        <v>365</v>
      </c>
      <c r="Z300" s="27" t="s">
        <v>365</v>
      </c>
      <c r="AA300" s="27" t="s">
        <v>365</v>
      </c>
      <c r="AB300" s="27" t="s">
        <v>365</v>
      </c>
      <c r="AC300" s="27" t="s">
        <v>365</v>
      </c>
      <c r="AD300" s="27" t="s">
        <v>365</v>
      </c>
      <c r="AE300" s="27" t="s">
        <v>365</v>
      </c>
      <c r="AF300" s="27" t="s">
        <v>365</v>
      </c>
      <c r="AG300" s="52">
        <f t="shared" si="39"/>
        <v>-9.5652890505082571</v>
      </c>
      <c r="AH300" s="80"/>
    </row>
    <row r="301" spans="1:34" ht="15" customHeight="1">
      <c r="A301" s="33" t="s">
        <v>282</v>
      </c>
      <c r="B301" s="50">
        <f>'Расчет субсидий'!AT301</f>
        <v>-94.436363636363637</v>
      </c>
      <c r="C301" s="52">
        <f>'Расчет субсидий'!D301-1</f>
        <v>-1</v>
      </c>
      <c r="D301" s="52">
        <f>C301*'Расчет субсидий'!E301</f>
        <v>0</v>
      </c>
      <c r="E301" s="53">
        <f t="shared" si="35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2">
        <f>'Расчет субсидий'!P301-1</f>
        <v>-0.34671902710919678</v>
      </c>
      <c r="M301" s="52">
        <f>L301*'Расчет субсидий'!Q301</f>
        <v>-6.934380542183936</v>
      </c>
      <c r="N301" s="53">
        <f t="shared" si="36"/>
        <v>-56.394744690410491</v>
      </c>
      <c r="O301" s="27" t="s">
        <v>365</v>
      </c>
      <c r="P301" s="27" t="s">
        <v>365</v>
      </c>
      <c r="Q301" s="27" t="s">
        <v>365</v>
      </c>
      <c r="R301" s="58">
        <f>'Расчет субсидий'!X301-1</f>
        <v>-0.46072307401097856</v>
      </c>
      <c r="S301" s="58">
        <f>R301*'Расчет субсидий'!Y301</f>
        <v>-4.6072307401097854</v>
      </c>
      <c r="T301" s="53">
        <f t="shared" si="37"/>
        <v>-37.468898589818757</v>
      </c>
      <c r="U301" s="52">
        <f>'Расчет субсидий'!AB301-1</f>
        <v>-3.5211267605633756E-3</v>
      </c>
      <c r="V301" s="52">
        <f>U301*'Расчет субсидий'!AC301</f>
        <v>-7.0422535211267512E-2</v>
      </c>
      <c r="W301" s="53">
        <f t="shared" si="38"/>
        <v>-0.57272035613437644</v>
      </c>
      <c r="X301" s="27" t="s">
        <v>365</v>
      </c>
      <c r="Y301" s="27" t="s">
        <v>365</v>
      </c>
      <c r="Z301" s="27" t="s">
        <v>365</v>
      </c>
      <c r="AA301" s="27" t="s">
        <v>365</v>
      </c>
      <c r="AB301" s="27" t="s">
        <v>365</v>
      </c>
      <c r="AC301" s="27" t="s">
        <v>365</v>
      </c>
      <c r="AD301" s="27" t="s">
        <v>365</v>
      </c>
      <c r="AE301" s="27" t="s">
        <v>365</v>
      </c>
      <c r="AF301" s="27" t="s">
        <v>365</v>
      </c>
      <c r="AG301" s="52">
        <f t="shared" si="39"/>
        <v>-11.61203381750499</v>
      </c>
      <c r="AH301" s="80"/>
    </row>
    <row r="302" spans="1:34" ht="15" customHeight="1">
      <c r="A302" s="33" t="s">
        <v>283</v>
      </c>
      <c r="B302" s="50">
        <f>'Расчет субсидий'!AT302</f>
        <v>-1.8818181818181827</v>
      </c>
      <c r="C302" s="52">
        <f>'Расчет субсидий'!D302-1</f>
        <v>-1</v>
      </c>
      <c r="D302" s="52">
        <f>C302*'Расчет субсидий'!E302</f>
        <v>0</v>
      </c>
      <c r="E302" s="53">
        <f t="shared" si="35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2">
        <f>'Расчет субсидий'!P302-1</f>
        <v>-0.27103236845857681</v>
      </c>
      <c r="M302" s="52">
        <f>L302*'Расчет субсидий'!Q302</f>
        <v>-5.4206473691715367</v>
      </c>
      <c r="N302" s="53">
        <f t="shared" si="36"/>
        <v>-1.5534454029344751</v>
      </c>
      <c r="O302" s="27" t="s">
        <v>365</v>
      </c>
      <c r="P302" s="27" t="s">
        <v>365</v>
      </c>
      <c r="Q302" s="27" t="s">
        <v>365</v>
      </c>
      <c r="R302" s="58">
        <f>'Расчет субсидий'!X302-1</f>
        <v>-0.35589983022071303</v>
      </c>
      <c r="S302" s="58">
        <f>R302*'Расчет субсидий'!Y302</f>
        <v>-3.5589983022071303</v>
      </c>
      <c r="T302" s="53">
        <f t="shared" si="37"/>
        <v>-1.0199352909503585</v>
      </c>
      <c r="U302" s="52">
        <f>'Расчет субсидий'!AB302-1</f>
        <v>0.12065813528336378</v>
      </c>
      <c r="V302" s="52">
        <f>U302*'Расчет субсидий'!AC302</f>
        <v>2.4131627056672755</v>
      </c>
      <c r="W302" s="53">
        <f t="shared" si="38"/>
        <v>0.69156251206665054</v>
      </c>
      <c r="X302" s="27" t="s">
        <v>365</v>
      </c>
      <c r="Y302" s="27" t="s">
        <v>365</v>
      </c>
      <c r="Z302" s="27" t="s">
        <v>365</v>
      </c>
      <c r="AA302" s="27" t="s">
        <v>365</v>
      </c>
      <c r="AB302" s="27" t="s">
        <v>365</v>
      </c>
      <c r="AC302" s="27" t="s">
        <v>365</v>
      </c>
      <c r="AD302" s="27" t="s">
        <v>365</v>
      </c>
      <c r="AE302" s="27" t="s">
        <v>365</v>
      </c>
      <c r="AF302" s="27" t="s">
        <v>365</v>
      </c>
      <c r="AG302" s="52">
        <f t="shared" si="39"/>
        <v>-6.5664829657113906</v>
      </c>
      <c r="AH302" s="80"/>
    </row>
    <row r="303" spans="1:34" ht="15" customHeight="1">
      <c r="A303" s="33" t="s">
        <v>284</v>
      </c>
      <c r="B303" s="50">
        <f>'Расчет субсидий'!AT303</f>
        <v>-5.3909090909091049</v>
      </c>
      <c r="C303" s="52">
        <f>'Расчет субсидий'!D303-1</f>
        <v>-1</v>
      </c>
      <c r="D303" s="52">
        <f>C303*'Расчет субсидий'!E303</f>
        <v>0</v>
      </c>
      <c r="E303" s="53">
        <f t="shared" si="35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2">
        <f>'Расчет субсидий'!P303-1</f>
        <v>0.21980128579777913</v>
      </c>
      <c r="M303" s="52">
        <f>L303*'Расчет субсидий'!Q303</f>
        <v>4.3960257159555827</v>
      </c>
      <c r="N303" s="53">
        <f t="shared" si="36"/>
        <v>13.747715842046651</v>
      </c>
      <c r="O303" s="27" t="s">
        <v>365</v>
      </c>
      <c r="P303" s="27" t="s">
        <v>365</v>
      </c>
      <c r="Q303" s="27" t="s">
        <v>365</v>
      </c>
      <c r="R303" s="58">
        <f>'Расчет субсидий'!X303-1</f>
        <v>-0.60154061624649857</v>
      </c>
      <c r="S303" s="58">
        <f>R303*'Расчет субсидий'!Y303</f>
        <v>-6.0154061624649859</v>
      </c>
      <c r="T303" s="53">
        <f t="shared" si="37"/>
        <v>-18.812013381975518</v>
      </c>
      <c r="U303" s="52">
        <f>'Расчет субсидий'!AB303-1</f>
        <v>-5.2219321148825326E-3</v>
      </c>
      <c r="V303" s="52">
        <f>U303*'Расчет субсидий'!AC303</f>
        <v>-0.10443864229765065</v>
      </c>
      <c r="W303" s="53">
        <f t="shared" si="38"/>
        <v>-0.32661155098023603</v>
      </c>
      <c r="X303" s="27" t="s">
        <v>365</v>
      </c>
      <c r="Y303" s="27" t="s">
        <v>365</v>
      </c>
      <c r="Z303" s="27" t="s">
        <v>365</v>
      </c>
      <c r="AA303" s="27" t="s">
        <v>365</v>
      </c>
      <c r="AB303" s="27" t="s">
        <v>365</v>
      </c>
      <c r="AC303" s="27" t="s">
        <v>365</v>
      </c>
      <c r="AD303" s="27" t="s">
        <v>365</v>
      </c>
      <c r="AE303" s="27" t="s">
        <v>365</v>
      </c>
      <c r="AF303" s="27" t="s">
        <v>365</v>
      </c>
      <c r="AG303" s="52">
        <f t="shared" si="39"/>
        <v>-1.7238190888070539</v>
      </c>
      <c r="AH303" s="80"/>
    </row>
    <row r="304" spans="1:34" ht="15" customHeight="1">
      <c r="A304" s="33" t="s">
        <v>285</v>
      </c>
      <c r="B304" s="50">
        <f>'Расчет субсидий'!AT304</f>
        <v>-1.9272727272727259</v>
      </c>
      <c r="C304" s="52">
        <f>'Расчет субсидий'!D304-1</f>
        <v>-1</v>
      </c>
      <c r="D304" s="52">
        <f>C304*'Расчет субсидий'!E304</f>
        <v>0</v>
      </c>
      <c r="E304" s="53">
        <f t="shared" si="35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2">
        <f>'Расчет субсидий'!P304-1</f>
        <v>-0.29440337909186898</v>
      </c>
      <c r="M304" s="52">
        <f>L304*'Расчет субсидий'!Q304</f>
        <v>-5.8880675818373795</v>
      </c>
      <c r="N304" s="53">
        <f t="shared" si="36"/>
        <v>-3.9292404852916727</v>
      </c>
      <c r="O304" s="27" t="s">
        <v>365</v>
      </c>
      <c r="P304" s="27" t="s">
        <v>365</v>
      </c>
      <c r="Q304" s="27" t="s">
        <v>365</v>
      </c>
      <c r="R304" s="58">
        <f>'Расчет субсидий'!X304-1</f>
        <v>0.30000000000000004</v>
      </c>
      <c r="S304" s="58">
        <f>R304*'Расчет субсидий'!Y304</f>
        <v>3.0000000000000004</v>
      </c>
      <c r="T304" s="53">
        <f t="shared" si="37"/>
        <v>2.0019677580189468</v>
      </c>
      <c r="U304" s="52">
        <f>'Расчет субсидий'!AB304-1</f>
        <v>0</v>
      </c>
      <c r="V304" s="52">
        <f>U304*'Расчет субсидий'!AC304</f>
        <v>0</v>
      </c>
      <c r="W304" s="53">
        <f t="shared" si="38"/>
        <v>0</v>
      </c>
      <c r="X304" s="27" t="s">
        <v>365</v>
      </c>
      <c r="Y304" s="27" t="s">
        <v>365</v>
      </c>
      <c r="Z304" s="27" t="s">
        <v>365</v>
      </c>
      <c r="AA304" s="27" t="s">
        <v>365</v>
      </c>
      <c r="AB304" s="27" t="s">
        <v>365</v>
      </c>
      <c r="AC304" s="27" t="s">
        <v>365</v>
      </c>
      <c r="AD304" s="27" t="s">
        <v>365</v>
      </c>
      <c r="AE304" s="27" t="s">
        <v>365</v>
      </c>
      <c r="AF304" s="27" t="s">
        <v>365</v>
      </c>
      <c r="AG304" s="52">
        <f t="shared" si="39"/>
        <v>-2.8880675818373791</v>
      </c>
      <c r="AH304" s="80"/>
    </row>
    <row r="305" spans="1:34" ht="15" customHeight="1">
      <c r="A305" s="33" t="s">
        <v>286</v>
      </c>
      <c r="B305" s="50">
        <f>'Расчет субсидий'!AT305</f>
        <v>-1.4727272727272762</v>
      </c>
      <c r="C305" s="52">
        <f>'Расчет субсидий'!D305-1</f>
        <v>-0.52904726735598229</v>
      </c>
      <c r="D305" s="52">
        <f>C305*'Расчет субсидий'!E305</f>
        <v>-2.6452363367799112</v>
      </c>
      <c r="E305" s="53">
        <f t="shared" si="35"/>
        <v>-1.8029901941988369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2">
        <f>'Расчет субсидий'!P305-1</f>
        <v>-0.12037762603082203</v>
      </c>
      <c r="M305" s="52">
        <f>L305*'Расчет субсидий'!Q305</f>
        <v>-2.4075525206164405</v>
      </c>
      <c r="N305" s="53">
        <f t="shared" si="36"/>
        <v>-1.6409851650436091</v>
      </c>
      <c r="O305" s="27" t="s">
        <v>365</v>
      </c>
      <c r="P305" s="27" t="s">
        <v>365</v>
      </c>
      <c r="Q305" s="27" t="s">
        <v>365</v>
      </c>
      <c r="R305" s="58">
        <f>'Расчет субсидий'!X305-1</f>
        <v>0.20262931034482756</v>
      </c>
      <c r="S305" s="58">
        <f>R305*'Расчет субсидий'!Y305</f>
        <v>2.0262931034482756</v>
      </c>
      <c r="T305" s="53">
        <f t="shared" si="37"/>
        <v>1.3811191632643669</v>
      </c>
      <c r="U305" s="52">
        <f>'Расчет субсидий'!AB305-1</f>
        <v>4.3290043290043378E-2</v>
      </c>
      <c r="V305" s="52">
        <f>U305*'Расчет субсидий'!AC305</f>
        <v>0.86580086580086757</v>
      </c>
      <c r="W305" s="53">
        <f t="shared" si="38"/>
        <v>0.59012892325080291</v>
      </c>
      <c r="X305" s="27" t="s">
        <v>365</v>
      </c>
      <c r="Y305" s="27" t="s">
        <v>365</v>
      </c>
      <c r="Z305" s="27" t="s">
        <v>365</v>
      </c>
      <c r="AA305" s="27" t="s">
        <v>365</v>
      </c>
      <c r="AB305" s="27" t="s">
        <v>365</v>
      </c>
      <c r="AC305" s="27" t="s">
        <v>365</v>
      </c>
      <c r="AD305" s="27" t="s">
        <v>365</v>
      </c>
      <c r="AE305" s="27" t="s">
        <v>365</v>
      </c>
      <c r="AF305" s="27" t="s">
        <v>365</v>
      </c>
      <c r="AG305" s="52">
        <f t="shared" si="39"/>
        <v>-2.1606948881472086</v>
      </c>
      <c r="AH305" s="80"/>
    </row>
    <row r="306" spans="1:34" ht="15" customHeight="1">
      <c r="A306" s="33" t="s">
        <v>287</v>
      </c>
      <c r="B306" s="50">
        <f>'Расчет субсидий'!AT306</f>
        <v>-0.43636363636363651</v>
      </c>
      <c r="C306" s="52">
        <f>'Расчет субсидий'!D306-1</f>
        <v>0.27506230610444105</v>
      </c>
      <c r="D306" s="52">
        <f>C306*'Расчет субсидий'!E306</f>
        <v>1.3753115305222052</v>
      </c>
      <c r="E306" s="53">
        <f t="shared" si="35"/>
        <v>0.17456480859404916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2">
        <f>'Расчет субсидий'!P306-1</f>
        <v>-0.1909490076693402</v>
      </c>
      <c r="M306" s="52">
        <f>L306*'Расчет субсидий'!Q306</f>
        <v>-3.818980153386804</v>
      </c>
      <c r="N306" s="53">
        <f t="shared" si="36"/>
        <v>-0.48473347652899373</v>
      </c>
      <c r="O306" s="27" t="s">
        <v>365</v>
      </c>
      <c r="P306" s="27" t="s">
        <v>365</v>
      </c>
      <c r="Q306" s="27" t="s">
        <v>365</v>
      </c>
      <c r="R306" s="58">
        <f>'Расчет субсидий'!X306-1</f>
        <v>-0.50557674620552495</v>
      </c>
      <c r="S306" s="58">
        <f>R306*'Расчет субсидий'!Y306</f>
        <v>-5.0557674620552495</v>
      </c>
      <c r="T306" s="53">
        <f t="shared" si="37"/>
        <v>-0.64171575655632651</v>
      </c>
      <c r="U306" s="52">
        <f>'Расчет субсидий'!AB306-1</f>
        <v>0.20307692307692315</v>
      </c>
      <c r="V306" s="52">
        <f>U306*'Расчет субсидий'!AC306</f>
        <v>4.0615384615384631</v>
      </c>
      <c r="W306" s="53">
        <f t="shared" si="38"/>
        <v>0.51552078812763458</v>
      </c>
      <c r="X306" s="27" t="s">
        <v>365</v>
      </c>
      <c r="Y306" s="27" t="s">
        <v>365</v>
      </c>
      <c r="Z306" s="27" t="s">
        <v>365</v>
      </c>
      <c r="AA306" s="27" t="s">
        <v>365</v>
      </c>
      <c r="AB306" s="27" t="s">
        <v>365</v>
      </c>
      <c r="AC306" s="27" t="s">
        <v>365</v>
      </c>
      <c r="AD306" s="27" t="s">
        <v>365</v>
      </c>
      <c r="AE306" s="27" t="s">
        <v>365</v>
      </c>
      <c r="AF306" s="27" t="s">
        <v>365</v>
      </c>
      <c r="AG306" s="52">
        <f t="shared" si="39"/>
        <v>-3.4378976233813852</v>
      </c>
      <c r="AH306" s="80"/>
    </row>
    <row r="307" spans="1:34" ht="15" customHeight="1">
      <c r="A307" s="33" t="s">
        <v>288</v>
      </c>
      <c r="B307" s="50">
        <f>'Расчет субсидий'!AT307</f>
        <v>0.61818181818181817</v>
      </c>
      <c r="C307" s="52">
        <f>'Расчет субсидий'!D307-1</f>
        <v>7.0550060187366537E-3</v>
      </c>
      <c r="D307" s="52">
        <f>C307*'Расчет субсидий'!E307</f>
        <v>3.5275030093683268E-2</v>
      </c>
      <c r="E307" s="53">
        <f t="shared" si="35"/>
        <v>3.3227778443335218E-3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2">
        <f>'Расчет субсидий'!P307-1</f>
        <v>0.25658516369664319</v>
      </c>
      <c r="M307" s="52">
        <f>L307*'Расчет субсидий'!Q307</f>
        <v>5.1317032739328639</v>
      </c>
      <c r="N307" s="53">
        <f t="shared" si="36"/>
        <v>0.48338753778615051</v>
      </c>
      <c r="O307" s="27" t="s">
        <v>365</v>
      </c>
      <c r="P307" s="27" t="s">
        <v>365</v>
      </c>
      <c r="Q307" s="27" t="s">
        <v>365</v>
      </c>
      <c r="R307" s="58">
        <f>'Расчет субсидий'!X307-1</f>
        <v>-0.28709485578352656</v>
      </c>
      <c r="S307" s="58">
        <f>R307*'Расчет субсидий'!Y307</f>
        <v>-2.8709485578352654</v>
      </c>
      <c r="T307" s="53">
        <f t="shared" si="37"/>
        <v>-0.27043277453941983</v>
      </c>
      <c r="U307" s="52">
        <f>'Расчет субсидий'!AB307-1</f>
        <v>0.21333333333333337</v>
      </c>
      <c r="V307" s="52">
        <f>U307*'Расчет субсидий'!AC307</f>
        <v>4.2666666666666675</v>
      </c>
      <c r="W307" s="53">
        <f t="shared" si="38"/>
        <v>0.40190427709075394</v>
      </c>
      <c r="X307" s="27" t="s">
        <v>365</v>
      </c>
      <c r="Y307" s="27" t="s">
        <v>365</v>
      </c>
      <c r="Z307" s="27" t="s">
        <v>365</v>
      </c>
      <c r="AA307" s="27" t="s">
        <v>365</v>
      </c>
      <c r="AB307" s="27" t="s">
        <v>365</v>
      </c>
      <c r="AC307" s="27" t="s">
        <v>365</v>
      </c>
      <c r="AD307" s="27" t="s">
        <v>365</v>
      </c>
      <c r="AE307" s="27" t="s">
        <v>365</v>
      </c>
      <c r="AF307" s="27" t="s">
        <v>365</v>
      </c>
      <c r="AG307" s="52">
        <f t="shared" si="39"/>
        <v>6.5626964128579495</v>
      </c>
      <c r="AH307" s="80"/>
    </row>
    <row r="308" spans="1:34" ht="15" customHeight="1">
      <c r="A308" s="33" t="s">
        <v>289</v>
      </c>
      <c r="B308" s="50">
        <f>'Расчет субсидий'!AT308</f>
        <v>-24.518181818181816</v>
      </c>
      <c r="C308" s="52">
        <f>'Расчет субсидий'!D308-1</f>
        <v>-1</v>
      </c>
      <c r="D308" s="52">
        <f>C308*'Расчет субсидий'!E308</f>
        <v>0</v>
      </c>
      <c r="E308" s="53">
        <f t="shared" si="35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2">
        <f>'Расчет субсидий'!P308-1</f>
        <v>-0.13867248363976314</v>
      </c>
      <c r="M308" s="52">
        <f>L308*'Расчет субсидий'!Q308</f>
        <v>-2.7734496727952629</v>
      </c>
      <c r="N308" s="53">
        <f t="shared" si="36"/>
        <v>-7.3583679230019632</v>
      </c>
      <c r="O308" s="27" t="s">
        <v>365</v>
      </c>
      <c r="P308" s="27" t="s">
        <v>365</v>
      </c>
      <c r="Q308" s="27" t="s">
        <v>365</v>
      </c>
      <c r="R308" s="58">
        <f>'Расчет субсидий'!X308-1</f>
        <v>-0.64677222898903775</v>
      </c>
      <c r="S308" s="58">
        <f>R308*'Расчет субсидий'!Y308</f>
        <v>-6.4677222898903777</v>
      </c>
      <c r="T308" s="53">
        <f t="shared" si="37"/>
        <v>-17.159813895179852</v>
      </c>
      <c r="U308" s="52">
        <f>'Расчет субсидий'!AB308-1</f>
        <v>0</v>
      </c>
      <c r="V308" s="52">
        <f>U308*'Расчет субсидий'!AC308</f>
        <v>0</v>
      </c>
      <c r="W308" s="53">
        <f t="shared" si="38"/>
        <v>0</v>
      </c>
      <c r="X308" s="27" t="s">
        <v>365</v>
      </c>
      <c r="Y308" s="27" t="s">
        <v>365</v>
      </c>
      <c r="Z308" s="27" t="s">
        <v>365</v>
      </c>
      <c r="AA308" s="27" t="s">
        <v>365</v>
      </c>
      <c r="AB308" s="27" t="s">
        <v>365</v>
      </c>
      <c r="AC308" s="27" t="s">
        <v>365</v>
      </c>
      <c r="AD308" s="27" t="s">
        <v>365</v>
      </c>
      <c r="AE308" s="27" t="s">
        <v>365</v>
      </c>
      <c r="AF308" s="27" t="s">
        <v>365</v>
      </c>
      <c r="AG308" s="52">
        <f t="shared" si="39"/>
        <v>-9.241171962685641</v>
      </c>
      <c r="AH308" s="80"/>
    </row>
    <row r="309" spans="1:34" ht="15" customHeight="1">
      <c r="A309" s="33" t="s">
        <v>290</v>
      </c>
      <c r="B309" s="50">
        <f>'Расчет субсидий'!AT309</f>
        <v>-24.481818181818198</v>
      </c>
      <c r="C309" s="52">
        <f>'Расчет субсидий'!D309-1</f>
        <v>0.22661886792452823</v>
      </c>
      <c r="D309" s="52">
        <f>C309*'Расчет субсидий'!E309</f>
        <v>1.1330943396226412</v>
      </c>
      <c r="E309" s="53">
        <f t="shared" si="35"/>
        <v>5.0588852926118255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2">
        <f>'Расчет субсидий'!P309-1</f>
        <v>0.12723112128146452</v>
      </c>
      <c r="M309" s="52">
        <f>L309*'Расчет субсидий'!Q309</f>
        <v>2.5446224256292904</v>
      </c>
      <c r="N309" s="53">
        <f t="shared" si="36"/>
        <v>11.360883656477691</v>
      </c>
      <c r="O309" s="27" t="s">
        <v>365</v>
      </c>
      <c r="P309" s="27" t="s">
        <v>365</v>
      </c>
      <c r="Q309" s="27" t="s">
        <v>365</v>
      </c>
      <c r="R309" s="58">
        <f>'Расчет субсидий'!X309-1</f>
        <v>-0.75450180072028816</v>
      </c>
      <c r="S309" s="58">
        <f>R309*'Расчет субсидий'!Y309</f>
        <v>-7.5450180072028816</v>
      </c>
      <c r="T309" s="53">
        <f t="shared" si="37"/>
        <v>-33.685968850432822</v>
      </c>
      <c r="U309" s="52">
        <f>'Расчет субсидий'!AB309-1</f>
        <v>-8.0808080808080773E-2</v>
      </c>
      <c r="V309" s="52">
        <f>U309*'Расчет субсидий'!AC309</f>
        <v>-1.6161616161616155</v>
      </c>
      <c r="W309" s="53">
        <f t="shared" si="38"/>
        <v>-7.2156182804748914</v>
      </c>
      <c r="X309" s="27" t="s">
        <v>365</v>
      </c>
      <c r="Y309" s="27" t="s">
        <v>365</v>
      </c>
      <c r="Z309" s="27" t="s">
        <v>365</v>
      </c>
      <c r="AA309" s="27" t="s">
        <v>365</v>
      </c>
      <c r="AB309" s="27" t="s">
        <v>365</v>
      </c>
      <c r="AC309" s="27" t="s">
        <v>365</v>
      </c>
      <c r="AD309" s="27" t="s">
        <v>365</v>
      </c>
      <c r="AE309" s="27" t="s">
        <v>365</v>
      </c>
      <c r="AF309" s="27" t="s">
        <v>365</v>
      </c>
      <c r="AG309" s="52">
        <f t="shared" si="39"/>
        <v>-5.4834628581125653</v>
      </c>
      <c r="AH309" s="80"/>
    </row>
    <row r="310" spans="1:34" ht="15" customHeight="1">
      <c r="A310" s="33" t="s">
        <v>291</v>
      </c>
      <c r="B310" s="50">
        <f>'Расчет субсидий'!AT310</f>
        <v>27.563636363636363</v>
      </c>
      <c r="C310" s="52">
        <f>'Расчет субсидий'!D310-1</f>
        <v>0.30000000000000004</v>
      </c>
      <c r="D310" s="52">
        <f>C310*'Расчет субсидий'!E310</f>
        <v>1.5000000000000002</v>
      </c>
      <c r="E310" s="53">
        <f t="shared" si="35"/>
        <v>9.7846070745307419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2">
        <f>'Расчет субсидий'!P310-1</f>
        <v>-0.189873417721519</v>
      </c>
      <c r="M310" s="52">
        <f>L310*'Расчет субсидий'!Q310</f>
        <v>-3.79746835443038</v>
      </c>
      <c r="N310" s="53">
        <f t="shared" si="36"/>
        <v>-24.771157150710739</v>
      </c>
      <c r="O310" s="27" t="s">
        <v>365</v>
      </c>
      <c r="P310" s="27" t="s">
        <v>365</v>
      </c>
      <c r="Q310" s="27" t="s">
        <v>365</v>
      </c>
      <c r="R310" s="58">
        <f>'Расчет субсидий'!X310-1</f>
        <v>0.25193596798399187</v>
      </c>
      <c r="S310" s="58">
        <f>R310*'Расчет субсидий'!Y310</f>
        <v>2.5193596798399187</v>
      </c>
      <c r="T310" s="53">
        <f t="shared" si="37"/>
        <v>16.433963031099445</v>
      </c>
      <c r="U310" s="52">
        <f>'Расчет субсидий'!AB310-1</f>
        <v>0.2001834862385321</v>
      </c>
      <c r="V310" s="52">
        <f>U310*'Расчет субсидий'!AC310</f>
        <v>4.0036697247706421</v>
      </c>
      <c r="W310" s="53">
        <f t="shared" si="38"/>
        <v>26.116223408716913</v>
      </c>
      <c r="X310" s="27" t="s">
        <v>365</v>
      </c>
      <c r="Y310" s="27" t="s">
        <v>365</v>
      </c>
      <c r="Z310" s="27" t="s">
        <v>365</v>
      </c>
      <c r="AA310" s="27" t="s">
        <v>365</v>
      </c>
      <c r="AB310" s="27" t="s">
        <v>365</v>
      </c>
      <c r="AC310" s="27" t="s">
        <v>365</v>
      </c>
      <c r="AD310" s="27" t="s">
        <v>365</v>
      </c>
      <c r="AE310" s="27" t="s">
        <v>365</v>
      </c>
      <c r="AF310" s="27" t="s">
        <v>365</v>
      </c>
      <c r="AG310" s="52">
        <f t="shared" si="39"/>
        <v>4.2255610501801808</v>
      </c>
      <c r="AH310" s="80"/>
    </row>
    <row r="311" spans="1:34" ht="15" customHeight="1">
      <c r="A311" s="33" t="s">
        <v>292</v>
      </c>
      <c r="B311" s="50">
        <f>'Расчет субсидий'!AT311</f>
        <v>1.4363636363636374</v>
      </c>
      <c r="C311" s="52">
        <f>'Расчет субсидий'!D311-1</f>
        <v>-0.13385966473336952</v>
      </c>
      <c r="D311" s="52">
        <f>C311*'Расчет субсидий'!E311</f>
        <v>-0.66929832366684761</v>
      </c>
      <c r="E311" s="53">
        <f t="shared" si="35"/>
        <v>-0.20586644789603023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2">
        <f>'Расчет субсидий'!P311-1</f>
        <v>0.22369375188390817</v>
      </c>
      <c r="M311" s="52">
        <f>L311*'Расчет субсидий'!Q311</f>
        <v>4.4738750376781633</v>
      </c>
      <c r="N311" s="53">
        <f t="shared" si="36"/>
        <v>1.3760990126070787</v>
      </c>
      <c r="O311" s="27" t="s">
        <v>365</v>
      </c>
      <c r="P311" s="27" t="s">
        <v>365</v>
      </c>
      <c r="Q311" s="27" t="s">
        <v>365</v>
      </c>
      <c r="R311" s="58">
        <f>'Расчет субсидий'!X311-1</f>
        <v>8.6522637347246079E-2</v>
      </c>
      <c r="S311" s="58">
        <f>R311*'Расчет субсидий'!Y311</f>
        <v>0.86522637347246079</v>
      </c>
      <c r="T311" s="53">
        <f t="shared" si="37"/>
        <v>0.26613107165258904</v>
      </c>
      <c r="U311" s="52">
        <f>'Расчет субсидий'!AB311-1</f>
        <v>0</v>
      </c>
      <c r="V311" s="52">
        <f>U311*'Расчет субсидий'!AC311</f>
        <v>0</v>
      </c>
      <c r="W311" s="53">
        <f t="shared" si="38"/>
        <v>0</v>
      </c>
      <c r="X311" s="27" t="s">
        <v>365</v>
      </c>
      <c r="Y311" s="27" t="s">
        <v>365</v>
      </c>
      <c r="Z311" s="27" t="s">
        <v>365</v>
      </c>
      <c r="AA311" s="27" t="s">
        <v>365</v>
      </c>
      <c r="AB311" s="27" t="s">
        <v>365</v>
      </c>
      <c r="AC311" s="27" t="s">
        <v>365</v>
      </c>
      <c r="AD311" s="27" t="s">
        <v>365</v>
      </c>
      <c r="AE311" s="27" t="s">
        <v>365</v>
      </c>
      <c r="AF311" s="27" t="s">
        <v>365</v>
      </c>
      <c r="AG311" s="52">
        <f t="shared" si="39"/>
        <v>4.6698030874837766</v>
      </c>
      <c r="AH311" s="80"/>
    </row>
    <row r="312" spans="1:34" ht="15" customHeight="1">
      <c r="A312" s="33" t="s">
        <v>293</v>
      </c>
      <c r="B312" s="50">
        <f>'Расчет субсидий'!AT312</f>
        <v>-4.8727272727272748</v>
      </c>
      <c r="C312" s="52">
        <f>'Расчет субсидий'!D312-1</f>
        <v>-0.2828844635494342</v>
      </c>
      <c r="D312" s="52">
        <f>C312*'Расчет субсидий'!E312</f>
        <v>-1.4144223177471709</v>
      </c>
      <c r="E312" s="53">
        <f t="shared" si="35"/>
        <v>-5.3616632367388224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2">
        <f>'Расчет субсидий'!P312-1</f>
        <v>0.19616306954436458</v>
      </c>
      <c r="M312" s="52">
        <f>L312*'Расчет субсидий'!Q312</f>
        <v>3.9232613908872915</v>
      </c>
      <c r="N312" s="53">
        <f t="shared" si="36"/>
        <v>14.871941784078428</v>
      </c>
      <c r="O312" s="27" t="s">
        <v>365</v>
      </c>
      <c r="P312" s="27" t="s">
        <v>365</v>
      </c>
      <c r="Q312" s="27" t="s">
        <v>365</v>
      </c>
      <c r="R312" s="58">
        <f>'Расчет субсидий'!X312-1</f>
        <v>-0.41875370919881305</v>
      </c>
      <c r="S312" s="58">
        <f>R312*'Расчет субсидий'!Y312</f>
        <v>-4.1875370919881307</v>
      </c>
      <c r="T312" s="53">
        <f t="shared" si="37"/>
        <v>-15.873734030408798</v>
      </c>
      <c r="U312" s="52">
        <f>'Расчет субсидий'!AB312-1</f>
        <v>1.9662921348314599E-2</v>
      </c>
      <c r="V312" s="52">
        <f>U312*'Расчет субсидий'!AC312</f>
        <v>0.39325842696629199</v>
      </c>
      <c r="W312" s="53">
        <f t="shared" si="38"/>
        <v>1.4907282103419173</v>
      </c>
      <c r="X312" s="27" t="s">
        <v>365</v>
      </c>
      <c r="Y312" s="27" t="s">
        <v>365</v>
      </c>
      <c r="Z312" s="27" t="s">
        <v>365</v>
      </c>
      <c r="AA312" s="27" t="s">
        <v>365</v>
      </c>
      <c r="AB312" s="27" t="s">
        <v>365</v>
      </c>
      <c r="AC312" s="27" t="s">
        <v>365</v>
      </c>
      <c r="AD312" s="27" t="s">
        <v>365</v>
      </c>
      <c r="AE312" s="27" t="s">
        <v>365</v>
      </c>
      <c r="AF312" s="27" t="s">
        <v>365</v>
      </c>
      <c r="AG312" s="52">
        <f t="shared" si="39"/>
        <v>-1.2854395918817181</v>
      </c>
      <c r="AH312" s="80"/>
    </row>
    <row r="313" spans="1:34" ht="15" customHeight="1">
      <c r="A313" s="33" t="s">
        <v>294</v>
      </c>
      <c r="B313" s="50">
        <f>'Расчет субсидий'!AT313</f>
        <v>19.22727272727272</v>
      </c>
      <c r="C313" s="52">
        <f>'Расчет субсидий'!D313-1</f>
        <v>8.0415599599153786E-2</v>
      </c>
      <c r="D313" s="52">
        <f>C313*'Расчет субсидий'!E313</f>
        <v>0.40207799799576893</v>
      </c>
      <c r="E313" s="53">
        <f t="shared" ref="E313:E376" si="40">$B313*D313/$AG313</f>
        <v>1.4749131849905091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2">
        <f>'Расчет субсидий'!P313-1</f>
        <v>0.24440296829323138</v>
      </c>
      <c r="M313" s="52">
        <f>L313*'Расчет субсидий'!Q313</f>
        <v>4.8880593658646276</v>
      </c>
      <c r="N313" s="53">
        <f t="shared" ref="N313:N376" si="41">$B313*M313/$AG313</f>
        <v>17.930509114318539</v>
      </c>
      <c r="O313" s="27" t="s">
        <v>365</v>
      </c>
      <c r="P313" s="27" t="s">
        <v>365</v>
      </c>
      <c r="Q313" s="27" t="s">
        <v>365</v>
      </c>
      <c r="R313" s="58">
        <f>'Расчет субсидий'!X313-1</f>
        <v>-4.8565586094906354E-3</v>
      </c>
      <c r="S313" s="58">
        <f>R313*'Расчет субсидий'!Y313</f>
        <v>-4.8565586094906354E-2</v>
      </c>
      <c r="T313" s="53">
        <f t="shared" ref="T313:T376" si="42">$B313*S313/$AG313</f>
        <v>-0.17814957203632634</v>
      </c>
      <c r="U313" s="52">
        <f>'Расчет субсидий'!AB313-1</f>
        <v>0</v>
      </c>
      <c r="V313" s="52">
        <f>U313*'Расчет субсидий'!AC313</f>
        <v>0</v>
      </c>
      <c r="W313" s="53">
        <f t="shared" ref="W313:W376" si="43">$B313*V313/$AG313</f>
        <v>0</v>
      </c>
      <c r="X313" s="27" t="s">
        <v>365</v>
      </c>
      <c r="Y313" s="27" t="s">
        <v>365</v>
      </c>
      <c r="Z313" s="27" t="s">
        <v>365</v>
      </c>
      <c r="AA313" s="27" t="s">
        <v>365</v>
      </c>
      <c r="AB313" s="27" t="s">
        <v>365</v>
      </c>
      <c r="AC313" s="27" t="s">
        <v>365</v>
      </c>
      <c r="AD313" s="27" t="s">
        <v>365</v>
      </c>
      <c r="AE313" s="27" t="s">
        <v>365</v>
      </c>
      <c r="AF313" s="27" t="s">
        <v>365</v>
      </c>
      <c r="AG313" s="52">
        <f t="shared" si="39"/>
        <v>5.2415717777654898</v>
      </c>
      <c r="AH313" s="80"/>
    </row>
    <row r="314" spans="1:34" ht="15" customHeight="1">
      <c r="A314" s="33" t="s">
        <v>295</v>
      </c>
      <c r="B314" s="50">
        <f>'Расчет субсидий'!AT314</f>
        <v>72.636363636363626</v>
      </c>
      <c r="C314" s="52">
        <f>'Расчет субсидий'!D314-1</f>
        <v>-0.31316630173373061</v>
      </c>
      <c r="D314" s="52">
        <f>C314*'Расчет субсидий'!E314</f>
        <v>-1.5658315086686532</v>
      </c>
      <c r="E314" s="53">
        <f t="shared" si="40"/>
        <v>-15.664475183443898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2">
        <f>'Расчет субсидий'!P314-1</f>
        <v>0.23210950985508405</v>
      </c>
      <c r="M314" s="52">
        <f>L314*'Расчет субсидий'!Q314</f>
        <v>4.642190197101681</v>
      </c>
      <c r="N314" s="53">
        <f t="shared" si="41"/>
        <v>46.440164689975987</v>
      </c>
      <c r="O314" s="27" t="s">
        <v>365</v>
      </c>
      <c r="P314" s="27" t="s">
        <v>365</v>
      </c>
      <c r="Q314" s="27" t="s">
        <v>365</v>
      </c>
      <c r="R314" s="58">
        <f>'Расчет субсидий'!X314-1</f>
        <v>0.27890723935689055</v>
      </c>
      <c r="S314" s="58">
        <f>R314*'Расчет субсидий'!Y314</f>
        <v>2.7890723935689055</v>
      </c>
      <c r="T314" s="53">
        <f t="shared" si="42"/>
        <v>27.901696352397085</v>
      </c>
      <c r="U314" s="52">
        <f>'Расчет субсидий'!AB314-1</f>
        <v>6.9767441860465018E-2</v>
      </c>
      <c r="V314" s="52">
        <f>U314*'Расчет субсидий'!AC314</f>
        <v>1.3953488372093004</v>
      </c>
      <c r="W314" s="53">
        <f t="shared" si="43"/>
        <v>13.958977777434448</v>
      </c>
      <c r="X314" s="27" t="s">
        <v>365</v>
      </c>
      <c r="Y314" s="27" t="s">
        <v>365</v>
      </c>
      <c r="Z314" s="27" t="s">
        <v>365</v>
      </c>
      <c r="AA314" s="27" t="s">
        <v>365</v>
      </c>
      <c r="AB314" s="27" t="s">
        <v>365</v>
      </c>
      <c r="AC314" s="27" t="s">
        <v>365</v>
      </c>
      <c r="AD314" s="27" t="s">
        <v>365</v>
      </c>
      <c r="AE314" s="27" t="s">
        <v>365</v>
      </c>
      <c r="AF314" s="27" t="s">
        <v>365</v>
      </c>
      <c r="AG314" s="52">
        <f t="shared" ref="AG314:AG377" si="44">D314+M314+S314+V314</f>
        <v>7.2607799192112337</v>
      </c>
      <c r="AH314" s="80"/>
    </row>
    <row r="315" spans="1:34" ht="15" customHeight="1">
      <c r="A315" s="32" t="s">
        <v>296</v>
      </c>
      <c r="B315" s="54"/>
      <c r="C315" s="55"/>
      <c r="D315" s="55"/>
      <c r="E315" s="56"/>
      <c r="F315" s="55"/>
      <c r="G315" s="55"/>
      <c r="H315" s="56"/>
      <c r="I315" s="56"/>
      <c r="J315" s="56"/>
      <c r="K315" s="56"/>
      <c r="L315" s="55"/>
      <c r="M315" s="55"/>
      <c r="N315" s="56"/>
      <c r="O315" s="55"/>
      <c r="P315" s="55"/>
      <c r="Q315" s="56"/>
      <c r="R315" s="56"/>
      <c r="S315" s="56"/>
      <c r="T315" s="56"/>
      <c r="U315" s="56"/>
      <c r="V315" s="56"/>
      <c r="W315" s="56"/>
      <c r="X315" s="27"/>
      <c r="Y315" s="27"/>
      <c r="Z315" s="27"/>
      <c r="AA315" s="27"/>
      <c r="AB315" s="27"/>
      <c r="AC315" s="27"/>
      <c r="AD315" s="27"/>
      <c r="AE315" s="27"/>
      <c r="AF315" s="27"/>
      <c r="AG315" s="56"/>
      <c r="AH315" s="80"/>
    </row>
    <row r="316" spans="1:34" ht="15" customHeight="1">
      <c r="A316" s="33" t="s">
        <v>297</v>
      </c>
      <c r="B316" s="50">
        <f>'Расчет субсидий'!AT316</f>
        <v>-1.127272727272727</v>
      </c>
      <c r="C316" s="52">
        <f>'Расчет субсидий'!D316-1</f>
        <v>0.22547216699801198</v>
      </c>
      <c r="D316" s="52">
        <f>C316*'Расчет субсидий'!E316</f>
        <v>1.1273608349900599</v>
      </c>
      <c r="E316" s="53">
        <f t="shared" si="40"/>
        <v>0.33999228186403324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2">
        <f>'Расчет субсидий'!P316-1</f>
        <v>4.7337278106509562E-3</v>
      </c>
      <c r="M316" s="52">
        <f>L316*'Расчет субсидий'!Q316</f>
        <v>9.4674556213019123E-2</v>
      </c>
      <c r="N316" s="53">
        <f t="shared" si="41"/>
        <v>2.8552187908508341E-2</v>
      </c>
      <c r="O316" s="27" t="s">
        <v>365</v>
      </c>
      <c r="P316" s="27" t="s">
        <v>365</v>
      </c>
      <c r="Q316" s="27" t="s">
        <v>365</v>
      </c>
      <c r="R316" s="58">
        <f>'Расчет субсидий'!X316-1</f>
        <v>-0.39938623410784746</v>
      </c>
      <c r="S316" s="58">
        <f>R316*'Расчет субсидий'!Y316</f>
        <v>-1.9969311705392374</v>
      </c>
      <c r="T316" s="53">
        <f t="shared" si="42"/>
        <v>-0.60223946435307607</v>
      </c>
      <c r="U316" s="52">
        <f>'Расчет субсидий'!AB316-1</f>
        <v>-0.14814814814814814</v>
      </c>
      <c r="V316" s="52">
        <f>U316*'Расчет субсидий'!AC316</f>
        <v>-2.9629629629629628</v>
      </c>
      <c r="W316" s="53">
        <f t="shared" si="43"/>
        <v>-0.89357773269219254</v>
      </c>
      <c r="X316" s="27" t="s">
        <v>365</v>
      </c>
      <c r="Y316" s="27" t="s">
        <v>365</v>
      </c>
      <c r="Z316" s="27" t="s">
        <v>365</v>
      </c>
      <c r="AA316" s="27" t="s">
        <v>365</v>
      </c>
      <c r="AB316" s="27" t="s">
        <v>365</v>
      </c>
      <c r="AC316" s="27" t="s">
        <v>365</v>
      </c>
      <c r="AD316" s="27" t="s">
        <v>365</v>
      </c>
      <c r="AE316" s="27" t="s">
        <v>365</v>
      </c>
      <c r="AF316" s="27" t="s">
        <v>365</v>
      </c>
      <c r="AG316" s="52">
        <f t="shared" si="44"/>
        <v>-3.737858742299121</v>
      </c>
      <c r="AH316" s="80"/>
    </row>
    <row r="317" spans="1:34" ht="15" customHeight="1">
      <c r="A317" s="33" t="s">
        <v>298</v>
      </c>
      <c r="B317" s="50">
        <f>'Расчет субсидий'!AT317</f>
        <v>-9.090909090908994E-2</v>
      </c>
      <c r="C317" s="52">
        <f>'Расчет субсидий'!D317-1</f>
        <v>-0.38462413793103445</v>
      </c>
      <c r="D317" s="52">
        <f>C317*'Расчет субсидий'!E317</f>
        <v>-1.9231206896551722</v>
      </c>
      <c r="E317" s="53">
        <f t="shared" si="40"/>
        <v>-0.52092389536721095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2">
        <f>'Расчет субсидий'!P317-1</f>
        <v>-0.10270939657760447</v>
      </c>
      <c r="M317" s="52">
        <f>L317*'Расчет субсидий'!Q317</f>
        <v>-2.0541879315520895</v>
      </c>
      <c r="N317" s="53">
        <f t="shared" si="41"/>
        <v>-0.55642663763983502</v>
      </c>
      <c r="O317" s="27" t="s">
        <v>365</v>
      </c>
      <c r="P317" s="27" t="s">
        <v>365</v>
      </c>
      <c r="Q317" s="27" t="s">
        <v>365</v>
      </c>
      <c r="R317" s="58">
        <f>'Расчет субсидий'!X317-1</f>
        <v>-9.1660999503740292E-2</v>
      </c>
      <c r="S317" s="58">
        <f>R317*'Расчет субсидий'!Y317</f>
        <v>-0.45830499751870146</v>
      </c>
      <c r="T317" s="53">
        <f t="shared" si="42"/>
        <v>-0.12414302745425189</v>
      </c>
      <c r="U317" s="52">
        <f>'Расчет субсидий'!AB317-1</f>
        <v>0.20500000000000007</v>
      </c>
      <c r="V317" s="52">
        <f>U317*'Расчет субсидий'!AC317</f>
        <v>4.1000000000000014</v>
      </c>
      <c r="W317" s="53">
        <f t="shared" si="43"/>
        <v>1.1105844695522078</v>
      </c>
      <c r="X317" s="27" t="s">
        <v>365</v>
      </c>
      <c r="Y317" s="27" t="s">
        <v>365</v>
      </c>
      <c r="Z317" s="27" t="s">
        <v>365</v>
      </c>
      <c r="AA317" s="27" t="s">
        <v>365</v>
      </c>
      <c r="AB317" s="27" t="s">
        <v>365</v>
      </c>
      <c r="AC317" s="27" t="s">
        <v>365</v>
      </c>
      <c r="AD317" s="27" t="s">
        <v>365</v>
      </c>
      <c r="AE317" s="27" t="s">
        <v>365</v>
      </c>
      <c r="AF317" s="27" t="s">
        <v>365</v>
      </c>
      <c r="AG317" s="52">
        <f t="shared" si="44"/>
        <v>-0.33561361872596152</v>
      </c>
      <c r="AH317" s="80"/>
    </row>
    <row r="318" spans="1:34" ht="15" customHeight="1">
      <c r="A318" s="33" t="s">
        <v>299</v>
      </c>
      <c r="B318" s="50">
        <f>'Расчет субсидий'!AT318</f>
        <v>8.4909090909090992</v>
      </c>
      <c r="C318" s="52">
        <f>'Расчет субсидий'!D318-1</f>
        <v>0.228298017771702</v>
      </c>
      <c r="D318" s="52">
        <f>C318*'Расчет субсидий'!E318</f>
        <v>1.14149008885851</v>
      </c>
      <c r="E318" s="53">
        <f t="shared" si="40"/>
        <v>3.5270418869638376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2">
        <f>'Расчет субсидий'!P318-1</f>
        <v>0.19272369714847581</v>
      </c>
      <c r="M318" s="52">
        <f>L318*'Расчет субсидий'!Q318</f>
        <v>3.8544739429695163</v>
      </c>
      <c r="N318" s="53">
        <f t="shared" si="41"/>
        <v>11.909775811246012</v>
      </c>
      <c r="O318" s="27" t="s">
        <v>365</v>
      </c>
      <c r="P318" s="27" t="s">
        <v>365</v>
      </c>
      <c r="Q318" s="27" t="s">
        <v>365</v>
      </c>
      <c r="R318" s="58">
        <f>'Расчет субсидий'!X318-1</f>
        <v>-0.32838196286472143</v>
      </c>
      <c r="S318" s="58">
        <f>R318*'Расчет субсидий'!Y318</f>
        <v>-1.6419098143236073</v>
      </c>
      <c r="T318" s="53">
        <f t="shared" si="42"/>
        <v>-5.0732676054397148</v>
      </c>
      <c r="U318" s="52">
        <f>'Расчет субсидий'!AB318-1</f>
        <v>-3.0303030303030276E-2</v>
      </c>
      <c r="V318" s="52">
        <f>U318*'Расчет субсидий'!AC318</f>
        <v>-0.60606060606060552</v>
      </c>
      <c r="W318" s="53">
        <f t="shared" si="43"/>
        <v>-1.8726410018610373</v>
      </c>
      <c r="X318" s="27" t="s">
        <v>365</v>
      </c>
      <c r="Y318" s="27" t="s">
        <v>365</v>
      </c>
      <c r="Z318" s="27" t="s">
        <v>365</v>
      </c>
      <c r="AA318" s="27" t="s">
        <v>365</v>
      </c>
      <c r="AB318" s="27" t="s">
        <v>365</v>
      </c>
      <c r="AC318" s="27" t="s">
        <v>365</v>
      </c>
      <c r="AD318" s="27" t="s">
        <v>365</v>
      </c>
      <c r="AE318" s="27" t="s">
        <v>365</v>
      </c>
      <c r="AF318" s="27" t="s">
        <v>365</v>
      </c>
      <c r="AG318" s="52">
        <f t="shared" si="44"/>
        <v>2.7479936114438135</v>
      </c>
      <c r="AH318" s="80"/>
    </row>
    <row r="319" spans="1:34" ht="15" customHeight="1">
      <c r="A319" s="33" t="s">
        <v>300</v>
      </c>
      <c r="B319" s="50">
        <f>'Расчет субсидий'!AT319</f>
        <v>66.572727272727292</v>
      </c>
      <c r="C319" s="52">
        <f>'Расчет субсидий'!D319-1</f>
        <v>1.7108433734939865E-2</v>
      </c>
      <c r="D319" s="52">
        <f>C319*'Расчет субсидий'!E319</f>
        <v>8.5542168674699326E-2</v>
      </c>
      <c r="E319" s="53">
        <f t="shared" si="40"/>
        <v>0.43090806719864738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2">
        <f>'Расчет субсидий'!P319-1</f>
        <v>0.30000000000000004</v>
      </c>
      <c r="M319" s="52">
        <f>L319*'Расчет субсидий'!Q319</f>
        <v>6.0000000000000009</v>
      </c>
      <c r="N319" s="53">
        <f t="shared" si="41"/>
        <v>30.224255980975361</v>
      </c>
      <c r="O319" s="27" t="s">
        <v>365</v>
      </c>
      <c r="P319" s="27" t="s">
        <v>365</v>
      </c>
      <c r="Q319" s="27" t="s">
        <v>365</v>
      </c>
      <c r="R319" s="58">
        <f>'Расчет субсидий'!X319-1</f>
        <v>0.22604257641921399</v>
      </c>
      <c r="S319" s="58">
        <f>R319*'Расчет субсидий'!Y319</f>
        <v>1.13021288209607</v>
      </c>
      <c r="T319" s="53">
        <f t="shared" si="42"/>
        <v>5.6933072435779239</v>
      </c>
      <c r="U319" s="52">
        <f>'Расчет субсидий'!AB319-1</f>
        <v>0.30000000000000004</v>
      </c>
      <c r="V319" s="52">
        <f>U319*'Расчет субсидий'!AC319</f>
        <v>6.0000000000000009</v>
      </c>
      <c r="W319" s="53">
        <f t="shared" si="43"/>
        <v>30.224255980975361</v>
      </c>
      <c r="X319" s="27" t="s">
        <v>365</v>
      </c>
      <c r="Y319" s="27" t="s">
        <v>365</v>
      </c>
      <c r="Z319" s="27" t="s">
        <v>365</v>
      </c>
      <c r="AA319" s="27" t="s">
        <v>365</v>
      </c>
      <c r="AB319" s="27" t="s">
        <v>365</v>
      </c>
      <c r="AC319" s="27" t="s">
        <v>365</v>
      </c>
      <c r="AD319" s="27" t="s">
        <v>365</v>
      </c>
      <c r="AE319" s="27" t="s">
        <v>365</v>
      </c>
      <c r="AF319" s="27" t="s">
        <v>365</v>
      </c>
      <c r="AG319" s="52">
        <f t="shared" si="44"/>
        <v>13.21575505077077</v>
      </c>
      <c r="AH319" s="80"/>
    </row>
    <row r="320" spans="1:34" ht="15" customHeight="1">
      <c r="A320" s="33" t="s">
        <v>301</v>
      </c>
      <c r="B320" s="50">
        <f>'Расчет субсидий'!AT320</f>
        <v>-22.245454545454521</v>
      </c>
      <c r="C320" s="52">
        <f>'Расчет субсидий'!D320-1</f>
        <v>-1</v>
      </c>
      <c r="D320" s="52">
        <f>C320*'Расчет субсидий'!E320</f>
        <v>0</v>
      </c>
      <c r="E320" s="53">
        <f t="shared" si="40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2">
        <f>'Расчет субсидий'!P320-1</f>
        <v>-0.44332493702770781</v>
      </c>
      <c r="M320" s="52">
        <f>L320*'Расчет субсидий'!Q320</f>
        <v>-8.8664987405541567</v>
      </c>
      <c r="N320" s="53">
        <f t="shared" si="41"/>
        <v>-33.773594385581703</v>
      </c>
      <c r="O320" s="27" t="s">
        <v>365</v>
      </c>
      <c r="P320" s="27" t="s">
        <v>365</v>
      </c>
      <c r="Q320" s="27" t="s">
        <v>365</v>
      </c>
      <c r="R320" s="58">
        <f>'Расчет субсидий'!X320-1</f>
        <v>0.20529084471421344</v>
      </c>
      <c r="S320" s="58">
        <f>R320*'Расчет субсидий'!Y320</f>
        <v>1.0264542235710672</v>
      </c>
      <c r="T320" s="53">
        <f t="shared" si="42"/>
        <v>3.9098915611067611</v>
      </c>
      <c r="U320" s="52">
        <f>'Расчет субсидий'!AB320-1</f>
        <v>0.10000000000000009</v>
      </c>
      <c r="V320" s="52">
        <f>U320*'Расчет субсидий'!AC320</f>
        <v>2.0000000000000018</v>
      </c>
      <c r="W320" s="53">
        <f t="shared" si="43"/>
        <v>7.6182482790204258</v>
      </c>
      <c r="X320" s="27" t="s">
        <v>365</v>
      </c>
      <c r="Y320" s="27" t="s">
        <v>365</v>
      </c>
      <c r="Z320" s="27" t="s">
        <v>365</v>
      </c>
      <c r="AA320" s="27" t="s">
        <v>365</v>
      </c>
      <c r="AB320" s="27" t="s">
        <v>365</v>
      </c>
      <c r="AC320" s="27" t="s">
        <v>365</v>
      </c>
      <c r="AD320" s="27" t="s">
        <v>365</v>
      </c>
      <c r="AE320" s="27" t="s">
        <v>365</v>
      </c>
      <c r="AF320" s="27" t="s">
        <v>365</v>
      </c>
      <c r="AG320" s="52">
        <f t="shared" si="44"/>
        <v>-5.8400445169830881</v>
      </c>
      <c r="AH320" s="80"/>
    </row>
    <row r="321" spans="1:34" ht="15" customHeight="1">
      <c r="A321" s="33" t="s">
        <v>302</v>
      </c>
      <c r="B321" s="50">
        <f>'Расчет субсидий'!AT321</f>
        <v>10.309090909090912</v>
      </c>
      <c r="C321" s="52">
        <f>'Расчет субсидий'!D321-1</f>
        <v>-0.31902784940691087</v>
      </c>
      <c r="D321" s="52">
        <f>C321*'Расчет субсидий'!E321</f>
        <v>-1.5951392470345542</v>
      </c>
      <c r="E321" s="53">
        <f t="shared" si="40"/>
        <v>-3.771530372763479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2">
        <f>'Расчет субсидий'!P321-1</f>
        <v>0.22276442729345725</v>
      </c>
      <c r="M321" s="52">
        <f>L321*'Расчет субсидий'!Q321</f>
        <v>4.4552885458691449</v>
      </c>
      <c r="N321" s="53">
        <f t="shared" si="41"/>
        <v>10.534037139020203</v>
      </c>
      <c r="O321" s="27" t="s">
        <v>365</v>
      </c>
      <c r="P321" s="27" t="s">
        <v>365</v>
      </c>
      <c r="Q321" s="27" t="s">
        <v>365</v>
      </c>
      <c r="R321" s="58">
        <f>'Расчет субсидий'!X321-1</f>
        <v>0.30000000000000004</v>
      </c>
      <c r="S321" s="58">
        <f>R321*'Расчет субсидий'!Y321</f>
        <v>1.5000000000000002</v>
      </c>
      <c r="T321" s="53">
        <f t="shared" si="42"/>
        <v>3.5465841428341895</v>
      </c>
      <c r="U321" s="52">
        <f>'Расчет субсидий'!AB321-1</f>
        <v>0</v>
      </c>
      <c r="V321" s="52">
        <f>U321*'Расчет субсидий'!AC321</f>
        <v>0</v>
      </c>
      <c r="W321" s="53">
        <f t="shared" si="43"/>
        <v>0</v>
      </c>
      <c r="X321" s="27" t="s">
        <v>365</v>
      </c>
      <c r="Y321" s="27" t="s">
        <v>365</v>
      </c>
      <c r="Z321" s="27" t="s">
        <v>365</v>
      </c>
      <c r="AA321" s="27" t="s">
        <v>365</v>
      </c>
      <c r="AB321" s="27" t="s">
        <v>365</v>
      </c>
      <c r="AC321" s="27" t="s">
        <v>365</v>
      </c>
      <c r="AD321" s="27" t="s">
        <v>365</v>
      </c>
      <c r="AE321" s="27" t="s">
        <v>365</v>
      </c>
      <c r="AF321" s="27" t="s">
        <v>365</v>
      </c>
      <c r="AG321" s="52">
        <f t="shared" si="44"/>
        <v>4.3601492988345907</v>
      </c>
      <c r="AH321" s="80"/>
    </row>
    <row r="322" spans="1:34" ht="15" customHeight="1">
      <c r="A322" s="33" t="s">
        <v>303</v>
      </c>
      <c r="B322" s="50">
        <f>'Расчет субсидий'!AT322</f>
        <v>36.563636363636363</v>
      </c>
      <c r="C322" s="52">
        <f>'Расчет субсидий'!D322-1</f>
        <v>0.1972135785007072</v>
      </c>
      <c r="D322" s="52">
        <f>C322*'Расчет субсидий'!E322</f>
        <v>0.98606789250353599</v>
      </c>
      <c r="E322" s="53">
        <f t="shared" si="40"/>
        <v>3.9390647616139272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2">
        <f>'Расчет субсидий'!P322-1</f>
        <v>0.20541837331772972</v>
      </c>
      <c r="M322" s="52">
        <f>L322*'Расчет субсидий'!Q322</f>
        <v>4.1083674663545944</v>
      </c>
      <c r="N322" s="53">
        <f t="shared" si="41"/>
        <v>16.411776143923522</v>
      </c>
      <c r="O322" s="27" t="s">
        <v>365</v>
      </c>
      <c r="P322" s="27" t="s">
        <v>365</v>
      </c>
      <c r="Q322" s="27" t="s">
        <v>365</v>
      </c>
      <c r="R322" s="58">
        <f>'Расчет субсидий'!X322-1</f>
        <v>-0.27495535870592769</v>
      </c>
      <c r="S322" s="58">
        <f>R322*'Расчет субсидий'!Y322</f>
        <v>-1.3747767935296384</v>
      </c>
      <c r="T322" s="53">
        <f t="shared" si="42"/>
        <v>-5.4918478368950296</v>
      </c>
      <c r="U322" s="52">
        <f>'Расчет субсидий'!AB322-1</f>
        <v>0.27166666666666672</v>
      </c>
      <c r="V322" s="52">
        <f>U322*'Расчет субсидий'!AC322</f>
        <v>5.4333333333333345</v>
      </c>
      <c r="W322" s="53">
        <f t="shared" si="43"/>
        <v>21.704643294993936</v>
      </c>
      <c r="X322" s="27" t="s">
        <v>365</v>
      </c>
      <c r="Y322" s="27" t="s">
        <v>365</v>
      </c>
      <c r="Z322" s="27" t="s">
        <v>365</v>
      </c>
      <c r="AA322" s="27" t="s">
        <v>365</v>
      </c>
      <c r="AB322" s="27" t="s">
        <v>365</v>
      </c>
      <c r="AC322" s="27" t="s">
        <v>365</v>
      </c>
      <c r="AD322" s="27" t="s">
        <v>365</v>
      </c>
      <c r="AE322" s="27" t="s">
        <v>365</v>
      </c>
      <c r="AF322" s="27" t="s">
        <v>365</v>
      </c>
      <c r="AG322" s="52">
        <f t="shared" si="44"/>
        <v>9.1529918986618277</v>
      </c>
      <c r="AH322" s="80"/>
    </row>
    <row r="323" spans="1:34" ht="15" customHeight="1">
      <c r="A323" s="33" t="s">
        <v>304</v>
      </c>
      <c r="B323" s="50">
        <f>'Расчет субсидий'!AT323</f>
        <v>-35.645454545454527</v>
      </c>
      <c r="C323" s="52">
        <f>'Расчет субсидий'!D323-1</f>
        <v>-0.60539310344827579</v>
      </c>
      <c r="D323" s="52">
        <f>C323*'Расчет субсидий'!E323</f>
        <v>-3.0269655172413792</v>
      </c>
      <c r="E323" s="53">
        <f t="shared" si="40"/>
        <v>-7.6583932731966762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2">
        <f>'Расчет субсидий'!P323-1</f>
        <v>-0.40785271463460449</v>
      </c>
      <c r="M323" s="52">
        <f>L323*'Расчет субсидий'!Q323</f>
        <v>-8.1570542926920897</v>
      </c>
      <c r="N323" s="53">
        <f t="shared" si="41"/>
        <v>-20.637806862492791</v>
      </c>
      <c r="O323" s="27" t="s">
        <v>365</v>
      </c>
      <c r="P323" s="27" t="s">
        <v>365</v>
      </c>
      <c r="Q323" s="27" t="s">
        <v>365</v>
      </c>
      <c r="R323" s="58">
        <f>'Расчет субсидий'!X323-1</f>
        <v>-0.61833897031191287</v>
      </c>
      <c r="S323" s="58">
        <f>R323*'Расчет субсидий'!Y323</f>
        <v>-3.0916948515595646</v>
      </c>
      <c r="T323" s="53">
        <f t="shared" si="42"/>
        <v>-7.8221621353450193</v>
      </c>
      <c r="U323" s="52">
        <f>'Расчет субсидий'!AB323-1</f>
        <v>9.3457943925232545E-3</v>
      </c>
      <c r="V323" s="52">
        <f>U323*'Расчет субсидий'!AC323</f>
        <v>0.18691588785046509</v>
      </c>
      <c r="W323" s="53">
        <f t="shared" si="43"/>
        <v>0.47290772557995947</v>
      </c>
      <c r="X323" s="27" t="s">
        <v>365</v>
      </c>
      <c r="Y323" s="27" t="s">
        <v>365</v>
      </c>
      <c r="Z323" s="27" t="s">
        <v>365</v>
      </c>
      <c r="AA323" s="27" t="s">
        <v>365</v>
      </c>
      <c r="AB323" s="27" t="s">
        <v>365</v>
      </c>
      <c r="AC323" s="27" t="s">
        <v>365</v>
      </c>
      <c r="AD323" s="27" t="s">
        <v>365</v>
      </c>
      <c r="AE323" s="27" t="s">
        <v>365</v>
      </c>
      <c r="AF323" s="27" t="s">
        <v>365</v>
      </c>
      <c r="AG323" s="52">
        <f t="shared" si="44"/>
        <v>-14.088798773642569</v>
      </c>
      <c r="AH323" s="80"/>
    </row>
    <row r="324" spans="1:34" ht="15" customHeight="1">
      <c r="A324" s="33" t="s">
        <v>305</v>
      </c>
      <c r="B324" s="50">
        <f>'Расчет субсидий'!AT324</f>
        <v>9.1090909090909236</v>
      </c>
      <c r="C324" s="52">
        <f>'Расчет субсидий'!D324-1</f>
        <v>-1</v>
      </c>
      <c r="D324" s="52">
        <f>C324*'Расчет субсидий'!E324</f>
        <v>0</v>
      </c>
      <c r="E324" s="53">
        <f t="shared" si="40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2">
        <f>'Расчет субсидий'!P324-1</f>
        <v>-9.8312972658522457E-2</v>
      </c>
      <c r="M324" s="52">
        <f>L324*'Расчет субсидий'!Q324</f>
        <v>-1.9662594531704491</v>
      </c>
      <c r="N324" s="53">
        <f t="shared" si="41"/>
        <v>-11.444122829273859</v>
      </c>
      <c r="O324" s="27" t="s">
        <v>365</v>
      </c>
      <c r="P324" s="27" t="s">
        <v>365</v>
      </c>
      <c r="Q324" s="27" t="s">
        <v>365</v>
      </c>
      <c r="R324" s="58">
        <f>'Расчет субсидий'!X324-1</f>
        <v>-0.1797095138070598</v>
      </c>
      <c r="S324" s="58">
        <f>R324*'Расчет субсидий'!Y324</f>
        <v>-0.89854756903529898</v>
      </c>
      <c r="T324" s="53">
        <f t="shared" si="42"/>
        <v>-5.2297720585168284</v>
      </c>
      <c r="U324" s="52">
        <f>'Расчет субсидий'!AB324-1</f>
        <v>0.22149377593360997</v>
      </c>
      <c r="V324" s="52">
        <f>U324*'Расчет субсидий'!AC324</f>
        <v>4.4298755186721994</v>
      </c>
      <c r="W324" s="53">
        <f t="shared" si="43"/>
        <v>25.782985796881615</v>
      </c>
      <c r="X324" s="27" t="s">
        <v>365</v>
      </c>
      <c r="Y324" s="27" t="s">
        <v>365</v>
      </c>
      <c r="Z324" s="27" t="s">
        <v>365</v>
      </c>
      <c r="AA324" s="27" t="s">
        <v>365</v>
      </c>
      <c r="AB324" s="27" t="s">
        <v>365</v>
      </c>
      <c r="AC324" s="27" t="s">
        <v>365</v>
      </c>
      <c r="AD324" s="27" t="s">
        <v>365</v>
      </c>
      <c r="AE324" s="27" t="s">
        <v>365</v>
      </c>
      <c r="AF324" s="27" t="s">
        <v>365</v>
      </c>
      <c r="AG324" s="52">
        <f t="shared" si="44"/>
        <v>1.5650684964664512</v>
      </c>
      <c r="AH324" s="80"/>
    </row>
    <row r="325" spans="1:34" ht="15" customHeight="1">
      <c r="A325" s="33" t="s">
        <v>306</v>
      </c>
      <c r="B325" s="50">
        <f>'Расчет субсидий'!AT325</f>
        <v>3.9090909090909065</v>
      </c>
      <c r="C325" s="52">
        <f>'Расчет субсидий'!D325-1</f>
        <v>-1</v>
      </c>
      <c r="D325" s="52">
        <f>C325*'Расчет субсидий'!E325</f>
        <v>0</v>
      </c>
      <c r="E325" s="53">
        <f t="shared" si="40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2">
        <f>'Расчет субсидий'!P325-1</f>
        <v>0.26699139565407615</v>
      </c>
      <c r="M325" s="52">
        <f>L325*'Расчет субсидий'!Q325</f>
        <v>5.3398279130815229</v>
      </c>
      <c r="N325" s="53">
        <f t="shared" si="41"/>
        <v>9.4436077813825534</v>
      </c>
      <c r="O325" s="27" t="s">
        <v>365</v>
      </c>
      <c r="P325" s="27" t="s">
        <v>365</v>
      </c>
      <c r="Q325" s="27" t="s">
        <v>365</v>
      </c>
      <c r="R325" s="58">
        <f>'Расчет субсидий'!X325-1</f>
        <v>-0.27734375</v>
      </c>
      <c r="S325" s="58">
        <f>R325*'Расчет субсидий'!Y325</f>
        <v>-1.38671875</v>
      </c>
      <c r="T325" s="53">
        <f t="shared" si="42"/>
        <v>-2.4524438223949856</v>
      </c>
      <c r="U325" s="52">
        <f>'Расчет субсидий'!AB325-1</f>
        <v>-8.7136929460580936E-2</v>
      </c>
      <c r="V325" s="52">
        <f>U325*'Расчет субсидий'!AC325</f>
        <v>-1.7427385892116187</v>
      </c>
      <c r="W325" s="53">
        <f t="shared" si="43"/>
        <v>-3.0820730498966622</v>
      </c>
      <c r="X325" s="27" t="s">
        <v>365</v>
      </c>
      <c r="Y325" s="27" t="s">
        <v>365</v>
      </c>
      <c r="Z325" s="27" t="s">
        <v>365</v>
      </c>
      <c r="AA325" s="27" t="s">
        <v>365</v>
      </c>
      <c r="AB325" s="27" t="s">
        <v>365</v>
      </c>
      <c r="AC325" s="27" t="s">
        <v>365</v>
      </c>
      <c r="AD325" s="27" t="s">
        <v>365</v>
      </c>
      <c r="AE325" s="27" t="s">
        <v>365</v>
      </c>
      <c r="AF325" s="27" t="s">
        <v>365</v>
      </c>
      <c r="AG325" s="52">
        <f t="shared" si="44"/>
        <v>2.2103705738699042</v>
      </c>
      <c r="AH325" s="80"/>
    </row>
    <row r="326" spans="1:34" ht="15" customHeight="1">
      <c r="A326" s="33" t="s">
        <v>307</v>
      </c>
      <c r="B326" s="50">
        <f>'Расчет субсидий'!AT326</f>
        <v>-3.2727272727272805</v>
      </c>
      <c r="C326" s="52">
        <f>'Расчет субсидий'!D326-1</f>
        <v>-9.7256097560975641E-2</v>
      </c>
      <c r="D326" s="52">
        <f>C326*'Расчет субсидий'!E326</f>
        <v>-0.4862804878048782</v>
      </c>
      <c r="E326" s="53">
        <f t="shared" si="40"/>
        <v>-2.4112631618898095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2">
        <f>'Расчет субсидий'!P326-1</f>
        <v>-0.14251012145748987</v>
      </c>
      <c r="M326" s="52">
        <f>L326*'Расчет субсидий'!Q326</f>
        <v>-2.8502024291497974</v>
      </c>
      <c r="N326" s="53">
        <f t="shared" si="41"/>
        <v>-14.132971183691433</v>
      </c>
      <c r="O326" s="27" t="s">
        <v>365</v>
      </c>
      <c r="P326" s="27" t="s">
        <v>365</v>
      </c>
      <c r="Q326" s="27" t="s">
        <v>365</v>
      </c>
      <c r="R326" s="58">
        <f>'Расчет субсидий'!X326-1</f>
        <v>0.30000000000000004</v>
      </c>
      <c r="S326" s="58">
        <f>R326*'Расчет субсидий'!Y326</f>
        <v>1.5000000000000002</v>
      </c>
      <c r="T326" s="53">
        <f t="shared" si="42"/>
        <v>7.4378775902807908</v>
      </c>
      <c r="U326" s="52">
        <f>'Расчет субсидий'!AB326-1</f>
        <v>5.8823529411764719E-2</v>
      </c>
      <c r="V326" s="52">
        <f>U326*'Расчет субсидий'!AC326</f>
        <v>1.1764705882352944</v>
      </c>
      <c r="W326" s="53">
        <f t="shared" si="43"/>
        <v>5.8336294825731692</v>
      </c>
      <c r="X326" s="27" t="s">
        <v>365</v>
      </c>
      <c r="Y326" s="27" t="s">
        <v>365</v>
      </c>
      <c r="Z326" s="27" t="s">
        <v>365</v>
      </c>
      <c r="AA326" s="27" t="s">
        <v>365</v>
      </c>
      <c r="AB326" s="27" t="s">
        <v>365</v>
      </c>
      <c r="AC326" s="27" t="s">
        <v>365</v>
      </c>
      <c r="AD326" s="27" t="s">
        <v>365</v>
      </c>
      <c r="AE326" s="27" t="s">
        <v>365</v>
      </c>
      <c r="AF326" s="27" t="s">
        <v>365</v>
      </c>
      <c r="AG326" s="52">
        <f t="shared" si="44"/>
        <v>-0.66001232871938087</v>
      </c>
      <c r="AH326" s="80"/>
    </row>
    <row r="327" spans="1:34" ht="15" customHeight="1">
      <c r="A327" s="33" t="s">
        <v>308</v>
      </c>
      <c r="B327" s="50">
        <f>'Расчет субсидий'!AT327</f>
        <v>27.25454545454545</v>
      </c>
      <c r="C327" s="52">
        <f>'Расчет субсидий'!D327-1</f>
        <v>-0.21118181818181814</v>
      </c>
      <c r="D327" s="52">
        <f>C327*'Расчет субсидий'!E327</f>
        <v>-1.0559090909090907</v>
      </c>
      <c r="E327" s="53">
        <f t="shared" si="40"/>
        <v>-6.9146560472688776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2">
        <f>'Расчет субсидий'!P327-1</f>
        <v>0.23929664604363388</v>
      </c>
      <c r="M327" s="52">
        <f>L327*'Расчет субсидий'!Q327</f>
        <v>4.7859329208726775</v>
      </c>
      <c r="N327" s="53">
        <f t="shared" si="41"/>
        <v>31.340842027076214</v>
      </c>
      <c r="O327" s="27" t="s">
        <v>365</v>
      </c>
      <c r="P327" s="27" t="s">
        <v>365</v>
      </c>
      <c r="Q327" s="27" t="s">
        <v>365</v>
      </c>
      <c r="R327" s="58">
        <f>'Расчет субсидий'!X327-1</f>
        <v>5.3048128342245926E-2</v>
      </c>
      <c r="S327" s="58">
        <f>R327*'Расчет субсидий'!Y327</f>
        <v>0.26524064171122963</v>
      </c>
      <c r="T327" s="53">
        <f t="shared" si="42"/>
        <v>1.7369372259225444</v>
      </c>
      <c r="U327" s="52">
        <f>'Расчет субсидий'!AB327-1</f>
        <v>8.3333333333333037E-3</v>
      </c>
      <c r="V327" s="52">
        <f>U327*'Расчет субсидий'!AC327</f>
        <v>0.16666666666666607</v>
      </c>
      <c r="W327" s="53">
        <f t="shared" si="43"/>
        <v>1.0914222488155747</v>
      </c>
      <c r="X327" s="27" t="s">
        <v>365</v>
      </c>
      <c r="Y327" s="27" t="s">
        <v>365</v>
      </c>
      <c r="Z327" s="27" t="s">
        <v>365</v>
      </c>
      <c r="AA327" s="27" t="s">
        <v>365</v>
      </c>
      <c r="AB327" s="27" t="s">
        <v>365</v>
      </c>
      <c r="AC327" s="27" t="s">
        <v>365</v>
      </c>
      <c r="AD327" s="27" t="s">
        <v>365</v>
      </c>
      <c r="AE327" s="27" t="s">
        <v>365</v>
      </c>
      <c r="AF327" s="27" t="s">
        <v>365</v>
      </c>
      <c r="AG327" s="52">
        <f t="shared" si="44"/>
        <v>4.1619311383414823</v>
      </c>
      <c r="AH327" s="80"/>
    </row>
    <row r="328" spans="1:34" ht="15" customHeight="1">
      <c r="A328" s="33" t="s">
        <v>309</v>
      </c>
      <c r="B328" s="50">
        <f>'Расчет субсидий'!AT328</f>
        <v>-40.400000000000006</v>
      </c>
      <c r="C328" s="52">
        <f>'Расчет субсидий'!D328-1</f>
        <v>-1</v>
      </c>
      <c r="D328" s="52">
        <f>C328*'Расчет субсидий'!E328</f>
        <v>0</v>
      </c>
      <c r="E328" s="53">
        <f t="shared" si="40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2">
        <f>'Расчет субсидий'!P328-1</f>
        <v>-0.33752860411899321</v>
      </c>
      <c r="M328" s="52">
        <f>L328*'Расчет субсидий'!Q328</f>
        <v>-6.7505720823798647</v>
      </c>
      <c r="N328" s="53">
        <f t="shared" si="41"/>
        <v>-38.705709772404269</v>
      </c>
      <c r="O328" s="27" t="s">
        <v>365</v>
      </c>
      <c r="P328" s="27" t="s">
        <v>365</v>
      </c>
      <c r="Q328" s="27" t="s">
        <v>365</v>
      </c>
      <c r="R328" s="58">
        <f>'Расчет субсидий'!X328-1</f>
        <v>-5.9099437148217637E-2</v>
      </c>
      <c r="S328" s="58">
        <f>R328*'Расчет субсидий'!Y328</f>
        <v>-0.29549718574108819</v>
      </c>
      <c r="T328" s="53">
        <f t="shared" si="42"/>
        <v>-1.6942902275957352</v>
      </c>
      <c r="U328" s="52">
        <f>'Расчет субсидий'!AB328-1</f>
        <v>0</v>
      </c>
      <c r="V328" s="52">
        <f>U328*'Расчет субсидий'!AC328</f>
        <v>0</v>
      </c>
      <c r="W328" s="53">
        <f t="shared" si="43"/>
        <v>0</v>
      </c>
      <c r="X328" s="27" t="s">
        <v>365</v>
      </c>
      <c r="Y328" s="27" t="s">
        <v>365</v>
      </c>
      <c r="Z328" s="27" t="s">
        <v>365</v>
      </c>
      <c r="AA328" s="27" t="s">
        <v>365</v>
      </c>
      <c r="AB328" s="27" t="s">
        <v>365</v>
      </c>
      <c r="AC328" s="27" t="s">
        <v>365</v>
      </c>
      <c r="AD328" s="27" t="s">
        <v>365</v>
      </c>
      <c r="AE328" s="27" t="s">
        <v>365</v>
      </c>
      <c r="AF328" s="27" t="s">
        <v>365</v>
      </c>
      <c r="AG328" s="52">
        <f t="shared" si="44"/>
        <v>-7.0460692681209531</v>
      </c>
      <c r="AH328" s="80"/>
    </row>
    <row r="329" spans="1:34" ht="15" customHeight="1">
      <c r="A329" s="33" t="s">
        <v>310</v>
      </c>
      <c r="B329" s="50">
        <f>'Расчет субсидий'!AT329</f>
        <v>37.663636363636385</v>
      </c>
      <c r="C329" s="52">
        <f>'Расчет субсидий'!D329-1</f>
        <v>0.13075471698113206</v>
      </c>
      <c r="D329" s="52">
        <f>C329*'Расчет субсидий'!E329</f>
        <v>0.65377358490566029</v>
      </c>
      <c r="E329" s="53">
        <f t="shared" si="40"/>
        <v>4.3772727447024549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2">
        <f>'Расчет субсидий'!P329-1</f>
        <v>0.21634612915650275</v>
      </c>
      <c r="M329" s="52">
        <f>L329*'Расчет субсидий'!Q329</f>
        <v>4.3269225831300551</v>
      </c>
      <c r="N329" s="53">
        <f t="shared" si="41"/>
        <v>28.970458166041993</v>
      </c>
      <c r="O329" s="27" t="s">
        <v>365</v>
      </c>
      <c r="P329" s="27" t="s">
        <v>365</v>
      </c>
      <c r="Q329" s="27" t="s">
        <v>365</v>
      </c>
      <c r="R329" s="58">
        <f>'Расчет субсидий'!X329-1</f>
        <v>0.12490149724192268</v>
      </c>
      <c r="S329" s="58">
        <f>R329*'Расчет субсидий'!Y329</f>
        <v>0.62450748620961338</v>
      </c>
      <c r="T329" s="53">
        <f t="shared" si="42"/>
        <v>4.181324638012792</v>
      </c>
      <c r="U329" s="52">
        <f>'Расчет субсидий'!AB329-1</f>
        <v>1.0050251256281673E-3</v>
      </c>
      <c r="V329" s="52">
        <f>U329*'Расчет субсидий'!AC329</f>
        <v>2.0100502512563345E-2</v>
      </c>
      <c r="W329" s="53">
        <f t="shared" si="43"/>
        <v>0.13458081487914975</v>
      </c>
      <c r="X329" s="27" t="s">
        <v>365</v>
      </c>
      <c r="Y329" s="27" t="s">
        <v>365</v>
      </c>
      <c r="Z329" s="27" t="s">
        <v>365</v>
      </c>
      <c r="AA329" s="27" t="s">
        <v>365</v>
      </c>
      <c r="AB329" s="27" t="s">
        <v>365</v>
      </c>
      <c r="AC329" s="27" t="s">
        <v>365</v>
      </c>
      <c r="AD329" s="27" t="s">
        <v>365</v>
      </c>
      <c r="AE329" s="27" t="s">
        <v>365</v>
      </c>
      <c r="AF329" s="27" t="s">
        <v>365</v>
      </c>
      <c r="AG329" s="52">
        <f t="shared" si="44"/>
        <v>5.6253041567578919</v>
      </c>
      <c r="AH329" s="80"/>
    </row>
    <row r="330" spans="1:34" ht="15" customHeight="1">
      <c r="A330" s="33" t="s">
        <v>311</v>
      </c>
      <c r="B330" s="50">
        <f>'Расчет субсидий'!AT330</f>
        <v>-32.290909090909096</v>
      </c>
      <c r="C330" s="52">
        <f>'Расчет субсидий'!D330-1</f>
        <v>-1</v>
      </c>
      <c r="D330" s="52">
        <f>C330*'Расчет субсидий'!E330</f>
        <v>0</v>
      </c>
      <c r="E330" s="53">
        <f t="shared" si="40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2">
        <f>'Расчет субсидий'!P330-1</f>
        <v>-0.5535714285714286</v>
      </c>
      <c r="M330" s="52">
        <f>L330*'Расчет субсидий'!Q330</f>
        <v>-11.071428571428573</v>
      </c>
      <c r="N330" s="53">
        <f t="shared" si="41"/>
        <v>-31.96882302178874</v>
      </c>
      <c r="O330" s="27" t="s">
        <v>365</v>
      </c>
      <c r="P330" s="27" t="s">
        <v>365</v>
      </c>
      <c r="Q330" s="27" t="s">
        <v>365</v>
      </c>
      <c r="R330" s="58">
        <f>'Расчет субсидий'!X330-1</f>
        <v>-0.3701350277998412</v>
      </c>
      <c r="S330" s="58">
        <f>R330*'Расчет субсидий'!Y330</f>
        <v>-1.850675138999206</v>
      </c>
      <c r="T330" s="53">
        <f t="shared" si="42"/>
        <v>-5.3438366700184412</v>
      </c>
      <c r="U330" s="52">
        <f>'Расчет субсидий'!AB330-1</f>
        <v>8.6956521739130377E-2</v>
      </c>
      <c r="V330" s="52">
        <f>U330*'Расчет субсидий'!AC330</f>
        <v>1.7391304347826075</v>
      </c>
      <c r="W330" s="53">
        <f t="shared" si="43"/>
        <v>5.0217506008980877</v>
      </c>
      <c r="X330" s="27" t="s">
        <v>365</v>
      </c>
      <c r="Y330" s="27" t="s">
        <v>365</v>
      </c>
      <c r="Z330" s="27" t="s">
        <v>365</v>
      </c>
      <c r="AA330" s="27" t="s">
        <v>365</v>
      </c>
      <c r="AB330" s="27" t="s">
        <v>365</v>
      </c>
      <c r="AC330" s="27" t="s">
        <v>365</v>
      </c>
      <c r="AD330" s="27" t="s">
        <v>365</v>
      </c>
      <c r="AE330" s="27" t="s">
        <v>365</v>
      </c>
      <c r="AF330" s="27" t="s">
        <v>365</v>
      </c>
      <c r="AG330" s="52">
        <f t="shared" si="44"/>
        <v>-11.182973275645171</v>
      </c>
      <c r="AH330" s="80"/>
    </row>
    <row r="331" spans="1:34" ht="15" customHeight="1">
      <c r="A331" s="32" t="s">
        <v>312</v>
      </c>
      <c r="B331" s="54"/>
      <c r="C331" s="55"/>
      <c r="D331" s="55"/>
      <c r="E331" s="56"/>
      <c r="F331" s="55"/>
      <c r="G331" s="55"/>
      <c r="H331" s="56"/>
      <c r="I331" s="56"/>
      <c r="J331" s="56"/>
      <c r="K331" s="56"/>
      <c r="L331" s="55"/>
      <c r="M331" s="55"/>
      <c r="N331" s="56"/>
      <c r="O331" s="55"/>
      <c r="P331" s="55"/>
      <c r="Q331" s="56"/>
      <c r="R331" s="56"/>
      <c r="S331" s="56"/>
      <c r="T331" s="56"/>
      <c r="U331" s="56"/>
      <c r="V331" s="56"/>
      <c r="W331" s="56"/>
      <c r="X331" s="27"/>
      <c r="Y331" s="27"/>
      <c r="Z331" s="27"/>
      <c r="AA331" s="27"/>
      <c r="AB331" s="27"/>
      <c r="AC331" s="27"/>
      <c r="AD331" s="27"/>
      <c r="AE331" s="27"/>
      <c r="AF331" s="27"/>
      <c r="AG331" s="56"/>
      <c r="AH331" s="80"/>
    </row>
    <row r="332" spans="1:34" ht="15" customHeight="1">
      <c r="A332" s="33" t="s">
        <v>313</v>
      </c>
      <c r="B332" s="50">
        <f>'Расчет субсидий'!AT332</f>
        <v>-43.399999999999977</v>
      </c>
      <c r="C332" s="52">
        <f>'Расчет субсидий'!D332-1</f>
        <v>0.20891428571428561</v>
      </c>
      <c r="D332" s="52">
        <f>C332*'Расчет субсидий'!E332</f>
        <v>1.044571428571428</v>
      </c>
      <c r="E332" s="53">
        <f t="shared" si="40"/>
        <v>10.023525045718767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2">
        <f>'Расчет субсидий'!P332-1</f>
        <v>-0.40711462450592895</v>
      </c>
      <c r="M332" s="52">
        <f>L332*'Расчет субсидий'!Q332</f>
        <v>-8.142292490118578</v>
      </c>
      <c r="N332" s="53">
        <f t="shared" si="41"/>
        <v>-78.132017085599017</v>
      </c>
      <c r="O332" s="27" t="s">
        <v>365</v>
      </c>
      <c r="P332" s="27" t="s">
        <v>365</v>
      </c>
      <c r="Q332" s="27" t="s">
        <v>365</v>
      </c>
      <c r="R332" s="58">
        <f>'Расчет субсидий'!X332-1</f>
        <v>0.21498419388830348</v>
      </c>
      <c r="S332" s="58">
        <f>R332*'Расчет субсидий'!Y332</f>
        <v>1.0749209694415174</v>
      </c>
      <c r="T332" s="53">
        <f t="shared" si="42"/>
        <v>10.314753940858516</v>
      </c>
      <c r="U332" s="52">
        <f>'Расчет субсидий'!AB332-1</f>
        <v>7.4999999999999956E-2</v>
      </c>
      <c r="V332" s="52">
        <f>U332*'Расчет субсидий'!AC332</f>
        <v>1.4999999999999991</v>
      </c>
      <c r="W332" s="53">
        <f t="shared" si="43"/>
        <v>14.39373809902175</v>
      </c>
      <c r="X332" s="27" t="s">
        <v>365</v>
      </c>
      <c r="Y332" s="27" t="s">
        <v>365</v>
      </c>
      <c r="Z332" s="27" t="s">
        <v>365</v>
      </c>
      <c r="AA332" s="27" t="s">
        <v>365</v>
      </c>
      <c r="AB332" s="27" t="s">
        <v>365</v>
      </c>
      <c r="AC332" s="27" t="s">
        <v>365</v>
      </c>
      <c r="AD332" s="27" t="s">
        <v>365</v>
      </c>
      <c r="AE332" s="27" t="s">
        <v>365</v>
      </c>
      <c r="AF332" s="27" t="s">
        <v>365</v>
      </c>
      <c r="AG332" s="52">
        <f t="shared" si="44"/>
        <v>-4.5228000921056326</v>
      </c>
      <c r="AH332" s="80"/>
    </row>
    <row r="333" spans="1:34" ht="15" customHeight="1">
      <c r="A333" s="33" t="s">
        <v>314</v>
      </c>
      <c r="B333" s="50">
        <f>'Расчет субсидий'!AT333</f>
        <v>-2.7909090909091105</v>
      </c>
      <c r="C333" s="52">
        <f>'Расчет субсидий'!D333-1</f>
        <v>1.8264840182648401E-2</v>
      </c>
      <c r="D333" s="52">
        <f>C333*'Расчет субсидий'!E333</f>
        <v>9.1324200913242004E-2</v>
      </c>
      <c r="E333" s="53">
        <f t="shared" si="40"/>
        <v>0.82194633847180654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2">
        <f>'Расчет субсидий'!P333-1</f>
        <v>-3.5226455787203403E-2</v>
      </c>
      <c r="M333" s="52">
        <f>L333*'Расчет субсидий'!Q333</f>
        <v>-0.70452911574406807</v>
      </c>
      <c r="N333" s="53">
        <f t="shared" si="41"/>
        <v>-6.3409821410071494</v>
      </c>
      <c r="O333" s="27" t="s">
        <v>365</v>
      </c>
      <c r="P333" s="27" t="s">
        <v>365</v>
      </c>
      <c r="Q333" s="27" t="s">
        <v>365</v>
      </c>
      <c r="R333" s="58">
        <f>'Расчет субсидий'!X333-1</f>
        <v>-9.1758018676410869E-2</v>
      </c>
      <c r="S333" s="58">
        <f>R333*'Расчет субсидий'!Y333</f>
        <v>-0.45879009338205434</v>
      </c>
      <c r="T333" s="53">
        <f t="shared" si="42"/>
        <v>-4.1292541693385694</v>
      </c>
      <c r="U333" s="52">
        <f>'Расчет субсидий'!AB333-1</f>
        <v>3.8095238095238182E-2</v>
      </c>
      <c r="V333" s="52">
        <f>U333*'Расчет субсидий'!AC333</f>
        <v>0.76190476190476364</v>
      </c>
      <c r="W333" s="53">
        <f t="shared" si="43"/>
        <v>6.8573808809648016</v>
      </c>
      <c r="X333" s="27" t="s">
        <v>365</v>
      </c>
      <c r="Y333" s="27" t="s">
        <v>365</v>
      </c>
      <c r="Z333" s="27" t="s">
        <v>365</v>
      </c>
      <c r="AA333" s="27" t="s">
        <v>365</v>
      </c>
      <c r="AB333" s="27" t="s">
        <v>365</v>
      </c>
      <c r="AC333" s="27" t="s">
        <v>365</v>
      </c>
      <c r="AD333" s="27" t="s">
        <v>365</v>
      </c>
      <c r="AE333" s="27" t="s">
        <v>365</v>
      </c>
      <c r="AF333" s="27" t="s">
        <v>365</v>
      </c>
      <c r="AG333" s="52">
        <f t="shared" si="44"/>
        <v>-0.31009024630811677</v>
      </c>
      <c r="AH333" s="80"/>
    </row>
    <row r="334" spans="1:34" ht="15" customHeight="1">
      <c r="A334" s="33" t="s">
        <v>267</v>
      </c>
      <c r="B334" s="50">
        <f>'Расчет субсидий'!AT334</f>
        <v>75.054545454545462</v>
      </c>
      <c r="C334" s="52">
        <f>'Расчет субсидий'!D334-1</f>
        <v>0.19999999999999996</v>
      </c>
      <c r="D334" s="52">
        <f>C334*'Расчет субсидий'!E334</f>
        <v>0.99999999999999978</v>
      </c>
      <c r="E334" s="53">
        <f t="shared" si="40"/>
        <v>7.2699537467706197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2">
        <f>'Расчет субсидий'!P334-1</f>
        <v>0.30000000000000004</v>
      </c>
      <c r="M334" s="52">
        <f>L334*'Расчет субсидий'!Q334</f>
        <v>6.0000000000000009</v>
      </c>
      <c r="N334" s="53">
        <f t="shared" si="41"/>
        <v>43.619722480623729</v>
      </c>
      <c r="O334" s="27" t="s">
        <v>365</v>
      </c>
      <c r="P334" s="27" t="s">
        <v>365</v>
      </c>
      <c r="Q334" s="27" t="s">
        <v>365</v>
      </c>
      <c r="R334" s="58">
        <f>'Расчет субсидий'!X334-1</f>
        <v>0.20764456981664314</v>
      </c>
      <c r="S334" s="58">
        <f>R334*'Расчет субсидий'!Y334</f>
        <v>1.0382228490832157</v>
      </c>
      <c r="T334" s="53">
        <f t="shared" si="42"/>
        <v>7.5478320916753932</v>
      </c>
      <c r="U334" s="52">
        <f>'Расчет субсидий'!AB334-1</f>
        <v>0.11428571428571432</v>
      </c>
      <c r="V334" s="52">
        <f>U334*'Расчет субсидий'!AC334</f>
        <v>2.2857142857142865</v>
      </c>
      <c r="W334" s="53">
        <f t="shared" si="43"/>
        <v>16.617037135475712</v>
      </c>
      <c r="X334" s="27" t="s">
        <v>365</v>
      </c>
      <c r="Y334" s="27" t="s">
        <v>365</v>
      </c>
      <c r="Z334" s="27" t="s">
        <v>365</v>
      </c>
      <c r="AA334" s="27" t="s">
        <v>365</v>
      </c>
      <c r="AB334" s="27" t="s">
        <v>365</v>
      </c>
      <c r="AC334" s="27" t="s">
        <v>365</v>
      </c>
      <c r="AD334" s="27" t="s">
        <v>365</v>
      </c>
      <c r="AE334" s="27" t="s">
        <v>365</v>
      </c>
      <c r="AF334" s="27" t="s">
        <v>365</v>
      </c>
      <c r="AG334" s="52">
        <f t="shared" si="44"/>
        <v>10.323937134797504</v>
      </c>
      <c r="AH334" s="80"/>
    </row>
    <row r="335" spans="1:34" ht="15" customHeight="1">
      <c r="A335" s="33" t="s">
        <v>315</v>
      </c>
      <c r="B335" s="50">
        <f>'Расчет субсидий'!AT335</f>
        <v>55.690909090909145</v>
      </c>
      <c r="C335" s="52">
        <f>'Расчет субсидий'!D335-1</f>
        <v>7.6923076923076872E-2</v>
      </c>
      <c r="D335" s="52">
        <f>C335*'Расчет субсидий'!E335</f>
        <v>0.38461538461538436</v>
      </c>
      <c r="E335" s="53">
        <f t="shared" si="40"/>
        <v>4.7001374355732013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2">
        <f>'Расчет субсидий'!P335-1</f>
        <v>4.2748091603053373E-2</v>
      </c>
      <c r="M335" s="52">
        <f>L335*'Расчет субсидий'!Q335</f>
        <v>0.85496183206106746</v>
      </c>
      <c r="N335" s="53">
        <f t="shared" si="41"/>
        <v>10.447939093426832</v>
      </c>
      <c r="O335" s="27" t="s">
        <v>365</v>
      </c>
      <c r="P335" s="27" t="s">
        <v>365</v>
      </c>
      <c r="Q335" s="27" t="s">
        <v>365</v>
      </c>
      <c r="R335" s="58">
        <f>'Расчет субсидий'!X335-1</f>
        <v>0.15686274509803932</v>
      </c>
      <c r="S335" s="58">
        <f>R335*'Расчет субсидий'!Y335</f>
        <v>0.78431372549019662</v>
      </c>
      <c r="T335" s="53">
        <f t="shared" si="42"/>
        <v>9.5845939862669329</v>
      </c>
      <c r="U335" s="52">
        <f>'Расчет субсидий'!AB335-1</f>
        <v>0.12666666666666671</v>
      </c>
      <c r="V335" s="52">
        <f>U335*'Расчет субсидий'!AC335</f>
        <v>2.5333333333333341</v>
      </c>
      <c r="W335" s="53">
        <f t="shared" si="43"/>
        <v>30.958238575642181</v>
      </c>
      <c r="X335" s="27" t="s">
        <v>365</v>
      </c>
      <c r="Y335" s="27" t="s">
        <v>365</v>
      </c>
      <c r="Z335" s="27" t="s">
        <v>365</v>
      </c>
      <c r="AA335" s="27" t="s">
        <v>365</v>
      </c>
      <c r="AB335" s="27" t="s">
        <v>365</v>
      </c>
      <c r="AC335" s="27" t="s">
        <v>365</v>
      </c>
      <c r="AD335" s="27" t="s">
        <v>365</v>
      </c>
      <c r="AE335" s="27" t="s">
        <v>365</v>
      </c>
      <c r="AF335" s="27" t="s">
        <v>365</v>
      </c>
      <c r="AG335" s="52">
        <f t="shared" si="44"/>
        <v>4.5572242754999825</v>
      </c>
      <c r="AH335" s="80"/>
    </row>
    <row r="336" spans="1:34" ht="15" customHeight="1">
      <c r="A336" s="33" t="s">
        <v>316</v>
      </c>
      <c r="B336" s="50">
        <f>'Расчет субсидий'!AT336</f>
        <v>78.118181818181824</v>
      </c>
      <c r="C336" s="52">
        <f>'Расчет субсидий'!D336-1</f>
        <v>-1</v>
      </c>
      <c r="D336" s="52">
        <f>C336*'Расчет субсидий'!E336</f>
        <v>0</v>
      </c>
      <c r="E336" s="53">
        <f t="shared" si="40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2">
        <f>'Расчет субсидий'!P336-1</f>
        <v>0.14071685947278589</v>
      </c>
      <c r="M336" s="52">
        <f>L336*'Расчет субсидий'!Q336</f>
        <v>2.8143371894557179</v>
      </c>
      <c r="N336" s="53">
        <f t="shared" si="41"/>
        <v>42.550874677050786</v>
      </c>
      <c r="O336" s="27" t="s">
        <v>365</v>
      </c>
      <c r="P336" s="27" t="s">
        <v>365</v>
      </c>
      <c r="Q336" s="27" t="s">
        <v>365</v>
      </c>
      <c r="R336" s="58">
        <f>'Расчет субсидий'!X336-1</f>
        <v>0.2155430183356839</v>
      </c>
      <c r="S336" s="58">
        <f>R336*'Расчет субсидий'!Y336</f>
        <v>1.0777150916784195</v>
      </c>
      <c r="T336" s="53">
        <f t="shared" si="42"/>
        <v>16.294323215919778</v>
      </c>
      <c r="U336" s="52">
        <f>'Расчет субсидий'!AB336-1</f>
        <v>6.3736263736263732E-2</v>
      </c>
      <c r="V336" s="52">
        <f>U336*'Расчет субсидий'!AC336</f>
        <v>1.2747252747252746</v>
      </c>
      <c r="W336" s="53">
        <f t="shared" si="43"/>
        <v>19.272983925211264</v>
      </c>
      <c r="X336" s="27" t="s">
        <v>365</v>
      </c>
      <c r="Y336" s="27" t="s">
        <v>365</v>
      </c>
      <c r="Z336" s="27" t="s">
        <v>365</v>
      </c>
      <c r="AA336" s="27" t="s">
        <v>365</v>
      </c>
      <c r="AB336" s="27" t="s">
        <v>365</v>
      </c>
      <c r="AC336" s="27" t="s">
        <v>365</v>
      </c>
      <c r="AD336" s="27" t="s">
        <v>365</v>
      </c>
      <c r="AE336" s="27" t="s">
        <v>365</v>
      </c>
      <c r="AF336" s="27" t="s">
        <v>365</v>
      </c>
      <c r="AG336" s="52">
        <f t="shared" si="44"/>
        <v>5.1667775558594116</v>
      </c>
      <c r="AH336" s="80"/>
    </row>
    <row r="337" spans="1:34" ht="15" customHeight="1">
      <c r="A337" s="33" t="s">
        <v>317</v>
      </c>
      <c r="B337" s="50">
        <f>'Расчет субсидий'!AT337</f>
        <v>58.263636363636351</v>
      </c>
      <c r="C337" s="52">
        <f>'Расчет субсидий'!D337-1</f>
        <v>6.4777327935222617E-2</v>
      </c>
      <c r="D337" s="52">
        <f>C337*'Расчет субсидий'!E337</f>
        <v>0.32388663967611309</v>
      </c>
      <c r="E337" s="53">
        <f t="shared" si="40"/>
        <v>3.3711797356222259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2">
        <f>'Расчет субсидий'!P337-1</f>
        <v>0.20776580459770111</v>
      </c>
      <c r="M337" s="52">
        <f>L337*'Расчет субсидий'!Q337</f>
        <v>4.1553160919540222</v>
      </c>
      <c r="N337" s="53">
        <f t="shared" si="41"/>
        <v>43.250679985777346</v>
      </c>
      <c r="O337" s="27" t="s">
        <v>365</v>
      </c>
      <c r="P337" s="27" t="s">
        <v>365</v>
      </c>
      <c r="Q337" s="27" t="s">
        <v>365</v>
      </c>
      <c r="R337" s="58">
        <f>'Расчет субсидий'!X337-1</f>
        <v>0.21099870298313883</v>
      </c>
      <c r="S337" s="58">
        <f>R337*'Расчет субсидий'!Y337</f>
        <v>1.0549935149156942</v>
      </c>
      <c r="T337" s="53">
        <f t="shared" si="42"/>
        <v>10.980918392475925</v>
      </c>
      <c r="U337" s="52">
        <f>'Расчет субсидий'!AB337-1</f>
        <v>3.1746031746031633E-3</v>
      </c>
      <c r="V337" s="52">
        <f>U337*'Расчет субсидий'!AC337</f>
        <v>6.3492063492063266E-2</v>
      </c>
      <c r="W337" s="53">
        <f t="shared" si="43"/>
        <v>0.66085824976086316</v>
      </c>
      <c r="X337" s="27" t="s">
        <v>365</v>
      </c>
      <c r="Y337" s="27" t="s">
        <v>365</v>
      </c>
      <c r="Z337" s="27" t="s">
        <v>365</v>
      </c>
      <c r="AA337" s="27" t="s">
        <v>365</v>
      </c>
      <c r="AB337" s="27" t="s">
        <v>365</v>
      </c>
      <c r="AC337" s="27" t="s">
        <v>365</v>
      </c>
      <c r="AD337" s="27" t="s">
        <v>365</v>
      </c>
      <c r="AE337" s="27" t="s">
        <v>365</v>
      </c>
      <c r="AF337" s="27" t="s">
        <v>365</v>
      </c>
      <c r="AG337" s="52">
        <f t="shared" si="44"/>
        <v>5.597688310037892</v>
      </c>
      <c r="AH337" s="80"/>
    </row>
    <row r="338" spans="1:34" ht="15" customHeight="1">
      <c r="A338" s="33" t="s">
        <v>318</v>
      </c>
      <c r="B338" s="50">
        <f>'Расчет субсидий'!AT338</f>
        <v>54.636363636363626</v>
      </c>
      <c r="C338" s="52">
        <f>'Расчет субсидий'!D338-1</f>
        <v>8.18965517241379E-2</v>
      </c>
      <c r="D338" s="52">
        <f>C338*'Расчет субсидий'!E338</f>
        <v>0.4094827586206895</v>
      </c>
      <c r="E338" s="53">
        <f t="shared" si="40"/>
        <v>3.3250501037579614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2">
        <f>'Расчет субсидий'!P338-1</f>
        <v>9.4047833123538815E-2</v>
      </c>
      <c r="M338" s="52">
        <f>L338*'Расчет субсидий'!Q338</f>
        <v>1.8809566624707763</v>
      </c>
      <c r="N338" s="53">
        <f t="shared" si="41"/>
        <v>15.273598250582559</v>
      </c>
      <c r="O338" s="27" t="s">
        <v>365</v>
      </c>
      <c r="P338" s="27" t="s">
        <v>365</v>
      </c>
      <c r="Q338" s="27" t="s">
        <v>365</v>
      </c>
      <c r="R338" s="58">
        <f>'Расчет субсидий'!X338-1</f>
        <v>6.3911376224968119E-2</v>
      </c>
      <c r="S338" s="58">
        <f>R338*'Расчет субсидий'!Y338</f>
        <v>0.3195568811248406</v>
      </c>
      <c r="T338" s="53">
        <f t="shared" si="42"/>
        <v>2.5948409752826054</v>
      </c>
      <c r="U338" s="52">
        <f>'Расчет субсидий'!AB338-1</f>
        <v>0.20592592592592585</v>
      </c>
      <c r="V338" s="52">
        <f>U338*'Расчет субсидий'!AC338</f>
        <v>4.1185185185185169</v>
      </c>
      <c r="W338" s="53">
        <f t="shared" si="43"/>
        <v>33.442874306740499</v>
      </c>
      <c r="X338" s="27" t="s">
        <v>365</v>
      </c>
      <c r="Y338" s="27" t="s">
        <v>365</v>
      </c>
      <c r="Z338" s="27" t="s">
        <v>365</v>
      </c>
      <c r="AA338" s="27" t="s">
        <v>365</v>
      </c>
      <c r="AB338" s="27" t="s">
        <v>365</v>
      </c>
      <c r="AC338" s="27" t="s">
        <v>365</v>
      </c>
      <c r="AD338" s="27" t="s">
        <v>365</v>
      </c>
      <c r="AE338" s="27" t="s">
        <v>365</v>
      </c>
      <c r="AF338" s="27" t="s">
        <v>365</v>
      </c>
      <c r="AG338" s="52">
        <f t="shared" si="44"/>
        <v>6.7285148207348229</v>
      </c>
      <c r="AH338" s="80"/>
    </row>
    <row r="339" spans="1:34" ht="15" customHeight="1">
      <c r="A339" s="33" t="s">
        <v>319</v>
      </c>
      <c r="B339" s="50">
        <f>'Расчет субсидий'!AT339</f>
        <v>14.872727272727275</v>
      </c>
      <c r="C339" s="52">
        <f>'Расчет субсидий'!D339-1</f>
        <v>6.3940520446096549E-2</v>
      </c>
      <c r="D339" s="52">
        <f>C339*'Расчет субсидий'!E339</f>
        <v>0.31970260223048275</v>
      </c>
      <c r="E339" s="53">
        <f t="shared" si="40"/>
        <v>2.3623907135039786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2">
        <f>'Расчет субсидий'!P339-1</f>
        <v>-8.2559339525285491E-3</v>
      </c>
      <c r="M339" s="52">
        <f>L339*'Расчет субсидий'!Q339</f>
        <v>-0.16511867905057098</v>
      </c>
      <c r="N339" s="53">
        <f t="shared" si="41"/>
        <v>-1.2201177947682036</v>
      </c>
      <c r="O339" s="27" t="s">
        <v>365</v>
      </c>
      <c r="P339" s="27" t="s">
        <v>365</v>
      </c>
      <c r="Q339" s="27" t="s">
        <v>365</v>
      </c>
      <c r="R339" s="58">
        <f>'Расчет субсидий'!X339-1</f>
        <v>0.21162878787878792</v>
      </c>
      <c r="S339" s="58">
        <f>R339*'Расчет субсидий'!Y339</f>
        <v>1.0581439393939396</v>
      </c>
      <c r="T339" s="53">
        <f t="shared" si="42"/>
        <v>7.8189836383396676</v>
      </c>
      <c r="U339" s="52">
        <f>'Расчет субсидий'!AB339-1</f>
        <v>4.0000000000000036E-2</v>
      </c>
      <c r="V339" s="52">
        <f>U339*'Расчет субсидий'!AC339</f>
        <v>0.80000000000000071</v>
      </c>
      <c r="W339" s="53">
        <f t="shared" si="43"/>
        <v>5.9114707156518307</v>
      </c>
      <c r="X339" s="27" t="s">
        <v>365</v>
      </c>
      <c r="Y339" s="27" t="s">
        <v>365</v>
      </c>
      <c r="Z339" s="27" t="s">
        <v>365</v>
      </c>
      <c r="AA339" s="27" t="s">
        <v>365</v>
      </c>
      <c r="AB339" s="27" t="s">
        <v>365</v>
      </c>
      <c r="AC339" s="27" t="s">
        <v>365</v>
      </c>
      <c r="AD339" s="27" t="s">
        <v>365</v>
      </c>
      <c r="AE339" s="27" t="s">
        <v>365</v>
      </c>
      <c r="AF339" s="27" t="s">
        <v>365</v>
      </c>
      <c r="AG339" s="52">
        <f t="shared" si="44"/>
        <v>2.0127278625738523</v>
      </c>
      <c r="AH339" s="80"/>
    </row>
    <row r="340" spans="1:34" ht="15" customHeight="1">
      <c r="A340" s="33" t="s">
        <v>320</v>
      </c>
      <c r="B340" s="50">
        <f>'Расчет субсидий'!AT340</f>
        <v>51.909090909090935</v>
      </c>
      <c r="C340" s="52">
        <f>'Расчет субсидий'!D340-1</f>
        <v>7.3913043478260887E-2</v>
      </c>
      <c r="D340" s="52">
        <f>C340*'Расчет субсидий'!E340</f>
        <v>0.36956521739130443</v>
      </c>
      <c r="E340" s="53">
        <f t="shared" si="40"/>
        <v>2.6006506985045847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2">
        <f>'Расчет субсидий'!P340-1</f>
        <v>0.30000000000000004</v>
      </c>
      <c r="M340" s="52">
        <f>L340*'Расчет субсидий'!Q340</f>
        <v>6.0000000000000009</v>
      </c>
      <c r="N340" s="53">
        <f t="shared" si="41"/>
        <v>42.2223289874862</v>
      </c>
      <c r="O340" s="27" t="s">
        <v>365</v>
      </c>
      <c r="P340" s="27" t="s">
        <v>365</v>
      </c>
      <c r="Q340" s="27" t="s">
        <v>365</v>
      </c>
      <c r="R340" s="58">
        <f>'Расчет субсидий'!X340-1</f>
        <v>0.20139423076923069</v>
      </c>
      <c r="S340" s="58">
        <f>R340*'Расчет субсидий'!Y340</f>
        <v>1.0069711538461534</v>
      </c>
      <c r="T340" s="53">
        <f t="shared" si="42"/>
        <v>7.0861112231001444</v>
      </c>
      <c r="U340" s="52">
        <f>'Расчет субсидий'!AB340-1</f>
        <v>0</v>
      </c>
      <c r="V340" s="52">
        <f>U340*'Расчет субсидий'!AC340</f>
        <v>0</v>
      </c>
      <c r="W340" s="53">
        <f t="shared" si="43"/>
        <v>0</v>
      </c>
      <c r="X340" s="27" t="s">
        <v>365</v>
      </c>
      <c r="Y340" s="27" t="s">
        <v>365</v>
      </c>
      <c r="Z340" s="27" t="s">
        <v>365</v>
      </c>
      <c r="AA340" s="27" t="s">
        <v>365</v>
      </c>
      <c r="AB340" s="27" t="s">
        <v>365</v>
      </c>
      <c r="AC340" s="27" t="s">
        <v>365</v>
      </c>
      <c r="AD340" s="27" t="s">
        <v>365</v>
      </c>
      <c r="AE340" s="27" t="s">
        <v>365</v>
      </c>
      <c r="AF340" s="27" t="s">
        <v>365</v>
      </c>
      <c r="AG340" s="52">
        <f t="shared" si="44"/>
        <v>7.3765363712374592</v>
      </c>
      <c r="AH340" s="80"/>
    </row>
    <row r="341" spans="1:34" ht="15" customHeight="1">
      <c r="A341" s="33" t="s">
        <v>321</v>
      </c>
      <c r="B341" s="50">
        <f>'Расчет субсидий'!AT341</f>
        <v>-26.399999999999977</v>
      </c>
      <c r="C341" s="52">
        <f>'Расчет субсидий'!D341-1</f>
        <v>6.8442622950819709E-2</v>
      </c>
      <c r="D341" s="52">
        <f>C341*'Расчет субсидий'!E341</f>
        <v>0.34221311475409855</v>
      </c>
      <c r="E341" s="53">
        <f t="shared" si="40"/>
        <v>3.4091980002221933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2">
        <f>'Расчет субсидий'!P341-1</f>
        <v>0.11291090995712239</v>
      </c>
      <c r="M341" s="52">
        <f>L341*'Расчет субсидий'!Q341</f>
        <v>2.2582181991424477</v>
      </c>
      <c r="N341" s="53">
        <f t="shared" si="41"/>
        <v>22.496837896215055</v>
      </c>
      <c r="O341" s="27" t="s">
        <v>365</v>
      </c>
      <c r="P341" s="27" t="s">
        <v>365</v>
      </c>
      <c r="Q341" s="27" t="s">
        <v>365</v>
      </c>
      <c r="R341" s="58">
        <f>'Расчет субсидий'!X341-1</f>
        <v>0.17991071428571437</v>
      </c>
      <c r="S341" s="58">
        <f>R341*'Расчет субсидий'!Y341</f>
        <v>0.89955357142857184</v>
      </c>
      <c r="T341" s="53">
        <f t="shared" si="42"/>
        <v>8.9615391830049376</v>
      </c>
      <c r="U341" s="52">
        <f>'Расчет субсидий'!AB341-1</f>
        <v>-0.3075</v>
      </c>
      <c r="V341" s="52">
        <f>U341*'Расчет субсидий'!AC341</f>
        <v>-6.15</v>
      </c>
      <c r="W341" s="53">
        <f t="shared" si="43"/>
        <v>-61.267575079442167</v>
      </c>
      <c r="X341" s="27" t="s">
        <v>365</v>
      </c>
      <c r="Y341" s="27" t="s">
        <v>365</v>
      </c>
      <c r="Z341" s="27" t="s">
        <v>365</v>
      </c>
      <c r="AA341" s="27" t="s">
        <v>365</v>
      </c>
      <c r="AB341" s="27" t="s">
        <v>365</v>
      </c>
      <c r="AC341" s="27" t="s">
        <v>365</v>
      </c>
      <c r="AD341" s="27" t="s">
        <v>365</v>
      </c>
      <c r="AE341" s="27" t="s">
        <v>365</v>
      </c>
      <c r="AF341" s="27" t="s">
        <v>365</v>
      </c>
      <c r="AG341" s="52">
        <f t="shared" si="44"/>
        <v>-2.6500151146748818</v>
      </c>
      <c r="AH341" s="80"/>
    </row>
    <row r="342" spans="1:34" ht="15" customHeight="1">
      <c r="A342" s="33" t="s">
        <v>322</v>
      </c>
      <c r="B342" s="50">
        <f>'Расчет субсидий'!AT342</f>
        <v>133.03636363636383</v>
      </c>
      <c r="C342" s="52">
        <f>'Расчет субсидий'!D342-1</f>
        <v>0.18497845726198747</v>
      </c>
      <c r="D342" s="52">
        <f>C342*'Расчет субсидий'!E342</f>
        <v>0.92489228630993736</v>
      </c>
      <c r="E342" s="53">
        <f t="shared" si="40"/>
        <v>18.78898194840033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2">
        <f>'Расчет субсидий'!P342-1</f>
        <v>0.17962962962962958</v>
      </c>
      <c r="M342" s="52">
        <f>L342*'Расчет субсидий'!Q342</f>
        <v>3.5925925925925917</v>
      </c>
      <c r="N342" s="53">
        <f t="shared" si="41"/>
        <v>72.982722820069952</v>
      </c>
      <c r="O342" s="27" t="s">
        <v>365</v>
      </c>
      <c r="P342" s="27" t="s">
        <v>365</v>
      </c>
      <c r="Q342" s="27" t="s">
        <v>365</v>
      </c>
      <c r="R342" s="58">
        <f>'Расчет субсидий'!X342-1</f>
        <v>0.14113632992137659</v>
      </c>
      <c r="S342" s="58">
        <f>R342*'Расчет субсидий'!Y342</f>
        <v>0.70568164960688295</v>
      </c>
      <c r="T342" s="53">
        <f t="shared" si="42"/>
        <v>14.335766415223295</v>
      </c>
      <c r="U342" s="52">
        <f>'Расчет субсидий'!AB342-1</f>
        <v>6.6279069767441801E-2</v>
      </c>
      <c r="V342" s="52">
        <f>U342*'Расчет субсидий'!AC342</f>
        <v>1.325581395348836</v>
      </c>
      <c r="W342" s="53">
        <f t="shared" si="43"/>
        <v>26.928892452670244</v>
      </c>
      <c r="X342" s="27" t="s">
        <v>365</v>
      </c>
      <c r="Y342" s="27" t="s">
        <v>365</v>
      </c>
      <c r="Z342" s="27" t="s">
        <v>365</v>
      </c>
      <c r="AA342" s="27" t="s">
        <v>365</v>
      </c>
      <c r="AB342" s="27" t="s">
        <v>365</v>
      </c>
      <c r="AC342" s="27" t="s">
        <v>365</v>
      </c>
      <c r="AD342" s="27" t="s">
        <v>365</v>
      </c>
      <c r="AE342" s="27" t="s">
        <v>365</v>
      </c>
      <c r="AF342" s="27" t="s">
        <v>365</v>
      </c>
      <c r="AG342" s="52">
        <f t="shared" si="44"/>
        <v>6.5487479238582482</v>
      </c>
      <c r="AH342" s="80"/>
    </row>
    <row r="343" spans="1:34" ht="15" customHeight="1">
      <c r="A343" s="32" t="s">
        <v>323</v>
      </c>
      <c r="B343" s="54"/>
      <c r="C343" s="55"/>
      <c r="D343" s="55"/>
      <c r="E343" s="56"/>
      <c r="F343" s="55"/>
      <c r="G343" s="55"/>
      <c r="H343" s="56"/>
      <c r="I343" s="56"/>
      <c r="J343" s="56"/>
      <c r="K343" s="56"/>
      <c r="L343" s="55"/>
      <c r="M343" s="55"/>
      <c r="N343" s="56"/>
      <c r="O343" s="55"/>
      <c r="P343" s="55"/>
      <c r="Q343" s="56"/>
      <c r="R343" s="56"/>
      <c r="S343" s="56"/>
      <c r="T343" s="56"/>
      <c r="U343" s="56"/>
      <c r="V343" s="56"/>
      <c r="W343" s="56"/>
      <c r="X343" s="27"/>
      <c r="Y343" s="27"/>
      <c r="Z343" s="27"/>
      <c r="AA343" s="27"/>
      <c r="AB343" s="27"/>
      <c r="AC343" s="27"/>
      <c r="AD343" s="27"/>
      <c r="AE343" s="27"/>
      <c r="AF343" s="27"/>
      <c r="AG343" s="56"/>
      <c r="AH343" s="80"/>
    </row>
    <row r="344" spans="1:34" ht="15" customHeight="1">
      <c r="A344" s="33" t="s">
        <v>324</v>
      </c>
      <c r="B344" s="50">
        <f>'Расчет субсидий'!AT344</f>
        <v>-46.527272727272759</v>
      </c>
      <c r="C344" s="52">
        <f>'Расчет субсидий'!D344-1</f>
        <v>1.1111111111111072E-2</v>
      </c>
      <c r="D344" s="52">
        <f>C344*'Расчет субсидий'!E344</f>
        <v>5.5555555555555358E-2</v>
      </c>
      <c r="E344" s="53">
        <f t="shared" si="40"/>
        <v>0.38644170473783712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2">
        <f>'Расчет субсидий'!P344-1</f>
        <v>-0.34117257369990051</v>
      </c>
      <c r="M344" s="52">
        <f>L344*'Расчет субсидий'!Q344</f>
        <v>-6.8234514739980101</v>
      </c>
      <c r="N344" s="53">
        <f t="shared" si="41"/>
        <v>-47.463591956538743</v>
      </c>
      <c r="O344" s="27" t="s">
        <v>365</v>
      </c>
      <c r="P344" s="27" t="s">
        <v>365</v>
      </c>
      <c r="Q344" s="27" t="s">
        <v>365</v>
      </c>
      <c r="R344" s="58">
        <f>'Расчет субсидий'!X344-1</f>
        <v>1.5810276679841806E-2</v>
      </c>
      <c r="S344" s="58">
        <f>R344*'Расчет субсидий'!Y344</f>
        <v>7.905138339920903E-2</v>
      </c>
      <c r="T344" s="53">
        <f t="shared" si="42"/>
        <v>0.54987752452814642</v>
      </c>
      <c r="U344" s="52">
        <f>'Расчет субсидий'!AB344-1</f>
        <v>0</v>
      </c>
      <c r="V344" s="52">
        <f>U344*'Расчет субсидий'!AC344</f>
        <v>0</v>
      </c>
      <c r="W344" s="53">
        <f t="shared" si="43"/>
        <v>0</v>
      </c>
      <c r="X344" s="27" t="s">
        <v>365</v>
      </c>
      <c r="Y344" s="27" t="s">
        <v>365</v>
      </c>
      <c r="Z344" s="27" t="s">
        <v>365</v>
      </c>
      <c r="AA344" s="27" t="s">
        <v>365</v>
      </c>
      <c r="AB344" s="27" t="s">
        <v>365</v>
      </c>
      <c r="AC344" s="27" t="s">
        <v>365</v>
      </c>
      <c r="AD344" s="27" t="s">
        <v>365</v>
      </c>
      <c r="AE344" s="27" t="s">
        <v>365</v>
      </c>
      <c r="AF344" s="27" t="s">
        <v>365</v>
      </c>
      <c r="AG344" s="52">
        <f t="shared" si="44"/>
        <v>-6.6888445350432457</v>
      </c>
      <c r="AH344" s="80"/>
    </row>
    <row r="345" spans="1:34" ht="15" customHeight="1">
      <c r="A345" s="33" t="s">
        <v>325</v>
      </c>
      <c r="B345" s="50">
        <f>'Расчет субсидий'!AT345</f>
        <v>-38.090909090909065</v>
      </c>
      <c r="C345" s="52">
        <f>'Расчет субсидий'!D345-1</f>
        <v>0.2350526315789474</v>
      </c>
      <c r="D345" s="52">
        <f>C345*'Расчет субсидий'!E345</f>
        <v>1.175263157894737</v>
      </c>
      <c r="E345" s="53">
        <f t="shared" si="40"/>
        <v>6.7261899036656505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2">
        <f>'Расчет субсидий'!P345-1</f>
        <v>-0.44622578490313958</v>
      </c>
      <c r="M345" s="52">
        <f>L345*'Расчет субсидий'!Q345</f>
        <v>-8.9245156980627911</v>
      </c>
      <c r="N345" s="53">
        <f t="shared" si="41"/>
        <v>-51.076209596278325</v>
      </c>
      <c r="O345" s="27" t="s">
        <v>365</v>
      </c>
      <c r="P345" s="27" t="s">
        <v>365</v>
      </c>
      <c r="Q345" s="27" t="s">
        <v>365</v>
      </c>
      <c r="R345" s="58">
        <f>'Расчет субсидий'!X345-1</f>
        <v>-0.33837293016558678</v>
      </c>
      <c r="S345" s="58">
        <f>R345*'Расчет субсидий'!Y345</f>
        <v>-1.691864650827934</v>
      </c>
      <c r="T345" s="53">
        <f t="shared" si="42"/>
        <v>-9.6827700726639261</v>
      </c>
      <c r="U345" s="52">
        <f>'Расчет субсидий'!AB345-1</f>
        <v>0.13927576601671299</v>
      </c>
      <c r="V345" s="52">
        <f>U345*'Расчет субсидий'!AC345</f>
        <v>2.7855153203342597</v>
      </c>
      <c r="W345" s="53">
        <f t="shared" si="43"/>
        <v>15.941880674367548</v>
      </c>
      <c r="X345" s="27" t="s">
        <v>365</v>
      </c>
      <c r="Y345" s="27" t="s">
        <v>365</v>
      </c>
      <c r="Z345" s="27" t="s">
        <v>365</v>
      </c>
      <c r="AA345" s="27" t="s">
        <v>365</v>
      </c>
      <c r="AB345" s="27" t="s">
        <v>365</v>
      </c>
      <c r="AC345" s="27" t="s">
        <v>365</v>
      </c>
      <c r="AD345" s="27" t="s">
        <v>365</v>
      </c>
      <c r="AE345" s="27" t="s">
        <v>365</v>
      </c>
      <c r="AF345" s="27" t="s">
        <v>365</v>
      </c>
      <c r="AG345" s="52">
        <f t="shared" si="44"/>
        <v>-6.6556018706617293</v>
      </c>
      <c r="AH345" s="80"/>
    </row>
    <row r="346" spans="1:34" ht="15" customHeight="1">
      <c r="A346" s="33" t="s">
        <v>326</v>
      </c>
      <c r="B346" s="50">
        <f>'Расчет субсидий'!AT346</f>
        <v>-76.899999999999977</v>
      </c>
      <c r="C346" s="52">
        <f>'Расчет субсидий'!D346-1</f>
        <v>6.341463414634152E-2</v>
      </c>
      <c r="D346" s="52">
        <f>C346*'Расчет субсидий'!E346</f>
        <v>0.3170731707317076</v>
      </c>
      <c r="E346" s="53">
        <f t="shared" si="40"/>
        <v>2.4354700639709153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2">
        <f>'Расчет субсидий'!P346-1</f>
        <v>-0.55373406193078323</v>
      </c>
      <c r="M346" s="52">
        <f>L346*'Расчет субсидий'!Q346</f>
        <v>-11.074681238615664</v>
      </c>
      <c r="N346" s="53">
        <f t="shared" si="41"/>
        <v>-85.065710739339934</v>
      </c>
      <c r="O346" s="27" t="s">
        <v>365</v>
      </c>
      <c r="P346" s="27" t="s">
        <v>365</v>
      </c>
      <c r="Q346" s="27" t="s">
        <v>365</v>
      </c>
      <c r="R346" s="58">
        <f>'Расчет субсидий'!X346-1</f>
        <v>0.14920368818105612</v>
      </c>
      <c r="S346" s="58">
        <f>R346*'Расчет субсидий'!Y346</f>
        <v>0.74601844090528058</v>
      </c>
      <c r="T346" s="53">
        <f t="shared" si="42"/>
        <v>5.7302406753690498</v>
      </c>
      <c r="U346" s="52">
        <f>'Расчет субсидий'!AB346-1</f>
        <v>0</v>
      </c>
      <c r="V346" s="52">
        <f>U346*'Расчет субсидий'!AC346</f>
        <v>0</v>
      </c>
      <c r="W346" s="53">
        <f t="shared" si="43"/>
        <v>0</v>
      </c>
      <c r="X346" s="27" t="s">
        <v>365</v>
      </c>
      <c r="Y346" s="27" t="s">
        <v>365</v>
      </c>
      <c r="Z346" s="27" t="s">
        <v>365</v>
      </c>
      <c r="AA346" s="27" t="s">
        <v>365</v>
      </c>
      <c r="AB346" s="27" t="s">
        <v>365</v>
      </c>
      <c r="AC346" s="27" t="s">
        <v>365</v>
      </c>
      <c r="AD346" s="27" t="s">
        <v>365</v>
      </c>
      <c r="AE346" s="27" t="s">
        <v>365</v>
      </c>
      <c r="AF346" s="27" t="s">
        <v>365</v>
      </c>
      <c r="AG346" s="52">
        <f t="shared" si="44"/>
        <v>-10.011589626978676</v>
      </c>
      <c r="AH346" s="80"/>
    </row>
    <row r="347" spans="1:34" ht="15" customHeight="1">
      <c r="A347" s="33" t="s">
        <v>327</v>
      </c>
      <c r="B347" s="50">
        <f>'Расчет субсидий'!AT347</f>
        <v>-100.96363636363637</v>
      </c>
      <c r="C347" s="52">
        <f>'Расчет субсидий'!D347-1</f>
        <v>-2.9279279279279313E-2</v>
      </c>
      <c r="D347" s="52">
        <f>C347*'Расчет субсидий'!E347</f>
        <v>-0.14639639639639657</v>
      </c>
      <c r="E347" s="53">
        <f t="shared" si="40"/>
        <v>-1.0320971423037311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2">
        <f>'Расчет субсидий'!P347-1</f>
        <v>-0.62772133526850515</v>
      </c>
      <c r="M347" s="52">
        <f>L347*'Расчет субсидий'!Q347</f>
        <v>-12.554426705370103</v>
      </c>
      <c r="N347" s="53">
        <f t="shared" si="41"/>
        <v>-88.508926755201642</v>
      </c>
      <c r="O347" s="27" t="s">
        <v>365</v>
      </c>
      <c r="P347" s="27" t="s">
        <v>365</v>
      </c>
      <c r="Q347" s="27" t="s">
        <v>365</v>
      </c>
      <c r="R347" s="58">
        <f>'Расчет субсидий'!X347-1</f>
        <v>-0.32404494382022475</v>
      </c>
      <c r="S347" s="58">
        <f>R347*'Расчет субсидий'!Y347</f>
        <v>-1.6202247191011239</v>
      </c>
      <c r="T347" s="53">
        <f t="shared" si="42"/>
        <v>-11.422612466131003</v>
      </c>
      <c r="U347" s="52">
        <f>'Расчет субсидий'!AB347-1</f>
        <v>0</v>
      </c>
      <c r="V347" s="52">
        <f>U347*'Расчет субсидий'!AC347</f>
        <v>0</v>
      </c>
      <c r="W347" s="53">
        <f t="shared" si="43"/>
        <v>0</v>
      </c>
      <c r="X347" s="27" t="s">
        <v>365</v>
      </c>
      <c r="Y347" s="27" t="s">
        <v>365</v>
      </c>
      <c r="Z347" s="27" t="s">
        <v>365</v>
      </c>
      <c r="AA347" s="27" t="s">
        <v>365</v>
      </c>
      <c r="AB347" s="27" t="s">
        <v>365</v>
      </c>
      <c r="AC347" s="27" t="s">
        <v>365</v>
      </c>
      <c r="AD347" s="27" t="s">
        <v>365</v>
      </c>
      <c r="AE347" s="27" t="s">
        <v>365</v>
      </c>
      <c r="AF347" s="27" t="s">
        <v>365</v>
      </c>
      <c r="AG347" s="52">
        <f t="shared" si="44"/>
        <v>-14.321047820867623</v>
      </c>
      <c r="AH347" s="80"/>
    </row>
    <row r="348" spans="1:34" ht="15" customHeight="1">
      <c r="A348" s="33" t="s">
        <v>328</v>
      </c>
      <c r="B348" s="50">
        <f>'Расчет субсидий'!AT348</f>
        <v>3.9545454545454675</v>
      </c>
      <c r="C348" s="52">
        <f>'Расчет субсидий'!D348-1</f>
        <v>2.0689655172414501E-3</v>
      </c>
      <c r="D348" s="52">
        <f>C348*'Расчет субсидий'!E348</f>
        <v>1.034482758620725E-2</v>
      </c>
      <c r="E348" s="53">
        <f t="shared" si="40"/>
        <v>3.1146268528390222E-2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2">
        <f>'Расчет субсидий'!P348-1</f>
        <v>0.13300220750551883</v>
      </c>
      <c r="M348" s="52">
        <f>L348*'Расчет субсидий'!Q348</f>
        <v>2.6600441501103766</v>
      </c>
      <c r="N348" s="53">
        <f t="shared" si="41"/>
        <v>8.008876775015155</v>
      </c>
      <c r="O348" s="27" t="s">
        <v>365</v>
      </c>
      <c r="P348" s="27" t="s">
        <v>365</v>
      </c>
      <c r="Q348" s="27" t="s">
        <v>365</v>
      </c>
      <c r="R348" s="58">
        <f>'Расчет субсидий'!X348-1</f>
        <v>-0.27138763814981581</v>
      </c>
      <c r="S348" s="58">
        <f>R348*'Расчет субсидий'!Y348</f>
        <v>-1.3569381907490792</v>
      </c>
      <c r="T348" s="53">
        <f t="shared" si="42"/>
        <v>-4.0854775889980788</v>
      </c>
      <c r="U348" s="52">
        <f>'Расчет субсидий'!AB348-1</f>
        <v>0</v>
      </c>
      <c r="V348" s="52">
        <f>U348*'Расчет субсидий'!AC348</f>
        <v>0</v>
      </c>
      <c r="W348" s="53">
        <f t="shared" si="43"/>
        <v>0</v>
      </c>
      <c r="X348" s="27" t="s">
        <v>365</v>
      </c>
      <c r="Y348" s="27" t="s">
        <v>365</v>
      </c>
      <c r="Z348" s="27" t="s">
        <v>365</v>
      </c>
      <c r="AA348" s="27" t="s">
        <v>365</v>
      </c>
      <c r="AB348" s="27" t="s">
        <v>365</v>
      </c>
      <c r="AC348" s="27" t="s">
        <v>365</v>
      </c>
      <c r="AD348" s="27" t="s">
        <v>365</v>
      </c>
      <c r="AE348" s="27" t="s">
        <v>365</v>
      </c>
      <c r="AF348" s="27" t="s">
        <v>365</v>
      </c>
      <c r="AG348" s="52">
        <f t="shared" si="44"/>
        <v>1.3134507869475049</v>
      </c>
      <c r="AH348" s="80"/>
    </row>
    <row r="349" spans="1:34" ht="15" customHeight="1">
      <c r="A349" s="33" t="s">
        <v>329</v>
      </c>
      <c r="B349" s="50">
        <f>'Расчет субсидий'!AT349</f>
        <v>45.127272727272725</v>
      </c>
      <c r="C349" s="52">
        <f>'Расчет субсидий'!D349-1</f>
        <v>0</v>
      </c>
      <c r="D349" s="52">
        <f>C349*'Расчет субсидий'!E349</f>
        <v>0</v>
      </c>
      <c r="E349" s="53">
        <f t="shared" si="40"/>
        <v>0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2">
        <f>'Расчет субсидий'!P349-1</f>
        <v>0.2939192993431341</v>
      </c>
      <c r="M349" s="52">
        <f>L349*'Расчет субсидий'!Q349</f>
        <v>5.878385986862682</v>
      </c>
      <c r="N349" s="53">
        <f t="shared" si="41"/>
        <v>37.409310335678839</v>
      </c>
      <c r="O349" s="27" t="s">
        <v>365</v>
      </c>
      <c r="P349" s="27" t="s">
        <v>365</v>
      </c>
      <c r="Q349" s="27" t="s">
        <v>365</v>
      </c>
      <c r="R349" s="58">
        <f>'Расчет субсидий'!X349-1</f>
        <v>1.5282730514518672E-2</v>
      </c>
      <c r="S349" s="58">
        <f>R349*'Расчет субсидий'!Y349</f>
        <v>7.641365257259336E-2</v>
      </c>
      <c r="T349" s="53">
        <f t="shared" si="42"/>
        <v>0.48628689054434227</v>
      </c>
      <c r="U349" s="52">
        <f>'Расчет субсидий'!AB349-1</f>
        <v>5.6818181818181879E-2</v>
      </c>
      <c r="V349" s="52">
        <f>U349*'Расчет субсидий'!AC349</f>
        <v>1.1363636363636376</v>
      </c>
      <c r="W349" s="53">
        <f t="shared" si="43"/>
        <v>7.231675501049545</v>
      </c>
      <c r="X349" s="27" t="s">
        <v>365</v>
      </c>
      <c r="Y349" s="27" t="s">
        <v>365</v>
      </c>
      <c r="Z349" s="27" t="s">
        <v>365</v>
      </c>
      <c r="AA349" s="27" t="s">
        <v>365</v>
      </c>
      <c r="AB349" s="27" t="s">
        <v>365</v>
      </c>
      <c r="AC349" s="27" t="s">
        <v>365</v>
      </c>
      <c r="AD349" s="27" t="s">
        <v>365</v>
      </c>
      <c r="AE349" s="27" t="s">
        <v>365</v>
      </c>
      <c r="AF349" s="27" t="s">
        <v>365</v>
      </c>
      <c r="AG349" s="52">
        <f t="shared" si="44"/>
        <v>7.0911632757989134</v>
      </c>
      <c r="AH349" s="80"/>
    </row>
    <row r="350" spans="1:34" ht="15" customHeight="1">
      <c r="A350" s="33" t="s">
        <v>330</v>
      </c>
      <c r="B350" s="50">
        <f>'Расчет субсидий'!AT350</f>
        <v>-65.090909090909065</v>
      </c>
      <c r="C350" s="52">
        <f>'Расчет субсидий'!D350-1</f>
        <v>-1</v>
      </c>
      <c r="D350" s="52">
        <f>C350*'Расчет субсидий'!E350</f>
        <v>0</v>
      </c>
      <c r="E350" s="53">
        <f t="shared" si="40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2">
        <f>'Расчет субсидий'!P350-1</f>
        <v>-0.32707283554741184</v>
      </c>
      <c r="M350" s="52">
        <f>L350*'Расчет субсидий'!Q350</f>
        <v>-6.5414567109482373</v>
      </c>
      <c r="N350" s="53">
        <f t="shared" si="41"/>
        <v>-51.166069035830589</v>
      </c>
      <c r="O350" s="27" t="s">
        <v>365</v>
      </c>
      <c r="P350" s="27" t="s">
        <v>365</v>
      </c>
      <c r="Q350" s="27" t="s">
        <v>365</v>
      </c>
      <c r="R350" s="58">
        <f>'Расчет субсидий'!X350-1</f>
        <v>-0.35605134474327627</v>
      </c>
      <c r="S350" s="58">
        <f>R350*'Расчет субсидий'!Y350</f>
        <v>-1.7802567237163813</v>
      </c>
      <c r="T350" s="53">
        <f t="shared" si="42"/>
        <v>-13.924840055078482</v>
      </c>
      <c r="U350" s="52">
        <f>'Расчет субсидий'!AB350-1</f>
        <v>0</v>
      </c>
      <c r="V350" s="52">
        <f>U350*'Расчет субсидий'!AC350</f>
        <v>0</v>
      </c>
      <c r="W350" s="53">
        <f t="shared" si="43"/>
        <v>0</v>
      </c>
      <c r="X350" s="27" t="s">
        <v>365</v>
      </c>
      <c r="Y350" s="27" t="s">
        <v>365</v>
      </c>
      <c r="Z350" s="27" t="s">
        <v>365</v>
      </c>
      <c r="AA350" s="27" t="s">
        <v>365</v>
      </c>
      <c r="AB350" s="27" t="s">
        <v>365</v>
      </c>
      <c r="AC350" s="27" t="s">
        <v>365</v>
      </c>
      <c r="AD350" s="27" t="s">
        <v>365</v>
      </c>
      <c r="AE350" s="27" t="s">
        <v>365</v>
      </c>
      <c r="AF350" s="27" t="s">
        <v>365</v>
      </c>
      <c r="AG350" s="52">
        <f t="shared" si="44"/>
        <v>-8.321713434664618</v>
      </c>
      <c r="AH350" s="80"/>
    </row>
    <row r="351" spans="1:34" ht="15" customHeight="1">
      <c r="A351" s="33" t="s">
        <v>331</v>
      </c>
      <c r="B351" s="50">
        <f>'Расчет субсидий'!AT351</f>
        <v>-16.300000000000011</v>
      </c>
      <c r="C351" s="52">
        <f>'Расчет субсидий'!D351-1</f>
        <v>5.9405940594059459E-2</v>
      </c>
      <c r="D351" s="52">
        <f>C351*'Расчет субсидий'!E351</f>
        <v>0.29702970297029729</v>
      </c>
      <c r="E351" s="53">
        <f t="shared" si="40"/>
        <v>1.0896838307885215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2">
        <f>'Расчет субсидий'!P351-1</f>
        <v>-9.8204857444561755E-2</v>
      </c>
      <c r="M351" s="52">
        <f>L351*'Расчет субсидий'!Q351</f>
        <v>-1.9640971488912351</v>
      </c>
      <c r="N351" s="53">
        <f t="shared" si="41"/>
        <v>-7.2054911809901938</v>
      </c>
      <c r="O351" s="27" t="s">
        <v>365</v>
      </c>
      <c r="P351" s="27" t="s">
        <v>365</v>
      </c>
      <c r="Q351" s="27" t="s">
        <v>365</v>
      </c>
      <c r="R351" s="58">
        <f>'Расчет субсидий'!X351-1</f>
        <v>-0.5552083333333333</v>
      </c>
      <c r="S351" s="58">
        <f>R351*'Расчет субсидий'!Y351</f>
        <v>-2.7760416666666665</v>
      </c>
      <c r="T351" s="53">
        <f t="shared" si="42"/>
        <v>-10.184192649798337</v>
      </c>
      <c r="U351" s="52">
        <f>'Расчет субсидий'!AB351-1</f>
        <v>0</v>
      </c>
      <c r="V351" s="52">
        <f>U351*'Расчет субсидий'!AC351</f>
        <v>0</v>
      </c>
      <c r="W351" s="53">
        <f t="shared" si="43"/>
        <v>0</v>
      </c>
      <c r="X351" s="27" t="s">
        <v>365</v>
      </c>
      <c r="Y351" s="27" t="s">
        <v>365</v>
      </c>
      <c r="Z351" s="27" t="s">
        <v>365</v>
      </c>
      <c r="AA351" s="27" t="s">
        <v>365</v>
      </c>
      <c r="AB351" s="27" t="s">
        <v>365</v>
      </c>
      <c r="AC351" s="27" t="s">
        <v>365</v>
      </c>
      <c r="AD351" s="27" t="s">
        <v>365</v>
      </c>
      <c r="AE351" s="27" t="s">
        <v>365</v>
      </c>
      <c r="AF351" s="27" t="s">
        <v>365</v>
      </c>
      <c r="AG351" s="52">
        <f t="shared" si="44"/>
        <v>-4.4431091125876048</v>
      </c>
      <c r="AH351" s="80"/>
    </row>
    <row r="352" spans="1:34" ht="15" customHeight="1">
      <c r="A352" s="33" t="s">
        <v>332</v>
      </c>
      <c r="B352" s="50">
        <f>'Расчет субсидий'!AT352</f>
        <v>17.545454545454504</v>
      </c>
      <c r="C352" s="52">
        <f>'Расчет субсидий'!D352-1</f>
        <v>0.17681642276839482</v>
      </c>
      <c r="D352" s="52">
        <f>C352*'Расчет субсидий'!E352</f>
        <v>0.8840821138419741</v>
      </c>
      <c r="E352" s="53">
        <f t="shared" si="40"/>
        <v>9.2821224210408477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2">
        <f>'Расчет субсидий'!P352-1</f>
        <v>2.5860167622408614E-2</v>
      </c>
      <c r="M352" s="52">
        <f>L352*'Расчет субсидий'!Q352</f>
        <v>0.51720335244817228</v>
      </c>
      <c r="N352" s="53">
        <f t="shared" si="41"/>
        <v>5.4302024199245196</v>
      </c>
      <c r="O352" s="27" t="s">
        <v>365</v>
      </c>
      <c r="P352" s="27" t="s">
        <v>365</v>
      </c>
      <c r="Q352" s="27" t="s">
        <v>365</v>
      </c>
      <c r="R352" s="58">
        <f>'Расчет субсидий'!X352-1</f>
        <v>5.3968676221195055E-2</v>
      </c>
      <c r="S352" s="58">
        <f>R352*'Расчет субсидий'!Y352</f>
        <v>0.26984338110597528</v>
      </c>
      <c r="T352" s="53">
        <f t="shared" si="42"/>
        <v>2.8331297044891368</v>
      </c>
      <c r="U352" s="52">
        <f>'Расчет субсидий'!AB352-1</f>
        <v>0</v>
      </c>
      <c r="V352" s="52">
        <f>U352*'Расчет субсидий'!AC352</f>
        <v>0</v>
      </c>
      <c r="W352" s="53">
        <f t="shared" si="43"/>
        <v>0</v>
      </c>
      <c r="X352" s="27" t="s">
        <v>365</v>
      </c>
      <c r="Y352" s="27" t="s">
        <v>365</v>
      </c>
      <c r="Z352" s="27" t="s">
        <v>365</v>
      </c>
      <c r="AA352" s="27" t="s">
        <v>365</v>
      </c>
      <c r="AB352" s="27" t="s">
        <v>365</v>
      </c>
      <c r="AC352" s="27" t="s">
        <v>365</v>
      </c>
      <c r="AD352" s="27" t="s">
        <v>365</v>
      </c>
      <c r="AE352" s="27" t="s">
        <v>365</v>
      </c>
      <c r="AF352" s="27" t="s">
        <v>365</v>
      </c>
      <c r="AG352" s="52">
        <f t="shared" si="44"/>
        <v>1.6711288473961217</v>
      </c>
      <c r="AH352" s="80"/>
    </row>
    <row r="353" spans="1:34" ht="15" customHeight="1">
      <c r="A353" s="33" t="s">
        <v>333</v>
      </c>
      <c r="B353" s="50">
        <f>'Расчет субсидий'!AT353</f>
        <v>6.5818181818181927</v>
      </c>
      <c r="C353" s="52">
        <f>'Расчет субсидий'!D353-1</f>
        <v>-4.3333333333333446E-2</v>
      </c>
      <c r="D353" s="52">
        <f>C353*'Расчет субсидий'!E353</f>
        <v>-0.21666666666666723</v>
      </c>
      <c r="E353" s="53">
        <f t="shared" si="40"/>
        <v>-0.74634697068492328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2">
        <f>'Расчет субсидий'!P353-1</f>
        <v>0.11811023622047245</v>
      </c>
      <c r="M353" s="52">
        <f>L353*'Расчет субсидий'!Q353</f>
        <v>2.3622047244094491</v>
      </c>
      <c r="N353" s="53">
        <f t="shared" si="41"/>
        <v>8.1370354163104714</v>
      </c>
      <c r="O353" s="27" t="s">
        <v>365</v>
      </c>
      <c r="P353" s="27" t="s">
        <v>365</v>
      </c>
      <c r="Q353" s="27" t="s">
        <v>365</v>
      </c>
      <c r="R353" s="58">
        <f>'Расчет субсидий'!X353-1</f>
        <v>-0.15705521472392636</v>
      </c>
      <c r="S353" s="58">
        <f>R353*'Расчет субсидий'!Y353</f>
        <v>-0.78527607361963181</v>
      </c>
      <c r="T353" s="53">
        <f t="shared" si="42"/>
        <v>-2.7050234709108998</v>
      </c>
      <c r="U353" s="52">
        <f>'Расчет субсидий'!AB353-1</f>
        <v>2.7522935779816571E-2</v>
      </c>
      <c r="V353" s="52">
        <f>U353*'Расчет субсидий'!AC353</f>
        <v>0.55045871559633142</v>
      </c>
      <c r="W353" s="53">
        <f t="shared" si="43"/>
        <v>1.8961532071035447</v>
      </c>
      <c r="X353" s="27" t="s">
        <v>365</v>
      </c>
      <c r="Y353" s="27" t="s">
        <v>365</v>
      </c>
      <c r="Z353" s="27" t="s">
        <v>365</v>
      </c>
      <c r="AA353" s="27" t="s">
        <v>365</v>
      </c>
      <c r="AB353" s="27" t="s">
        <v>365</v>
      </c>
      <c r="AC353" s="27" t="s">
        <v>365</v>
      </c>
      <c r="AD353" s="27" t="s">
        <v>365</v>
      </c>
      <c r="AE353" s="27" t="s">
        <v>365</v>
      </c>
      <c r="AF353" s="27" t="s">
        <v>365</v>
      </c>
      <c r="AG353" s="52">
        <f t="shared" si="44"/>
        <v>1.9107206997194814</v>
      </c>
      <c r="AH353" s="80"/>
    </row>
    <row r="354" spans="1:34" ht="15" customHeight="1">
      <c r="A354" s="33" t="s">
        <v>334</v>
      </c>
      <c r="B354" s="50">
        <f>'Расчет субсидий'!AT354</f>
        <v>4.4909090909090423</v>
      </c>
      <c r="C354" s="52">
        <f>'Расчет субсидий'!D354-1</f>
        <v>-0.15000000000000002</v>
      </c>
      <c r="D354" s="52">
        <f>C354*'Расчет субсидий'!E354</f>
        <v>-0.75000000000000011</v>
      </c>
      <c r="E354" s="53">
        <f t="shared" si="40"/>
        <v>-5.3713724204130671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2">
        <f>'Расчет субсидий'!P354-1</f>
        <v>8.1385281385281338E-2</v>
      </c>
      <c r="M354" s="52">
        <f>L354*'Расчет субсидий'!Q354</f>
        <v>1.6277056277056268</v>
      </c>
      <c r="N354" s="53">
        <f t="shared" si="41"/>
        <v>11.657350822945522</v>
      </c>
      <c r="O354" s="27" t="s">
        <v>365</v>
      </c>
      <c r="P354" s="27" t="s">
        <v>365</v>
      </c>
      <c r="Q354" s="27" t="s">
        <v>365</v>
      </c>
      <c r="R354" s="58">
        <f>'Расчет субсидий'!X354-1</f>
        <v>-5.0128789379829564E-2</v>
      </c>
      <c r="S354" s="58">
        <f>R354*'Расчет субсидий'!Y354</f>
        <v>-0.25064394689914782</v>
      </c>
      <c r="T354" s="53">
        <f t="shared" si="42"/>
        <v>-1.7950693116234129</v>
      </c>
      <c r="U354" s="52">
        <f>'Расчет субсидий'!AB354-1</f>
        <v>0</v>
      </c>
      <c r="V354" s="52">
        <f>U354*'Расчет субсидий'!AC354</f>
        <v>0</v>
      </c>
      <c r="W354" s="53">
        <f t="shared" si="43"/>
        <v>0</v>
      </c>
      <c r="X354" s="27" t="s">
        <v>365</v>
      </c>
      <c r="Y354" s="27" t="s">
        <v>365</v>
      </c>
      <c r="Z354" s="27" t="s">
        <v>365</v>
      </c>
      <c r="AA354" s="27" t="s">
        <v>365</v>
      </c>
      <c r="AB354" s="27" t="s">
        <v>365</v>
      </c>
      <c r="AC354" s="27" t="s">
        <v>365</v>
      </c>
      <c r="AD354" s="27" t="s">
        <v>365</v>
      </c>
      <c r="AE354" s="27" t="s">
        <v>365</v>
      </c>
      <c r="AF354" s="27" t="s">
        <v>365</v>
      </c>
      <c r="AG354" s="52">
        <f t="shared" si="44"/>
        <v>0.62706168080647884</v>
      </c>
      <c r="AH354" s="80"/>
    </row>
    <row r="355" spans="1:34" ht="15" customHeight="1">
      <c r="A355" s="32" t="s">
        <v>335</v>
      </c>
      <c r="B355" s="54"/>
      <c r="C355" s="55"/>
      <c r="D355" s="55"/>
      <c r="E355" s="56"/>
      <c r="F355" s="55"/>
      <c r="G355" s="55"/>
      <c r="H355" s="56"/>
      <c r="I355" s="56"/>
      <c r="J355" s="56"/>
      <c r="K355" s="56"/>
      <c r="L355" s="55"/>
      <c r="M355" s="55"/>
      <c r="N355" s="56"/>
      <c r="O355" s="55"/>
      <c r="P355" s="55"/>
      <c r="Q355" s="56"/>
      <c r="R355" s="56"/>
      <c r="S355" s="56"/>
      <c r="T355" s="56"/>
      <c r="U355" s="56"/>
      <c r="V355" s="56"/>
      <c r="W355" s="56"/>
      <c r="X355" s="27"/>
      <c r="Y355" s="27"/>
      <c r="Z355" s="27"/>
      <c r="AA355" s="27"/>
      <c r="AB355" s="27"/>
      <c r="AC355" s="27"/>
      <c r="AD355" s="27"/>
      <c r="AE355" s="27"/>
      <c r="AF355" s="27"/>
      <c r="AG355" s="56"/>
      <c r="AH355" s="80"/>
    </row>
    <row r="356" spans="1:34" ht="15" customHeight="1">
      <c r="A356" s="33" t="s">
        <v>336</v>
      </c>
      <c r="B356" s="50">
        <f>'Расчет субсидий'!AT356</f>
        <v>20.018181818181802</v>
      </c>
      <c r="C356" s="52">
        <f>'Расчет субсидий'!D356-1</f>
        <v>1.1764705882352899E-2</v>
      </c>
      <c r="D356" s="52">
        <f>C356*'Расчет субсидий'!E356</f>
        <v>5.8823529411764497E-2</v>
      </c>
      <c r="E356" s="53">
        <f t="shared" si="40"/>
        <v>0.26419873779087966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2">
        <f>'Расчет субсидий'!P356-1</f>
        <v>0.20358078602620089</v>
      </c>
      <c r="M356" s="52">
        <f>L356*'Расчет субсидий'!Q356</f>
        <v>4.0716157205240178</v>
      </c>
      <c r="N356" s="53">
        <f t="shared" si="41"/>
        <v>18.287167480243188</v>
      </c>
      <c r="O356" s="27" t="s">
        <v>365</v>
      </c>
      <c r="P356" s="27" t="s">
        <v>365</v>
      </c>
      <c r="Q356" s="27" t="s">
        <v>365</v>
      </c>
      <c r="R356" s="58">
        <f>'Расчет субсидий'!X356-1</f>
        <v>6.5316943841889685E-2</v>
      </c>
      <c r="S356" s="58">
        <f>R356*'Расчет субсидий'!Y356</f>
        <v>0.32658471920944843</v>
      </c>
      <c r="T356" s="53">
        <f t="shared" si="42"/>
        <v>1.4668156001477322</v>
      </c>
      <c r="U356" s="52">
        <f>'Расчет субсидий'!AB356-1</f>
        <v>0</v>
      </c>
      <c r="V356" s="52">
        <f>U356*'Расчет субсидий'!AC356</f>
        <v>0</v>
      </c>
      <c r="W356" s="53">
        <f t="shared" si="43"/>
        <v>0</v>
      </c>
      <c r="X356" s="27" t="s">
        <v>365</v>
      </c>
      <c r="Y356" s="27" t="s">
        <v>365</v>
      </c>
      <c r="Z356" s="27" t="s">
        <v>365</v>
      </c>
      <c r="AA356" s="27" t="s">
        <v>365</v>
      </c>
      <c r="AB356" s="27" t="s">
        <v>365</v>
      </c>
      <c r="AC356" s="27" t="s">
        <v>365</v>
      </c>
      <c r="AD356" s="27" t="s">
        <v>365</v>
      </c>
      <c r="AE356" s="27" t="s">
        <v>365</v>
      </c>
      <c r="AF356" s="27" t="s">
        <v>365</v>
      </c>
      <c r="AG356" s="52">
        <f t="shared" si="44"/>
        <v>4.4570239691452311</v>
      </c>
      <c r="AH356" s="80"/>
    </row>
    <row r="357" spans="1:34" ht="15" customHeight="1">
      <c r="A357" s="33" t="s">
        <v>51</v>
      </c>
      <c r="B357" s="50">
        <f>'Расчет субсидий'!AT357</f>
        <v>-42.172727272727229</v>
      </c>
      <c r="C357" s="52">
        <f>'Расчет субсидий'!D357-1</f>
        <v>9.2207792207792183E-2</v>
      </c>
      <c r="D357" s="52">
        <f>C357*'Расчет субсидий'!E357</f>
        <v>0.46103896103896091</v>
      </c>
      <c r="E357" s="53">
        <f t="shared" si="40"/>
        <v>7.3538817955490989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2">
        <f>'Расчет субсидий'!P357-1</f>
        <v>-0.17142857142857149</v>
      </c>
      <c r="M357" s="52">
        <f>L357*'Расчет субсидий'!Q357</f>
        <v>-3.4285714285714297</v>
      </c>
      <c r="N357" s="53">
        <f t="shared" si="41"/>
        <v>-54.688022366900377</v>
      </c>
      <c r="O357" s="27" t="s">
        <v>365</v>
      </c>
      <c r="P357" s="27" t="s">
        <v>365</v>
      </c>
      <c r="Q357" s="27" t="s">
        <v>365</v>
      </c>
      <c r="R357" s="58">
        <f>'Расчет субсидий'!X357-1</f>
        <v>6.4717184497867786E-2</v>
      </c>
      <c r="S357" s="58">
        <f>R357*'Расчет субсидий'!Y357</f>
        <v>0.32358592248933893</v>
      </c>
      <c r="T357" s="53">
        <f t="shared" si="42"/>
        <v>5.1614132986240575</v>
      </c>
      <c r="U357" s="52">
        <f>'Расчет субсидий'!AB357-1</f>
        <v>0</v>
      </c>
      <c r="V357" s="52">
        <f>U357*'Расчет субсидий'!AC357</f>
        <v>0</v>
      </c>
      <c r="W357" s="53">
        <f t="shared" si="43"/>
        <v>0</v>
      </c>
      <c r="X357" s="27" t="s">
        <v>365</v>
      </c>
      <c r="Y357" s="27" t="s">
        <v>365</v>
      </c>
      <c r="Z357" s="27" t="s">
        <v>365</v>
      </c>
      <c r="AA357" s="27" t="s">
        <v>365</v>
      </c>
      <c r="AB357" s="27" t="s">
        <v>365</v>
      </c>
      <c r="AC357" s="27" t="s">
        <v>365</v>
      </c>
      <c r="AD357" s="27" t="s">
        <v>365</v>
      </c>
      <c r="AE357" s="27" t="s">
        <v>365</v>
      </c>
      <c r="AF357" s="27" t="s">
        <v>365</v>
      </c>
      <c r="AG357" s="52">
        <f t="shared" si="44"/>
        <v>-2.6439465450431303</v>
      </c>
      <c r="AH357" s="80"/>
    </row>
    <row r="358" spans="1:34" ht="15" customHeight="1">
      <c r="A358" s="33" t="s">
        <v>337</v>
      </c>
      <c r="B358" s="50">
        <f>'Расчет субсидий'!AT358</f>
        <v>-4.6090909090909236</v>
      </c>
      <c r="C358" s="52">
        <f>'Расчет субсидий'!D358-1</f>
        <v>0</v>
      </c>
      <c r="D358" s="52">
        <f>C358*'Расчет субсидий'!E358</f>
        <v>0</v>
      </c>
      <c r="E358" s="53">
        <f t="shared" si="40"/>
        <v>0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2">
        <f>'Расчет субсидий'!P358-1</f>
        <v>-6.1952074810052604E-2</v>
      </c>
      <c r="M358" s="52">
        <f>L358*'Расчет субсидий'!Q358</f>
        <v>-1.2390414962010521</v>
      </c>
      <c r="N358" s="53">
        <f t="shared" si="41"/>
        <v>-6.3350068052424104</v>
      </c>
      <c r="O358" s="27" t="s">
        <v>365</v>
      </c>
      <c r="P358" s="27" t="s">
        <v>365</v>
      </c>
      <c r="Q358" s="27" t="s">
        <v>365</v>
      </c>
      <c r="R358" s="58">
        <f>'Расчет субсидий'!X358-1</f>
        <v>6.7513152867177961E-2</v>
      </c>
      <c r="S358" s="58">
        <f>R358*'Расчет субсидий'!Y358</f>
        <v>0.33756576433588981</v>
      </c>
      <c r="T358" s="53">
        <f t="shared" si="42"/>
        <v>1.7259158961514867</v>
      </c>
      <c r="U358" s="52">
        <f>'Расчет субсидий'!AB358-1</f>
        <v>0</v>
      </c>
      <c r="V358" s="52">
        <f>U358*'Расчет субсидий'!AC358</f>
        <v>0</v>
      </c>
      <c r="W358" s="53">
        <f t="shared" si="43"/>
        <v>0</v>
      </c>
      <c r="X358" s="27" t="s">
        <v>365</v>
      </c>
      <c r="Y358" s="27" t="s">
        <v>365</v>
      </c>
      <c r="Z358" s="27" t="s">
        <v>365</v>
      </c>
      <c r="AA358" s="27" t="s">
        <v>365</v>
      </c>
      <c r="AB358" s="27" t="s">
        <v>365</v>
      </c>
      <c r="AC358" s="27" t="s">
        <v>365</v>
      </c>
      <c r="AD358" s="27" t="s">
        <v>365</v>
      </c>
      <c r="AE358" s="27" t="s">
        <v>365</v>
      </c>
      <c r="AF358" s="27" t="s">
        <v>365</v>
      </c>
      <c r="AG358" s="52">
        <f t="shared" si="44"/>
        <v>-0.90147573186516228</v>
      </c>
      <c r="AH358" s="80"/>
    </row>
    <row r="359" spans="1:34" ht="15" customHeight="1">
      <c r="A359" s="33" t="s">
        <v>338</v>
      </c>
      <c r="B359" s="50">
        <f>'Расчет субсидий'!AT359</f>
        <v>15.172727272727229</v>
      </c>
      <c r="C359" s="52">
        <f>'Расчет субсидий'!D359-1</f>
        <v>6.2464863514355429E-5</v>
      </c>
      <c r="D359" s="52">
        <f>C359*'Расчет субсидий'!E359</f>
        <v>3.1232431757177714E-4</v>
      </c>
      <c r="E359" s="53">
        <f t="shared" si="40"/>
        <v>2.4969409296132245E-3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2">
        <f>'Расчет субсидий'!P359-1</f>
        <v>7.3529411764705843E-2</v>
      </c>
      <c r="M359" s="52">
        <f>L359*'Расчет субсидий'!Q359</f>
        <v>1.4705882352941169</v>
      </c>
      <c r="N359" s="53">
        <f t="shared" si="41"/>
        <v>11.756919806507494</v>
      </c>
      <c r="O359" s="27" t="s">
        <v>365</v>
      </c>
      <c r="P359" s="27" t="s">
        <v>365</v>
      </c>
      <c r="Q359" s="27" t="s">
        <v>365</v>
      </c>
      <c r="R359" s="58">
        <f>'Расчет субсидий'!X359-1</f>
        <v>7.7905645598602025E-2</v>
      </c>
      <c r="S359" s="58">
        <f>R359*'Расчет субсидий'!Y359</f>
        <v>0.38952822799301012</v>
      </c>
      <c r="T359" s="53">
        <f t="shared" si="42"/>
        <v>3.1141634544416572</v>
      </c>
      <c r="U359" s="52">
        <f>'Расчет субсидий'!AB359-1</f>
        <v>1.8709073900842199E-3</v>
      </c>
      <c r="V359" s="52">
        <f>U359*'Расчет субсидий'!AC359</f>
        <v>3.7418147801684398E-2</v>
      </c>
      <c r="W359" s="53">
        <f t="shared" si="43"/>
        <v>0.29914707084846492</v>
      </c>
      <c r="X359" s="27" t="s">
        <v>365</v>
      </c>
      <c r="Y359" s="27" t="s">
        <v>365</v>
      </c>
      <c r="Z359" s="27" t="s">
        <v>365</v>
      </c>
      <c r="AA359" s="27" t="s">
        <v>365</v>
      </c>
      <c r="AB359" s="27" t="s">
        <v>365</v>
      </c>
      <c r="AC359" s="27" t="s">
        <v>365</v>
      </c>
      <c r="AD359" s="27" t="s">
        <v>365</v>
      </c>
      <c r="AE359" s="27" t="s">
        <v>365</v>
      </c>
      <c r="AF359" s="27" t="s">
        <v>365</v>
      </c>
      <c r="AG359" s="52">
        <f t="shared" si="44"/>
        <v>1.8978469354063832</v>
      </c>
      <c r="AH359" s="80"/>
    </row>
    <row r="360" spans="1:34" ht="15" customHeight="1">
      <c r="A360" s="33" t="s">
        <v>339</v>
      </c>
      <c r="B360" s="50">
        <f>'Расчет субсидий'!AT360</f>
        <v>-17.036363636363632</v>
      </c>
      <c r="C360" s="52">
        <f>'Расчет субсидий'!D360-1</f>
        <v>-3.1983919597989963E-2</v>
      </c>
      <c r="D360" s="52">
        <f>C360*'Расчет субсидий'!E360</f>
        <v>-0.15991959798994981</v>
      </c>
      <c r="E360" s="53">
        <f t="shared" si="40"/>
        <v>-0.57287097677827958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2">
        <f>'Расчет субсидий'!P360-1</f>
        <v>-0.27095808383233522</v>
      </c>
      <c r="M360" s="52">
        <f>L360*'Расчет субсидий'!Q360</f>
        <v>-5.4191616766467039</v>
      </c>
      <c r="N360" s="53">
        <f t="shared" si="41"/>
        <v>-19.412757923610577</v>
      </c>
      <c r="O360" s="27" t="s">
        <v>365</v>
      </c>
      <c r="P360" s="27" t="s">
        <v>365</v>
      </c>
      <c r="Q360" s="27" t="s">
        <v>365</v>
      </c>
      <c r="R360" s="58">
        <f>'Расчет субсидий'!X360-1</f>
        <v>6.7099247898539938E-2</v>
      </c>
      <c r="S360" s="58">
        <f>R360*'Расчет субсидий'!Y360</f>
        <v>0.33549623949269969</v>
      </c>
      <c r="T360" s="53">
        <f t="shared" si="42"/>
        <v>1.2018292994689812</v>
      </c>
      <c r="U360" s="52">
        <f>'Расчет субсидий'!AB360-1</f>
        <v>2.4390243902439046E-2</v>
      </c>
      <c r="V360" s="52">
        <f>U360*'Расчет субсидий'!AC360</f>
        <v>0.48780487804878092</v>
      </c>
      <c r="W360" s="53">
        <f t="shared" si="43"/>
        <v>1.7474359645562436</v>
      </c>
      <c r="X360" s="27" t="s">
        <v>365</v>
      </c>
      <c r="Y360" s="27" t="s">
        <v>365</v>
      </c>
      <c r="Z360" s="27" t="s">
        <v>365</v>
      </c>
      <c r="AA360" s="27" t="s">
        <v>365</v>
      </c>
      <c r="AB360" s="27" t="s">
        <v>365</v>
      </c>
      <c r="AC360" s="27" t="s">
        <v>365</v>
      </c>
      <c r="AD360" s="27" t="s">
        <v>365</v>
      </c>
      <c r="AE360" s="27" t="s">
        <v>365</v>
      </c>
      <c r="AF360" s="27" t="s">
        <v>365</v>
      </c>
      <c r="AG360" s="52">
        <f t="shared" si="44"/>
        <v>-4.755780157095173</v>
      </c>
      <c r="AH360" s="80"/>
    </row>
    <row r="361" spans="1:34" ht="15" customHeight="1">
      <c r="A361" s="33" t="s">
        <v>340</v>
      </c>
      <c r="B361" s="50">
        <f>'Расчет субсидий'!AT361</f>
        <v>34.009090909090958</v>
      </c>
      <c r="C361" s="52">
        <f>'Расчет субсидий'!D361-1</f>
        <v>7.4766355140186924E-2</v>
      </c>
      <c r="D361" s="52">
        <f>C361*'Расчет субсидий'!E361</f>
        <v>0.37383177570093462</v>
      </c>
      <c r="E361" s="53">
        <f t="shared" si="40"/>
        <v>2.1866851021396161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2">
        <f>'Расчет субсидий'!P361-1</f>
        <v>0.24615882917466414</v>
      </c>
      <c r="M361" s="52">
        <f>L361*'Расчет субсидий'!Q361</f>
        <v>4.9231765834932828</v>
      </c>
      <c r="N361" s="53">
        <f t="shared" si="41"/>
        <v>28.797543681625726</v>
      </c>
      <c r="O361" s="27" t="s">
        <v>365</v>
      </c>
      <c r="P361" s="27" t="s">
        <v>365</v>
      </c>
      <c r="Q361" s="27" t="s">
        <v>365</v>
      </c>
      <c r="R361" s="58">
        <f>'Расчет субсидий'!X361-1</f>
        <v>0.10342500421798539</v>
      </c>
      <c r="S361" s="58">
        <f>R361*'Расчет субсидий'!Y361</f>
        <v>0.51712502108992697</v>
      </c>
      <c r="T361" s="53">
        <f t="shared" si="42"/>
        <v>3.0248621253256158</v>
      </c>
      <c r="U361" s="52">
        <f>'Расчет субсидий'!AB361-1</f>
        <v>0</v>
      </c>
      <c r="V361" s="52">
        <f>U361*'Расчет субсидий'!AC361</f>
        <v>0</v>
      </c>
      <c r="W361" s="53">
        <f t="shared" si="43"/>
        <v>0</v>
      </c>
      <c r="X361" s="27" t="s">
        <v>365</v>
      </c>
      <c r="Y361" s="27" t="s">
        <v>365</v>
      </c>
      <c r="Z361" s="27" t="s">
        <v>365</v>
      </c>
      <c r="AA361" s="27" t="s">
        <v>365</v>
      </c>
      <c r="AB361" s="27" t="s">
        <v>365</v>
      </c>
      <c r="AC361" s="27" t="s">
        <v>365</v>
      </c>
      <c r="AD361" s="27" t="s">
        <v>365</v>
      </c>
      <c r="AE361" s="27" t="s">
        <v>365</v>
      </c>
      <c r="AF361" s="27" t="s">
        <v>365</v>
      </c>
      <c r="AG361" s="52">
        <f t="shared" si="44"/>
        <v>5.8141333802841446</v>
      </c>
      <c r="AH361" s="80"/>
    </row>
    <row r="362" spans="1:34" ht="15" customHeight="1">
      <c r="A362" s="33" t="s">
        <v>341</v>
      </c>
      <c r="B362" s="50">
        <f>'Расчет субсидий'!AT362</f>
        <v>-22.854545454545416</v>
      </c>
      <c r="C362" s="52">
        <f>'Расчет субсидий'!D362-1</f>
        <v>4.2528735632183956E-2</v>
      </c>
      <c r="D362" s="52">
        <f>C362*'Расчет субсидий'!E362</f>
        <v>0.21264367816091978</v>
      </c>
      <c r="E362" s="53">
        <f t="shared" si="40"/>
        <v>1.618768396087511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2">
        <f>'Расчет субсидий'!P362-1</f>
        <v>-0.17765814266487212</v>
      </c>
      <c r="M362" s="52">
        <f>L362*'Расчет субсидий'!Q362</f>
        <v>-3.5531628532974424</v>
      </c>
      <c r="N362" s="53">
        <f t="shared" si="41"/>
        <v>-27.048759609572521</v>
      </c>
      <c r="O362" s="27" t="s">
        <v>365</v>
      </c>
      <c r="P362" s="27" t="s">
        <v>365</v>
      </c>
      <c r="Q362" s="27" t="s">
        <v>365</v>
      </c>
      <c r="R362" s="58">
        <f>'Расчет субсидий'!X362-1</f>
        <v>6.7662830632041926E-2</v>
      </c>
      <c r="S362" s="58">
        <f>R362*'Расчет субсидий'!Y362</f>
        <v>0.33831415316020963</v>
      </c>
      <c r="T362" s="53">
        <f t="shared" si="42"/>
        <v>2.5754457589395954</v>
      </c>
      <c r="U362" s="52">
        <f>'Расчет субсидий'!AB362-1</f>
        <v>0</v>
      </c>
      <c r="V362" s="52">
        <f>U362*'Расчет субсидий'!AC362</f>
        <v>0</v>
      </c>
      <c r="W362" s="53">
        <f t="shared" si="43"/>
        <v>0</v>
      </c>
      <c r="X362" s="27" t="s">
        <v>365</v>
      </c>
      <c r="Y362" s="27" t="s">
        <v>365</v>
      </c>
      <c r="Z362" s="27" t="s">
        <v>365</v>
      </c>
      <c r="AA362" s="27" t="s">
        <v>365</v>
      </c>
      <c r="AB362" s="27" t="s">
        <v>365</v>
      </c>
      <c r="AC362" s="27" t="s">
        <v>365</v>
      </c>
      <c r="AD362" s="27" t="s">
        <v>365</v>
      </c>
      <c r="AE362" s="27" t="s">
        <v>365</v>
      </c>
      <c r="AF362" s="27" t="s">
        <v>365</v>
      </c>
      <c r="AG362" s="52">
        <f t="shared" si="44"/>
        <v>-3.0022050219763132</v>
      </c>
      <c r="AH362" s="80"/>
    </row>
    <row r="363" spans="1:34" ht="15" customHeight="1">
      <c r="A363" s="33" t="s">
        <v>342</v>
      </c>
      <c r="B363" s="50">
        <f>'Расчет субсидий'!AT363</f>
        <v>-23.100000000000023</v>
      </c>
      <c r="C363" s="52">
        <f>'Расчет субсидий'!D363-1</f>
        <v>7.575757575757347E-4</v>
      </c>
      <c r="D363" s="52">
        <f>C363*'Расчет субсидий'!E363</f>
        <v>3.7878787878786735E-3</v>
      </c>
      <c r="E363" s="53">
        <f t="shared" si="40"/>
        <v>2.704657157052362E-2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2">
        <f>'Расчет субсидий'!P363-1</f>
        <v>-0.1834733893557422</v>
      </c>
      <c r="M363" s="52">
        <f>L363*'Расчет субсидий'!Q363</f>
        <v>-3.669467787114844</v>
      </c>
      <c r="N363" s="53">
        <f t="shared" si="41"/>
        <v>-26.201082106302987</v>
      </c>
      <c r="O363" s="27" t="s">
        <v>365</v>
      </c>
      <c r="P363" s="27" t="s">
        <v>365</v>
      </c>
      <c r="Q363" s="27" t="s">
        <v>365</v>
      </c>
      <c r="R363" s="58">
        <f>'Расчет субсидий'!X363-1</f>
        <v>6.6591686583251208E-2</v>
      </c>
      <c r="S363" s="58">
        <f>R363*'Расчет субсидий'!Y363</f>
        <v>0.33295843291625604</v>
      </c>
      <c r="T363" s="53">
        <f t="shared" si="42"/>
        <v>2.3774213986721033</v>
      </c>
      <c r="U363" s="52">
        <f>'Расчет субсидий'!AB363-1</f>
        <v>4.8780487804878092E-3</v>
      </c>
      <c r="V363" s="52">
        <f>U363*'Расчет субсидий'!AC363</f>
        <v>9.7560975609756184E-2</v>
      </c>
      <c r="W363" s="53">
        <f t="shared" si="43"/>
        <v>0.69661413606033729</v>
      </c>
      <c r="X363" s="27" t="s">
        <v>365</v>
      </c>
      <c r="Y363" s="27" t="s">
        <v>365</v>
      </c>
      <c r="Z363" s="27" t="s">
        <v>365</v>
      </c>
      <c r="AA363" s="27" t="s">
        <v>365</v>
      </c>
      <c r="AB363" s="27" t="s">
        <v>365</v>
      </c>
      <c r="AC363" s="27" t="s">
        <v>365</v>
      </c>
      <c r="AD363" s="27" t="s">
        <v>365</v>
      </c>
      <c r="AE363" s="27" t="s">
        <v>365</v>
      </c>
      <c r="AF363" s="27" t="s">
        <v>365</v>
      </c>
      <c r="AG363" s="52">
        <f t="shared" si="44"/>
        <v>-3.2351604998009531</v>
      </c>
      <c r="AH363" s="80"/>
    </row>
    <row r="364" spans="1:34" ht="15" customHeight="1">
      <c r="A364" s="33" t="s">
        <v>343</v>
      </c>
      <c r="B364" s="50">
        <f>'Расчет субсидий'!AT364</f>
        <v>22.736363636363649</v>
      </c>
      <c r="C364" s="52">
        <f>'Расчет субсидий'!D364-1</f>
        <v>5.4838709677419439E-2</v>
      </c>
      <c r="D364" s="52">
        <f>C364*'Расчет субсидий'!E364</f>
        <v>0.2741935483870972</v>
      </c>
      <c r="E364" s="53">
        <f t="shared" si="40"/>
        <v>1.3238872100022521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2">
        <f>'Расчет субсидий'!P364-1</f>
        <v>0.20312925170068019</v>
      </c>
      <c r="M364" s="52">
        <f>L364*'Расчет субсидий'!Q364</f>
        <v>4.0625850340136038</v>
      </c>
      <c r="N364" s="53">
        <f t="shared" si="41"/>
        <v>19.615357099810844</v>
      </c>
      <c r="O364" s="27" t="s">
        <v>365</v>
      </c>
      <c r="P364" s="27" t="s">
        <v>365</v>
      </c>
      <c r="Q364" s="27" t="s">
        <v>365</v>
      </c>
      <c r="R364" s="58">
        <f>'Расчет субсидий'!X364-1</f>
        <v>7.4441164065795151E-2</v>
      </c>
      <c r="S364" s="58">
        <f>R364*'Расчет субсидий'!Y364</f>
        <v>0.37220582032897576</v>
      </c>
      <c r="T364" s="53">
        <f t="shared" si="42"/>
        <v>1.7971193265505558</v>
      </c>
      <c r="U364" s="52">
        <f>'Расчет субсидий'!AB364-1</f>
        <v>0</v>
      </c>
      <c r="V364" s="52">
        <f>U364*'Расчет субсидий'!AC364</f>
        <v>0</v>
      </c>
      <c r="W364" s="53">
        <f t="shared" si="43"/>
        <v>0</v>
      </c>
      <c r="X364" s="27" t="s">
        <v>365</v>
      </c>
      <c r="Y364" s="27" t="s">
        <v>365</v>
      </c>
      <c r="Z364" s="27" t="s">
        <v>365</v>
      </c>
      <c r="AA364" s="27" t="s">
        <v>365</v>
      </c>
      <c r="AB364" s="27" t="s">
        <v>365</v>
      </c>
      <c r="AC364" s="27" t="s">
        <v>365</v>
      </c>
      <c r="AD364" s="27" t="s">
        <v>365</v>
      </c>
      <c r="AE364" s="27" t="s">
        <v>365</v>
      </c>
      <c r="AF364" s="27" t="s">
        <v>365</v>
      </c>
      <c r="AG364" s="52">
        <f t="shared" si="44"/>
        <v>4.7089844027296763</v>
      </c>
      <c r="AH364" s="80"/>
    </row>
    <row r="365" spans="1:34" ht="15" customHeight="1">
      <c r="A365" s="33" t="s">
        <v>344</v>
      </c>
      <c r="B365" s="50">
        <f>'Расчет субсидий'!AT365</f>
        <v>-4.1818181818181301</v>
      </c>
      <c r="C365" s="52">
        <f>'Расчет субсидий'!D365-1</f>
        <v>7.2282413145164481E-2</v>
      </c>
      <c r="D365" s="52">
        <f>C365*'Расчет субсидий'!E365</f>
        <v>0.36141206572582241</v>
      </c>
      <c r="E365" s="53">
        <f t="shared" si="40"/>
        <v>3.3646536694766311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2">
        <f>'Расчет субсидий'!P365-1</f>
        <v>-1.1171171171171168E-2</v>
      </c>
      <c r="M365" s="52">
        <f>L365*'Расчет субсидий'!Q365</f>
        <v>-0.22342342342342336</v>
      </c>
      <c r="N365" s="53">
        <f t="shared" si="41"/>
        <v>-2.0800147885459528</v>
      </c>
      <c r="O365" s="27" t="s">
        <v>365</v>
      </c>
      <c r="P365" s="27" t="s">
        <v>365</v>
      </c>
      <c r="Q365" s="27" t="s">
        <v>365</v>
      </c>
      <c r="R365" s="58">
        <f>'Расчет субсидий'!X365-1</f>
        <v>-0.11743517956526373</v>
      </c>
      <c r="S365" s="58">
        <f>R365*'Расчет субсидий'!Y365</f>
        <v>-0.58717589782631863</v>
      </c>
      <c r="T365" s="53">
        <f t="shared" si="42"/>
        <v>-5.4664570627488089</v>
      </c>
      <c r="U365" s="52">
        <f>'Расчет субсидий'!AB365-1</f>
        <v>0</v>
      </c>
      <c r="V365" s="52">
        <f>U365*'Расчет субсидий'!AC365</f>
        <v>0</v>
      </c>
      <c r="W365" s="53">
        <f t="shared" si="43"/>
        <v>0</v>
      </c>
      <c r="X365" s="27" t="s">
        <v>365</v>
      </c>
      <c r="Y365" s="27" t="s">
        <v>365</v>
      </c>
      <c r="Z365" s="27" t="s">
        <v>365</v>
      </c>
      <c r="AA365" s="27" t="s">
        <v>365</v>
      </c>
      <c r="AB365" s="27" t="s">
        <v>365</v>
      </c>
      <c r="AC365" s="27" t="s">
        <v>365</v>
      </c>
      <c r="AD365" s="27" t="s">
        <v>365</v>
      </c>
      <c r="AE365" s="27" t="s">
        <v>365</v>
      </c>
      <c r="AF365" s="27" t="s">
        <v>365</v>
      </c>
      <c r="AG365" s="52">
        <f t="shared" si="44"/>
        <v>-0.44918725552391958</v>
      </c>
      <c r="AH365" s="80"/>
    </row>
    <row r="366" spans="1:34" ht="15" customHeight="1">
      <c r="A366" s="32" t="s">
        <v>345</v>
      </c>
      <c r="B366" s="54"/>
      <c r="C366" s="55"/>
      <c r="D366" s="55"/>
      <c r="E366" s="56"/>
      <c r="F366" s="55"/>
      <c r="G366" s="55"/>
      <c r="H366" s="56"/>
      <c r="I366" s="56"/>
      <c r="J366" s="56"/>
      <c r="K366" s="56"/>
      <c r="L366" s="55"/>
      <c r="M366" s="55"/>
      <c r="N366" s="56"/>
      <c r="O366" s="55"/>
      <c r="P366" s="55"/>
      <c r="Q366" s="56"/>
      <c r="R366" s="56"/>
      <c r="S366" s="56"/>
      <c r="T366" s="56"/>
      <c r="U366" s="56"/>
      <c r="V366" s="56"/>
      <c r="W366" s="56"/>
      <c r="X366" s="27"/>
      <c r="Y366" s="27"/>
      <c r="Z366" s="27"/>
      <c r="AA366" s="27"/>
      <c r="AB366" s="27"/>
      <c r="AC366" s="27"/>
      <c r="AD366" s="27"/>
      <c r="AE366" s="27"/>
      <c r="AF366" s="27"/>
      <c r="AG366" s="56"/>
      <c r="AH366" s="80"/>
    </row>
    <row r="367" spans="1:34" ht="15" customHeight="1">
      <c r="A367" s="33" t="s">
        <v>346</v>
      </c>
      <c r="B367" s="50">
        <f>'Расчет субсидий'!AT367</f>
        <v>-63.909090909090878</v>
      </c>
      <c r="C367" s="52">
        <f>'Расчет субсидий'!D367-1</f>
        <v>-5.5666800160192209E-2</v>
      </c>
      <c r="D367" s="52">
        <f>C367*'Расчет субсидий'!E367</f>
        <v>-0.27833400080096105</v>
      </c>
      <c r="E367" s="53">
        <f t="shared" si="40"/>
        <v>-2.9004630160817331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2">
        <f>'Расчет субсидий'!P367-1</f>
        <v>-0.187619961612284</v>
      </c>
      <c r="M367" s="52">
        <f>L367*'Расчет субсидий'!Q367</f>
        <v>-3.7523992322456801</v>
      </c>
      <c r="N367" s="53">
        <f t="shared" si="41"/>
        <v>-39.103002735498009</v>
      </c>
      <c r="O367" s="27" t="s">
        <v>365</v>
      </c>
      <c r="P367" s="27" t="s">
        <v>365</v>
      </c>
      <c r="Q367" s="27" t="s">
        <v>365</v>
      </c>
      <c r="R367" s="58">
        <f>'Расчет субсидий'!X367-1</f>
        <v>-4.7872340425532123E-3</v>
      </c>
      <c r="S367" s="58">
        <f>R367*'Расчет субсидий'!Y367</f>
        <v>-2.3936170212766061E-2</v>
      </c>
      <c r="T367" s="53">
        <f t="shared" si="42"/>
        <v>-0.24943404775908884</v>
      </c>
      <c r="U367" s="52">
        <f>'Расчет субсидий'!AB367-1</f>
        <v>-0.10390848427073407</v>
      </c>
      <c r="V367" s="52">
        <f>U367*'Расчет субсидий'!AC367</f>
        <v>-2.0781696854146814</v>
      </c>
      <c r="W367" s="53">
        <f t="shared" si="43"/>
        <v>-21.656191109752054</v>
      </c>
      <c r="X367" s="27" t="s">
        <v>365</v>
      </c>
      <c r="Y367" s="27" t="s">
        <v>365</v>
      </c>
      <c r="Z367" s="27" t="s">
        <v>365</v>
      </c>
      <c r="AA367" s="27" t="s">
        <v>365</v>
      </c>
      <c r="AB367" s="27" t="s">
        <v>365</v>
      </c>
      <c r="AC367" s="27" t="s">
        <v>365</v>
      </c>
      <c r="AD367" s="27" t="s">
        <v>365</v>
      </c>
      <c r="AE367" s="27" t="s">
        <v>365</v>
      </c>
      <c r="AF367" s="27" t="s">
        <v>365</v>
      </c>
      <c r="AG367" s="52">
        <f t="shared" si="44"/>
        <v>-6.1328390886740882</v>
      </c>
      <c r="AH367" s="80"/>
    </row>
    <row r="368" spans="1:34" ht="15" customHeight="1">
      <c r="A368" s="33" t="s">
        <v>347</v>
      </c>
      <c r="B368" s="50">
        <f>'Расчет субсидий'!AT368</f>
        <v>5.3181818181818699</v>
      </c>
      <c r="C368" s="52">
        <f>'Расчет субсидий'!D368-1</f>
        <v>-1</v>
      </c>
      <c r="D368" s="52">
        <f>C368*'Расчет субсидий'!E368</f>
        <v>0</v>
      </c>
      <c r="E368" s="53">
        <f t="shared" si="40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2">
        <f>'Расчет субсидий'!P368-1</f>
        <v>7.1486596263200752E-2</v>
      </c>
      <c r="M368" s="52">
        <f>L368*'Расчет субсидий'!Q368</f>
        <v>1.429731925264015</v>
      </c>
      <c r="N368" s="53">
        <f t="shared" si="41"/>
        <v>13.306953214780862</v>
      </c>
      <c r="O368" s="27" t="s">
        <v>365</v>
      </c>
      <c r="P368" s="27" t="s">
        <v>365</v>
      </c>
      <c r="Q368" s="27" t="s">
        <v>365</v>
      </c>
      <c r="R368" s="58">
        <f>'Расчет субсидий'!X368-1</f>
        <v>-0.17166666666666663</v>
      </c>
      <c r="S368" s="58">
        <f>R368*'Расчет субсидий'!Y368</f>
        <v>-0.85833333333333317</v>
      </c>
      <c r="T368" s="53">
        <f t="shared" si="42"/>
        <v>-7.9887713965989908</v>
      </c>
      <c r="U368" s="52">
        <f>'Расчет субсидий'!AB368-1</f>
        <v>0</v>
      </c>
      <c r="V368" s="52">
        <f>U368*'Расчет субсидий'!AC368</f>
        <v>0</v>
      </c>
      <c r="W368" s="53">
        <f t="shared" si="43"/>
        <v>0</v>
      </c>
      <c r="X368" s="27" t="s">
        <v>365</v>
      </c>
      <c r="Y368" s="27" t="s">
        <v>365</v>
      </c>
      <c r="Z368" s="27" t="s">
        <v>365</v>
      </c>
      <c r="AA368" s="27" t="s">
        <v>365</v>
      </c>
      <c r="AB368" s="27" t="s">
        <v>365</v>
      </c>
      <c r="AC368" s="27" t="s">
        <v>365</v>
      </c>
      <c r="AD368" s="27" t="s">
        <v>365</v>
      </c>
      <c r="AE368" s="27" t="s">
        <v>365</v>
      </c>
      <c r="AF368" s="27" t="s">
        <v>365</v>
      </c>
      <c r="AG368" s="52">
        <f t="shared" si="44"/>
        <v>0.57139859193068188</v>
      </c>
      <c r="AH368" s="80"/>
    </row>
    <row r="369" spans="1:34" ht="15" customHeight="1">
      <c r="A369" s="33" t="s">
        <v>348</v>
      </c>
      <c r="B369" s="50">
        <f>'Расчет субсидий'!AT369</f>
        <v>0.63636363636363669</v>
      </c>
      <c r="C369" s="52">
        <f>'Расчет субсидий'!D369-1</f>
        <v>0.22149166666666664</v>
      </c>
      <c r="D369" s="52">
        <f>C369*'Расчет субсидий'!E369</f>
        <v>1.1074583333333332</v>
      </c>
      <c r="E369" s="53">
        <f t="shared" si="40"/>
        <v>0.10208158457668423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2">
        <f>'Расчет субсидий'!P369-1</f>
        <v>0.30000000000000004</v>
      </c>
      <c r="M369" s="52">
        <f>L369*'Расчет субсидий'!Q369</f>
        <v>6.0000000000000009</v>
      </c>
      <c r="N369" s="53">
        <f t="shared" si="41"/>
        <v>0.55305873731301158</v>
      </c>
      <c r="O369" s="27" t="s">
        <v>365</v>
      </c>
      <c r="P369" s="27" t="s">
        <v>365</v>
      </c>
      <c r="Q369" s="27" t="s">
        <v>365</v>
      </c>
      <c r="R369" s="58">
        <f>'Расчет субсидий'!X369-1</f>
        <v>-4.0740740740740744E-2</v>
      </c>
      <c r="S369" s="58">
        <f>R369*'Расчет субсидий'!Y369</f>
        <v>-0.20370370370370372</v>
      </c>
      <c r="T369" s="53">
        <f t="shared" si="42"/>
        <v>-1.8776685526059034E-2</v>
      </c>
      <c r="U369" s="52">
        <f>'Расчет субсидий'!AB369-1</f>
        <v>0</v>
      </c>
      <c r="V369" s="52">
        <f>U369*'Расчет субсидий'!AC369</f>
        <v>0</v>
      </c>
      <c r="W369" s="53">
        <f t="shared" si="43"/>
        <v>0</v>
      </c>
      <c r="X369" s="27" t="s">
        <v>365</v>
      </c>
      <c r="Y369" s="27" t="s">
        <v>365</v>
      </c>
      <c r="Z369" s="27" t="s">
        <v>365</v>
      </c>
      <c r="AA369" s="27" t="s">
        <v>365</v>
      </c>
      <c r="AB369" s="27" t="s">
        <v>365</v>
      </c>
      <c r="AC369" s="27" t="s">
        <v>365</v>
      </c>
      <c r="AD369" s="27" t="s">
        <v>365</v>
      </c>
      <c r="AE369" s="27" t="s">
        <v>365</v>
      </c>
      <c r="AF369" s="27" t="s">
        <v>365</v>
      </c>
      <c r="AG369" s="52">
        <f t="shared" si="44"/>
        <v>6.9037546296296295</v>
      </c>
      <c r="AH369" s="80"/>
    </row>
    <row r="370" spans="1:34" ht="15" customHeight="1">
      <c r="A370" s="33" t="s">
        <v>349</v>
      </c>
      <c r="B370" s="50">
        <f>'Расчет субсидий'!AT370</f>
        <v>21.572727272727263</v>
      </c>
      <c r="C370" s="52">
        <f>'Расчет субсидий'!D370-1</f>
        <v>-1</v>
      </c>
      <c r="D370" s="52">
        <f>C370*'Расчет субсидий'!E370</f>
        <v>0</v>
      </c>
      <c r="E370" s="53">
        <f t="shared" si="40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2">
        <f>'Расчет субсидий'!P370-1</f>
        <v>3.6053130929791344E-2</v>
      </c>
      <c r="M370" s="52">
        <f>L370*'Расчет субсидий'!Q370</f>
        <v>0.72106261859582688</v>
      </c>
      <c r="N370" s="53">
        <f t="shared" si="41"/>
        <v>4.4080010249946815</v>
      </c>
      <c r="O370" s="27" t="s">
        <v>365</v>
      </c>
      <c r="P370" s="27" t="s">
        <v>365</v>
      </c>
      <c r="Q370" s="27" t="s">
        <v>365</v>
      </c>
      <c r="R370" s="58">
        <f>'Расчет субсидий'!X370-1</f>
        <v>0.20258823529411751</v>
      </c>
      <c r="S370" s="58">
        <f>R370*'Расчет субсидий'!Y370</f>
        <v>1.0129411764705876</v>
      </c>
      <c r="T370" s="53">
        <f t="shared" si="42"/>
        <v>6.1923134399017234</v>
      </c>
      <c r="U370" s="52">
        <f>'Расчет субсидий'!AB370-1</f>
        <v>8.9743589743589647E-2</v>
      </c>
      <c r="V370" s="52">
        <f>U370*'Расчет субсидий'!AC370</f>
        <v>1.7948717948717929</v>
      </c>
      <c r="W370" s="53">
        <f t="shared" si="43"/>
        <v>10.972412807830858</v>
      </c>
      <c r="X370" s="27" t="s">
        <v>365</v>
      </c>
      <c r="Y370" s="27" t="s">
        <v>365</v>
      </c>
      <c r="Z370" s="27" t="s">
        <v>365</v>
      </c>
      <c r="AA370" s="27" t="s">
        <v>365</v>
      </c>
      <c r="AB370" s="27" t="s">
        <v>365</v>
      </c>
      <c r="AC370" s="27" t="s">
        <v>365</v>
      </c>
      <c r="AD370" s="27" t="s">
        <v>365</v>
      </c>
      <c r="AE370" s="27" t="s">
        <v>365</v>
      </c>
      <c r="AF370" s="27" t="s">
        <v>365</v>
      </c>
      <c r="AG370" s="52">
        <f t="shared" si="44"/>
        <v>3.5288755899382074</v>
      </c>
      <c r="AH370" s="80"/>
    </row>
    <row r="371" spans="1:34" ht="15" customHeight="1">
      <c r="A371" s="33" t="s">
        <v>350</v>
      </c>
      <c r="B371" s="50">
        <f>'Расчет субсидий'!AT371</f>
        <v>80.518181818181915</v>
      </c>
      <c r="C371" s="52">
        <f>'Расчет субсидий'!D371-1</f>
        <v>0.15417556346381978</v>
      </c>
      <c r="D371" s="52">
        <f>C371*'Расчет субсидий'!E371</f>
        <v>0.77087781731909888</v>
      </c>
      <c r="E371" s="53">
        <f t="shared" si="40"/>
        <v>11.04121205102332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2">
        <f>'Расчет субсидий'!P371-1</f>
        <v>0.19321100917431178</v>
      </c>
      <c r="M371" s="52">
        <f>L371*'Расчет субсидий'!Q371</f>
        <v>3.8642201834862355</v>
      </c>
      <c r="N371" s="53">
        <f t="shared" si="41"/>
        <v>55.34687015134935</v>
      </c>
      <c r="O371" s="27" t="s">
        <v>365</v>
      </c>
      <c r="P371" s="27" t="s">
        <v>365</v>
      </c>
      <c r="Q371" s="27" t="s">
        <v>365</v>
      </c>
      <c r="R371" s="58">
        <f>'Расчет субсидий'!X371-1</f>
        <v>-0.29500000000000004</v>
      </c>
      <c r="S371" s="58">
        <f>R371*'Расчет субсидий'!Y371</f>
        <v>-1.4750000000000001</v>
      </c>
      <c r="T371" s="53">
        <f t="shared" si="42"/>
        <v>-21.126289289133904</v>
      </c>
      <c r="U371" s="52">
        <f>'Расчет субсидий'!AB371-1</f>
        <v>0.12307692307692308</v>
      </c>
      <c r="V371" s="52">
        <f>U371*'Расчет субсидий'!AC371</f>
        <v>2.4615384615384617</v>
      </c>
      <c r="W371" s="53">
        <f t="shared" si="43"/>
        <v>35.256388904943151</v>
      </c>
      <c r="X371" s="27" t="s">
        <v>365</v>
      </c>
      <c r="Y371" s="27" t="s">
        <v>365</v>
      </c>
      <c r="Z371" s="27" t="s">
        <v>365</v>
      </c>
      <c r="AA371" s="27" t="s">
        <v>365</v>
      </c>
      <c r="AB371" s="27" t="s">
        <v>365</v>
      </c>
      <c r="AC371" s="27" t="s">
        <v>365</v>
      </c>
      <c r="AD371" s="27" t="s">
        <v>365</v>
      </c>
      <c r="AE371" s="27" t="s">
        <v>365</v>
      </c>
      <c r="AF371" s="27" t="s">
        <v>365</v>
      </c>
      <c r="AG371" s="52">
        <f t="shared" si="44"/>
        <v>5.6216364623437958</v>
      </c>
      <c r="AH371" s="80"/>
    </row>
    <row r="372" spans="1:34" ht="15" customHeight="1">
      <c r="A372" s="33" t="s">
        <v>351</v>
      </c>
      <c r="B372" s="50">
        <f>'Расчет субсидий'!AT372</f>
        <v>34.727272727272748</v>
      </c>
      <c r="C372" s="52">
        <f>'Расчет субсидий'!D372-1</f>
        <v>-0.58752941176470586</v>
      </c>
      <c r="D372" s="52">
        <f>C372*'Расчет субсидий'!E372</f>
        <v>-2.9376470588235293</v>
      </c>
      <c r="E372" s="53">
        <f t="shared" si="40"/>
        <v>-41.80046845354709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2">
        <f>'Расчет субсидий'!P372-1</f>
        <v>0.30000000000000004</v>
      </c>
      <c r="M372" s="52">
        <f>L372*'Расчет субсидий'!Q372</f>
        <v>6.0000000000000009</v>
      </c>
      <c r="N372" s="53">
        <f t="shared" si="41"/>
        <v>85.375406132595188</v>
      </c>
      <c r="O372" s="27" t="s">
        <v>365</v>
      </c>
      <c r="P372" s="27" t="s">
        <v>365</v>
      </c>
      <c r="Q372" s="27" t="s">
        <v>365</v>
      </c>
      <c r="R372" s="58">
        <f>'Расчет субсидий'!X372-1</f>
        <v>-0.12435897435897436</v>
      </c>
      <c r="S372" s="58">
        <f>R372*'Расчет субсидий'!Y372</f>
        <v>-0.62179487179487181</v>
      </c>
      <c r="T372" s="53">
        <f t="shared" si="42"/>
        <v>-8.8476649517753554</v>
      </c>
      <c r="U372" s="52">
        <f>'Расчет субсидий'!AB372-1</f>
        <v>0</v>
      </c>
      <c r="V372" s="52">
        <f>U372*'Расчет субсидий'!AC372</f>
        <v>0</v>
      </c>
      <c r="W372" s="53">
        <f t="shared" si="43"/>
        <v>0</v>
      </c>
      <c r="X372" s="27" t="s">
        <v>365</v>
      </c>
      <c r="Y372" s="27" t="s">
        <v>365</v>
      </c>
      <c r="Z372" s="27" t="s">
        <v>365</v>
      </c>
      <c r="AA372" s="27" t="s">
        <v>365</v>
      </c>
      <c r="AB372" s="27" t="s">
        <v>365</v>
      </c>
      <c r="AC372" s="27" t="s">
        <v>365</v>
      </c>
      <c r="AD372" s="27" t="s">
        <v>365</v>
      </c>
      <c r="AE372" s="27" t="s">
        <v>365</v>
      </c>
      <c r="AF372" s="27" t="s">
        <v>365</v>
      </c>
      <c r="AG372" s="52">
        <f t="shared" si="44"/>
        <v>2.4405580693815998</v>
      </c>
      <c r="AH372" s="80"/>
    </row>
    <row r="373" spans="1:34" ht="15" customHeight="1">
      <c r="A373" s="33" t="s">
        <v>352</v>
      </c>
      <c r="B373" s="50">
        <f>'Расчет субсидий'!AT373</f>
        <v>14.71818181818179</v>
      </c>
      <c r="C373" s="52">
        <f>'Расчет субсидий'!D373-1</f>
        <v>-1</v>
      </c>
      <c r="D373" s="52">
        <f>C373*'Расчет субсидий'!E373</f>
        <v>0</v>
      </c>
      <c r="E373" s="53">
        <f t="shared" si="40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2">
        <f>'Расчет субсидий'!P373-1</f>
        <v>6.612133605998638E-2</v>
      </c>
      <c r="M373" s="52">
        <f>L373*'Расчет субсидий'!Q373</f>
        <v>1.3224267211997276</v>
      </c>
      <c r="N373" s="53">
        <f t="shared" si="41"/>
        <v>8.2675187587439911</v>
      </c>
      <c r="O373" s="27" t="s">
        <v>365</v>
      </c>
      <c r="P373" s="27" t="s">
        <v>365</v>
      </c>
      <c r="Q373" s="27" t="s">
        <v>365</v>
      </c>
      <c r="R373" s="58">
        <f>'Расчет субсидий'!X373-1</f>
        <v>0.2063625</v>
      </c>
      <c r="S373" s="58">
        <f>R373*'Расчет субсидий'!Y373</f>
        <v>1.0318125</v>
      </c>
      <c r="T373" s="53">
        <f t="shared" si="42"/>
        <v>6.4506630594378001</v>
      </c>
      <c r="U373" s="52">
        <f>'Расчет субсидий'!AB373-1</f>
        <v>0</v>
      </c>
      <c r="V373" s="52">
        <f>U373*'Расчет субсидий'!AC373</f>
        <v>0</v>
      </c>
      <c r="W373" s="53">
        <f t="shared" si="43"/>
        <v>0</v>
      </c>
      <c r="X373" s="27" t="s">
        <v>365</v>
      </c>
      <c r="Y373" s="27" t="s">
        <v>365</v>
      </c>
      <c r="Z373" s="27" t="s">
        <v>365</v>
      </c>
      <c r="AA373" s="27" t="s">
        <v>365</v>
      </c>
      <c r="AB373" s="27" t="s">
        <v>365</v>
      </c>
      <c r="AC373" s="27" t="s">
        <v>365</v>
      </c>
      <c r="AD373" s="27" t="s">
        <v>365</v>
      </c>
      <c r="AE373" s="27" t="s">
        <v>365</v>
      </c>
      <c r="AF373" s="27" t="s">
        <v>365</v>
      </c>
      <c r="AG373" s="52">
        <f t="shared" si="44"/>
        <v>2.3542392211997276</v>
      </c>
      <c r="AH373" s="80"/>
    </row>
    <row r="374" spans="1:34" ht="15" customHeight="1">
      <c r="A374" s="33" t="s">
        <v>353</v>
      </c>
      <c r="B374" s="50">
        <f>'Расчет субсидий'!AT374</f>
        <v>-103.66363636363639</v>
      </c>
      <c r="C374" s="52">
        <f>'Расчет субсидий'!D374-1</f>
        <v>-1</v>
      </c>
      <c r="D374" s="52">
        <f>C374*'Расчет субсидий'!E374</f>
        <v>0</v>
      </c>
      <c r="E374" s="53">
        <f t="shared" si="40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2">
        <f>'Расчет субсидий'!P374-1</f>
        <v>-0.39396346306592533</v>
      </c>
      <c r="M374" s="52">
        <f>L374*'Расчет субсидий'!Q374</f>
        <v>-7.8792692613185071</v>
      </c>
      <c r="N374" s="53">
        <f t="shared" si="41"/>
        <v>-63.794097965777532</v>
      </c>
      <c r="O374" s="27" t="s">
        <v>365</v>
      </c>
      <c r="P374" s="27" t="s">
        <v>365</v>
      </c>
      <c r="Q374" s="27" t="s">
        <v>365</v>
      </c>
      <c r="R374" s="58">
        <f>'Расчет субсидий'!X374-1</f>
        <v>-0.12</v>
      </c>
      <c r="S374" s="58">
        <f>R374*'Расчет субсидий'!Y374</f>
        <v>-0.6</v>
      </c>
      <c r="T374" s="53">
        <f t="shared" si="42"/>
        <v>-4.8578691132407608</v>
      </c>
      <c r="U374" s="52">
        <f>'Расчет субсидий'!AB374-1</f>
        <v>-0.21621621621621623</v>
      </c>
      <c r="V374" s="52">
        <f>U374*'Расчет субсидий'!AC374</f>
        <v>-4.3243243243243246</v>
      </c>
      <c r="W374" s="53">
        <f t="shared" si="43"/>
        <v>-35.011669284618101</v>
      </c>
      <c r="X374" s="27" t="s">
        <v>365</v>
      </c>
      <c r="Y374" s="27" t="s">
        <v>365</v>
      </c>
      <c r="Z374" s="27" t="s">
        <v>365</v>
      </c>
      <c r="AA374" s="27" t="s">
        <v>365</v>
      </c>
      <c r="AB374" s="27" t="s">
        <v>365</v>
      </c>
      <c r="AC374" s="27" t="s">
        <v>365</v>
      </c>
      <c r="AD374" s="27" t="s">
        <v>365</v>
      </c>
      <c r="AE374" s="27" t="s">
        <v>365</v>
      </c>
      <c r="AF374" s="27" t="s">
        <v>365</v>
      </c>
      <c r="AG374" s="52">
        <f t="shared" si="44"/>
        <v>-12.803593585642831</v>
      </c>
      <c r="AH374" s="80"/>
    </row>
    <row r="375" spans="1:34" ht="15" customHeight="1">
      <c r="A375" s="33" t="s">
        <v>354</v>
      </c>
      <c r="B375" s="50">
        <f>'Расчет субсидий'!AT375</f>
        <v>39.990909090909099</v>
      </c>
      <c r="C375" s="52">
        <f>'Расчет субсидий'!D375-1</f>
        <v>-1</v>
      </c>
      <c r="D375" s="52">
        <f>C375*'Расчет субсидий'!E375</f>
        <v>0</v>
      </c>
      <c r="E375" s="53">
        <f t="shared" si="40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2">
        <f>'Расчет субсидий'!P375-1</f>
        <v>-3.2786885245901565E-2</v>
      </c>
      <c r="M375" s="52">
        <f>L375*'Расчет субсидий'!Q375</f>
        <v>-0.65573770491803129</v>
      </c>
      <c r="N375" s="53">
        <f t="shared" si="41"/>
        <v>-7.8983274742466758</v>
      </c>
      <c r="O375" s="27" t="s">
        <v>365</v>
      </c>
      <c r="P375" s="27" t="s">
        <v>365</v>
      </c>
      <c r="Q375" s="27" t="s">
        <v>365</v>
      </c>
      <c r="R375" s="58">
        <f>'Расчет субсидий'!X375-1</f>
        <v>-4.9148936170212765E-2</v>
      </c>
      <c r="S375" s="58">
        <f>R375*'Расчет субсидий'!Y375</f>
        <v>-0.24574468085106382</v>
      </c>
      <c r="T375" s="53">
        <f t="shared" si="42"/>
        <v>-2.9599822457343126</v>
      </c>
      <c r="U375" s="52">
        <f>'Расчет субсидий'!AB375-1</f>
        <v>0.21108108108108103</v>
      </c>
      <c r="V375" s="52">
        <f>U375*'Расчет субсидий'!AC375</f>
        <v>4.2216216216216207</v>
      </c>
      <c r="W375" s="53">
        <f t="shared" si="43"/>
        <v>50.849218810890086</v>
      </c>
      <c r="X375" s="27" t="s">
        <v>365</v>
      </c>
      <c r="Y375" s="27" t="s">
        <v>365</v>
      </c>
      <c r="Z375" s="27" t="s">
        <v>365</v>
      </c>
      <c r="AA375" s="27" t="s">
        <v>365</v>
      </c>
      <c r="AB375" s="27" t="s">
        <v>365</v>
      </c>
      <c r="AC375" s="27" t="s">
        <v>365</v>
      </c>
      <c r="AD375" s="27" t="s">
        <v>365</v>
      </c>
      <c r="AE375" s="27" t="s">
        <v>365</v>
      </c>
      <c r="AF375" s="27" t="s">
        <v>365</v>
      </c>
      <c r="AG375" s="52">
        <f t="shared" si="44"/>
        <v>3.3201392358525257</v>
      </c>
      <c r="AH375" s="80"/>
    </row>
    <row r="376" spans="1:34" ht="15" customHeight="1">
      <c r="A376" s="33" t="s">
        <v>355</v>
      </c>
      <c r="B376" s="50">
        <f>'Расчет субсидий'!AT376</f>
        <v>-93.74545454545455</v>
      </c>
      <c r="C376" s="52">
        <f>'Расчет субсидий'!D376-1</f>
        <v>-1</v>
      </c>
      <c r="D376" s="52">
        <f>C376*'Расчет субсидий'!E376</f>
        <v>0</v>
      </c>
      <c r="E376" s="53">
        <f t="shared" si="40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2">
        <f>'Расчет субсидий'!P376-1</f>
        <v>-0.51704545454545459</v>
      </c>
      <c r="M376" s="52">
        <f>L376*'Расчет субсидий'!Q376</f>
        <v>-10.340909090909092</v>
      </c>
      <c r="N376" s="53">
        <f t="shared" si="41"/>
        <v>-105.63461801094157</v>
      </c>
      <c r="O376" s="27" t="s">
        <v>365</v>
      </c>
      <c r="P376" s="27" t="s">
        <v>365</v>
      </c>
      <c r="Q376" s="27" t="s">
        <v>365</v>
      </c>
      <c r="R376" s="58">
        <f>'Расчет субсидий'!X376-1</f>
        <v>-9.8260869565217401E-2</v>
      </c>
      <c r="S376" s="58">
        <f>R376*'Расчет субсидий'!Y376</f>
        <v>-0.49130434782608701</v>
      </c>
      <c r="T376" s="53">
        <f t="shared" si="42"/>
        <v>-5.0187799402809503</v>
      </c>
      <c r="U376" s="52">
        <f>'Расчет субсидий'!AB376-1</f>
        <v>8.2758620689655116E-2</v>
      </c>
      <c r="V376" s="52">
        <f>U376*'Расчет субсидий'!AC376</f>
        <v>1.6551724137931023</v>
      </c>
      <c r="W376" s="53">
        <f t="shared" si="43"/>
        <v>16.907943405767973</v>
      </c>
      <c r="X376" s="27" t="s">
        <v>365</v>
      </c>
      <c r="Y376" s="27" t="s">
        <v>365</v>
      </c>
      <c r="Z376" s="27" t="s">
        <v>365</v>
      </c>
      <c r="AA376" s="27" t="s">
        <v>365</v>
      </c>
      <c r="AB376" s="27" t="s">
        <v>365</v>
      </c>
      <c r="AC376" s="27" t="s">
        <v>365</v>
      </c>
      <c r="AD376" s="27" t="s">
        <v>365</v>
      </c>
      <c r="AE376" s="27" t="s">
        <v>365</v>
      </c>
      <c r="AF376" s="27" t="s">
        <v>365</v>
      </c>
      <c r="AG376" s="52">
        <f t="shared" si="44"/>
        <v>-9.1770410249420777</v>
      </c>
      <c r="AH376" s="80"/>
    </row>
    <row r="377" spans="1:34" ht="15" customHeight="1">
      <c r="A377" s="33" t="s">
        <v>356</v>
      </c>
      <c r="B377" s="50">
        <f>'Расчет субсидий'!AT377</f>
        <v>-15.818181818181813</v>
      </c>
      <c r="C377" s="52">
        <f>'Расчет субсидий'!D377-1</f>
        <v>-5.7553956834532904E-3</v>
      </c>
      <c r="D377" s="52">
        <f>C377*'Расчет субсидий'!E377</f>
        <v>-2.8776978417266452E-2</v>
      </c>
      <c r="E377" s="53">
        <f t="shared" ref="E377:E378" si="45">$B377*D377/$AG377</f>
        <v>-0.22015241746347178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2">
        <f>'Расчет субсидий'!P377-1</f>
        <v>-3.1787584143605052E-2</v>
      </c>
      <c r="M377" s="52">
        <f>L377*'Расчет субсидий'!Q377</f>
        <v>-0.63575168287210104</v>
      </c>
      <c r="N377" s="53">
        <f t="shared" ref="N377:N378" si="46">$B377*M377/$AG377</f>
        <v>-4.8636888787039876</v>
      </c>
      <c r="O377" s="27" t="s">
        <v>365</v>
      </c>
      <c r="P377" s="27" t="s">
        <v>365</v>
      </c>
      <c r="Q377" s="27" t="s">
        <v>365</v>
      </c>
      <c r="R377" s="58">
        <f>'Расчет субсидий'!X377-1</f>
        <v>-0.33859649122807023</v>
      </c>
      <c r="S377" s="58">
        <f>R377*'Расчет субсидий'!Y377</f>
        <v>-1.692982456140351</v>
      </c>
      <c r="T377" s="53">
        <f t="shared" ref="T377:T378" si="47">$B377*S377/$AG377</f>
        <v>-12.951817770378298</v>
      </c>
      <c r="U377" s="52">
        <f>'Расчет субсидий'!AB377-1</f>
        <v>1.449275362318847E-2</v>
      </c>
      <c r="V377" s="52">
        <f>U377*'Расчет субсидий'!AC377</f>
        <v>0.2898550724637694</v>
      </c>
      <c r="W377" s="53">
        <f t="shared" ref="W377:W378" si="48">$B377*V377/$AG377</f>
        <v>2.2174772483639442</v>
      </c>
      <c r="X377" s="27" t="s">
        <v>365</v>
      </c>
      <c r="Y377" s="27" t="s">
        <v>365</v>
      </c>
      <c r="Z377" s="27" t="s">
        <v>365</v>
      </c>
      <c r="AA377" s="27" t="s">
        <v>365</v>
      </c>
      <c r="AB377" s="27" t="s">
        <v>365</v>
      </c>
      <c r="AC377" s="27" t="s">
        <v>365</v>
      </c>
      <c r="AD377" s="27" t="s">
        <v>365</v>
      </c>
      <c r="AE377" s="27" t="s">
        <v>365</v>
      </c>
      <c r="AF377" s="27" t="s">
        <v>365</v>
      </c>
      <c r="AG377" s="52">
        <f t="shared" si="44"/>
        <v>-2.0676560449659491</v>
      </c>
      <c r="AH377" s="80"/>
    </row>
    <row r="378" spans="1:34" ht="15" customHeight="1">
      <c r="A378" s="33" t="s">
        <v>357</v>
      </c>
      <c r="B378" s="50">
        <f>'Расчет субсидий'!AT378</f>
        <v>-18.24545454545455</v>
      </c>
      <c r="C378" s="52">
        <f>'Расчет субсидий'!D378-1</f>
        <v>-3.2621230237810495E-2</v>
      </c>
      <c r="D378" s="52">
        <f>C378*'Расчет субсидий'!E378</f>
        <v>-0.16310615118905247</v>
      </c>
      <c r="E378" s="53">
        <f t="shared" si="45"/>
        <v>-0.91935986358546151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2">
        <f>'Расчет субсидий'!P378-1</f>
        <v>-0.21652793099989964</v>
      </c>
      <c r="M378" s="52">
        <f>L378*'Расчет субсидий'!Q378</f>
        <v>-4.3305586199979924</v>
      </c>
      <c r="N378" s="53">
        <f t="shared" si="46"/>
        <v>-24.409513394228274</v>
      </c>
      <c r="O378" s="27" t="s">
        <v>365</v>
      </c>
      <c r="P378" s="27" t="s">
        <v>365</v>
      </c>
      <c r="Q378" s="27" t="s">
        <v>365</v>
      </c>
      <c r="R378" s="58">
        <f>'Расчет субсидий'!X378-1</f>
        <v>1.604362488340394E-2</v>
      </c>
      <c r="S378" s="58">
        <f>R378*'Расчет субсидий'!Y378</f>
        <v>8.0218124417019698E-2</v>
      </c>
      <c r="T378" s="53">
        <f t="shared" si="47"/>
        <v>0.45215538091896801</v>
      </c>
      <c r="U378" s="52">
        <f>'Расчет субсидий'!AB378-1</f>
        <v>5.8823529411764719E-2</v>
      </c>
      <c r="V378" s="52">
        <f>U378*'Расчет субсидий'!AC378</f>
        <v>1.1764705882352944</v>
      </c>
      <c r="W378" s="53">
        <f t="shared" si="48"/>
        <v>6.6312633314402181</v>
      </c>
      <c r="X378" s="27" t="s">
        <v>365</v>
      </c>
      <c r="Y378" s="27" t="s">
        <v>365</v>
      </c>
      <c r="Z378" s="27" t="s">
        <v>365</v>
      </c>
      <c r="AA378" s="27" t="s">
        <v>365</v>
      </c>
      <c r="AB378" s="27" t="s">
        <v>365</v>
      </c>
      <c r="AC378" s="27" t="s">
        <v>365</v>
      </c>
      <c r="AD378" s="27" t="s">
        <v>365</v>
      </c>
      <c r="AE378" s="27" t="s">
        <v>365</v>
      </c>
      <c r="AF378" s="27" t="s">
        <v>365</v>
      </c>
      <c r="AG378" s="52">
        <f t="shared" ref="AG378" si="49">D378+M378+S378+V378</f>
        <v>-3.2369760585347302</v>
      </c>
      <c r="AH378" s="80"/>
    </row>
    <row r="379" spans="1:34" s="48" customFormat="1" ht="15" customHeight="1">
      <c r="A379" s="47" t="s">
        <v>367</v>
      </c>
      <c r="B379" s="51">
        <f>SUM(B6:B378)-B6-B17-B27-B55</f>
        <v>15343.781818181797</v>
      </c>
      <c r="C379" s="51"/>
      <c r="D379" s="51"/>
      <c r="E379" s="51">
        <f>E6+E27+E55</f>
        <v>1474.9698052814638</v>
      </c>
      <c r="F379" s="51"/>
      <c r="G379" s="51"/>
      <c r="H379" s="51">
        <f>H6+H27</f>
        <v>651.51971697330146</v>
      </c>
      <c r="I379" s="51"/>
      <c r="J379" s="51"/>
      <c r="K379" s="51">
        <f>K6+K27</f>
        <v>10604.04217417435</v>
      </c>
      <c r="L379" s="51"/>
      <c r="M379" s="51"/>
      <c r="N379" s="51">
        <f>N6+N27+N55</f>
        <v>5945.2575113067451</v>
      </c>
      <c r="O379" s="51"/>
      <c r="P379" s="51"/>
      <c r="Q379" s="51">
        <f>Q17</f>
        <v>1309.5449652082489</v>
      </c>
      <c r="R379" s="51"/>
      <c r="S379" s="51"/>
      <c r="T379" s="51">
        <f>T6+T27+T55</f>
        <v>-673.94583303576962</v>
      </c>
      <c r="U379" s="51"/>
      <c r="V379" s="51"/>
      <c r="W379" s="51">
        <f>W27+W55</f>
        <v>1536.5539538495268</v>
      </c>
      <c r="X379" s="51"/>
      <c r="Y379" s="51"/>
      <c r="Z379" s="51">
        <f>Z27</f>
        <v>1755.9185985228078</v>
      </c>
      <c r="AA379" s="51"/>
      <c r="AB379" s="51"/>
      <c r="AC379" s="51">
        <f>AC27</f>
        <v>2797.1483393463113</v>
      </c>
      <c r="AD379" s="51"/>
      <c r="AE379" s="51"/>
      <c r="AF379" s="51">
        <f>AF6+AF17+AF27</f>
        <v>-10057.227413445167</v>
      </c>
      <c r="AG379" s="51"/>
      <c r="AH379" s="80"/>
    </row>
  </sheetData>
  <mergeCells count="14">
    <mergeCell ref="A1:AG1"/>
    <mergeCell ref="A3:A4"/>
    <mergeCell ref="B3:B4"/>
    <mergeCell ref="AG3:AG4"/>
    <mergeCell ref="C3:E3"/>
    <mergeCell ref="L3:N3"/>
    <mergeCell ref="I3:K3"/>
    <mergeCell ref="F3:H3"/>
    <mergeCell ref="O3:Q3"/>
    <mergeCell ref="R3:T3"/>
    <mergeCell ref="U3:W3"/>
    <mergeCell ref="X3:Z3"/>
    <mergeCell ref="AA3:AC3"/>
    <mergeCell ref="AD3:AF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2017-04-22T18:42:08Z</cp:lastPrinted>
  <dcterms:created xsi:type="dcterms:W3CDTF">2010-02-05T14:48:49Z</dcterms:created>
  <dcterms:modified xsi:type="dcterms:W3CDTF">2017-05-29T05:26:27Z</dcterms:modified>
</cp:coreProperties>
</file>